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228" yWindow="-168" windowWidth="11580" windowHeight="8580" tabRatio="540" activeTab="3"/>
  </bookViews>
  <sheets>
    <sheet name="Devis" sheetId="6" r:id="rId1"/>
    <sheet name="Tarif FACADES &amp; CAISSONS" sheetId="14" r:id="rId2"/>
    <sheet name="Tarif Plan de trav &amp; Access" sheetId="15" r:id="rId3"/>
    <sheet name="Base SAP" sheetId="7" r:id="rId4"/>
    <sheet name="Poids Caisson" sheetId="10" state="hidden" r:id="rId5"/>
    <sheet name="Poids Facade" sheetId="11" state="hidden" r:id="rId6"/>
    <sheet name="Poids PT &amp; Accessoire" sheetId="12" state="hidden" r:id="rId7"/>
    <sheet name="Ilotage" sheetId="9" state="hidden" r:id="rId8"/>
    <sheet name="Stock expo" sheetId="8" state="hidden" r:id="rId9"/>
  </sheets>
  <definedNames>
    <definedName name="_xlnm._FilterDatabase" localSheetId="3" hidden="1">'Base SAP'!$A$1:$F$1281</definedName>
    <definedName name="_xlnm._FilterDatabase" localSheetId="0" hidden="1">Devis!$A$23:$BL$89</definedName>
    <definedName name="_xlnm._FilterDatabase" localSheetId="6" hidden="1">'Poids PT &amp; Accessoire'!$A$1:$J$1</definedName>
    <definedName name="_kit40">'Tarif FACADES &amp; CAISSONS'!$S$48</definedName>
    <definedName name="_kit60">'Tarif FACADES &amp; CAISSONS'!$S$54</definedName>
    <definedName name="accessoire">'Tarif Plan de trav &amp; Access'!$M$8:$N$41</definedName>
    <definedName name="Base_tarif">'Base SAP'!$A$2:$F$1156</definedName>
    <definedName name="charnamort">'Tarif FACADES &amp; CAISSONS'!$S$50</definedName>
    <definedName name="charnnorm">'Tarif FACADES &amp; CAISSONS'!$S$64</definedName>
    <definedName name="credence">'Tarif Plan de trav &amp; Access'!$H$8:$I$27</definedName>
    <definedName name="cuisine">Devis!$CB$25:$CB$38</definedName>
    <definedName name="FACADE_CUISINE">'Tarif FACADES &amp; CAISSONS'!$E$4:$AN$29</definedName>
    <definedName name="facade_TECNIK">'Tarif FACADES &amp; CAISSONS'!$AQ$4:$AR$29</definedName>
    <definedName name="kit40coffre">'Tarif FACADES &amp; CAISSONS'!$S$58</definedName>
    <definedName name="kit40sil">'Tarif FACADES &amp; CAISSONS'!$S$51</definedName>
    <definedName name="kit60cass">'Tarif FACADES &amp; CAISSONS'!$S$57</definedName>
    <definedName name="kit60coffre">'Tarif FACADES &amp; CAISSONS'!$S$50</definedName>
    <definedName name="kit60coffresil">'Tarif FACADES &amp; CAISSONS'!$S$56</definedName>
    <definedName name="kit60sil">'Tarif FACADES &amp; CAISSONS'!$S$53</definedName>
    <definedName name="kit80coffresil">'Tarif FACADES &amp; CAISSONS'!$S$59</definedName>
    <definedName name="kit80sil">'Tarif FACADES &amp; CAISSONS'!$S$55</definedName>
    <definedName name="poidscaisson">'Poids Caisson'!$A$2:$L$47</definedName>
    <definedName name="PoidsFacade">'Poids Facade'!$A$2:$L$377</definedName>
    <definedName name="PTRAVAIL">'Tarif Plan de trav &amp; Access'!$C$8:$D$30</definedName>
    <definedName name="_xlnm.Print_Area" localSheetId="0">Devis!$A$15:$N$178</definedName>
  </definedNames>
  <calcPr calcId="114210"/>
</workbook>
</file>

<file path=xl/calcChain.xml><?xml version="1.0" encoding="utf-8"?>
<calcChain xmlns="http://schemas.openxmlformats.org/spreadsheetml/2006/main">
  <c r="C57" i="14"/>
  <c r="N59" i="6"/>
  <c r="L47"/>
  <c r="L48"/>
  <c r="L49"/>
  <c r="L50"/>
  <c r="L51"/>
  <c r="N48"/>
  <c r="L57"/>
  <c r="V10" i="15"/>
  <c r="V11"/>
  <c r="V12"/>
  <c r="V13"/>
  <c r="V14"/>
  <c r="V15"/>
  <c r="V16"/>
  <c r="L55" i="6"/>
  <c r="N55"/>
  <c r="V17" i="15"/>
  <c r="L54" i="6"/>
  <c r="V18" i="15"/>
  <c r="L56" i="6"/>
  <c r="V19" i="15"/>
  <c r="V20"/>
  <c r="V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L46" i="6"/>
  <c r="N46"/>
  <c r="S38" i="15"/>
  <c r="S39"/>
  <c r="S40"/>
  <c r="S41"/>
  <c r="S42"/>
  <c r="S43"/>
  <c r="S44"/>
  <c r="S45"/>
  <c r="S46"/>
  <c r="S47"/>
  <c r="S9"/>
  <c r="N9"/>
  <c r="L29" i="6"/>
  <c r="C35" i="15"/>
  <c r="D35"/>
  <c r="L34" i="6"/>
  <c r="N34"/>
  <c r="L32"/>
  <c r="N32"/>
  <c r="M10" i="15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9"/>
  <c r="H9"/>
  <c r="O49" i="14"/>
  <c r="S49"/>
  <c r="O50"/>
  <c r="S50"/>
  <c r="B14" i="6"/>
  <c r="O51" i="14"/>
  <c r="S51"/>
  <c r="B13" i="6"/>
  <c r="O52" i="14"/>
  <c r="S52"/>
  <c r="O53"/>
  <c r="S53"/>
  <c r="O54"/>
  <c r="S54"/>
  <c r="O55"/>
  <c r="S55"/>
  <c r="O56"/>
  <c r="S56"/>
  <c r="O57"/>
  <c r="S57"/>
  <c r="O58"/>
  <c r="S58"/>
  <c r="C13" i="6"/>
  <c r="O59" i="14"/>
  <c r="S59"/>
  <c r="O60"/>
  <c r="S60"/>
  <c r="O61"/>
  <c r="S61"/>
  <c r="O62"/>
  <c r="S62"/>
  <c r="O63"/>
  <c r="S63"/>
  <c r="O64"/>
  <c r="S64"/>
  <c r="O65"/>
  <c r="S65"/>
  <c r="O66"/>
  <c r="S66"/>
  <c r="O67"/>
  <c r="BP27" i="6"/>
  <c r="S67" i="14"/>
  <c r="O68"/>
  <c r="S68"/>
  <c r="O69"/>
  <c r="S69"/>
  <c r="O70"/>
  <c r="S70"/>
  <c r="O71"/>
  <c r="S71"/>
  <c r="O72"/>
  <c r="S72"/>
  <c r="O73"/>
  <c r="BP30" i="6"/>
  <c r="S73" i="14"/>
  <c r="O74"/>
  <c r="BP31" i="6"/>
  <c r="S74" i="14"/>
  <c r="O75"/>
  <c r="BP32" i="6"/>
  <c r="S75" i="14"/>
  <c r="O76"/>
  <c r="S76"/>
  <c r="O77"/>
  <c r="BP34" i="6"/>
  <c r="S77" i="14"/>
  <c r="O78"/>
  <c r="BP35" i="6"/>
  <c r="S78" i="14"/>
  <c r="L26" i="6"/>
  <c r="N26"/>
  <c r="S48" i="14"/>
  <c r="O48"/>
  <c r="C49"/>
  <c r="D49"/>
  <c r="L9" i="6"/>
  <c r="C50" i="14"/>
  <c r="D50"/>
  <c r="C51"/>
  <c r="D51"/>
  <c r="C52"/>
  <c r="D52"/>
  <c r="C53"/>
  <c r="D53"/>
  <c r="C54"/>
  <c r="D54"/>
  <c r="C55"/>
  <c r="D55"/>
  <c r="C9" i="6"/>
  <c r="C56" i="14"/>
  <c r="D56"/>
  <c r="D57"/>
  <c r="I9" i="6"/>
  <c r="C58" i="14"/>
  <c r="D58"/>
  <c r="C59"/>
  <c r="D59"/>
  <c r="C60"/>
  <c r="D60"/>
  <c r="C61"/>
  <c r="D61"/>
  <c r="D48"/>
  <c r="C48"/>
  <c r="D10" i="15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9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30"/>
  <c r="H31"/>
  <c r="H32"/>
  <c r="E6" i="14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5"/>
  <c r="Y6"/>
  <c r="AM6"/>
  <c r="C5" i="6"/>
  <c r="Y7" i="14"/>
  <c r="Y8"/>
  <c r="Y9"/>
  <c r="Y10"/>
  <c r="AM10"/>
  <c r="B6" i="6"/>
  <c r="Y11" i="14"/>
  <c r="Y12"/>
  <c r="Y13"/>
  <c r="Y14"/>
  <c r="AM14"/>
  <c r="K5" i="6"/>
  <c r="J11"/>
  <c r="D13"/>
  <c r="H13"/>
  <c r="B56"/>
  <c r="D56"/>
  <c r="Y15" i="14"/>
  <c r="Y16"/>
  <c r="Y17"/>
  <c r="Y18"/>
  <c r="AM18"/>
  <c r="O5" i="6"/>
  <c r="Y19" i="14"/>
  <c r="Y20"/>
  <c r="AM20"/>
  <c r="E5" i="6"/>
  <c r="B87"/>
  <c r="D87"/>
  <c r="Y21" i="14"/>
  <c r="Y22"/>
  <c r="AM22"/>
  <c r="N11" i="6"/>
  <c r="E159"/>
  <c r="G158"/>
  <c r="Y23" i="14"/>
  <c r="Y24"/>
  <c r="AM24"/>
  <c r="J7" i="6"/>
  <c r="BO45"/>
  <c r="Y25" i="14"/>
  <c r="Y26"/>
  <c r="AM26"/>
  <c r="I6" i="6"/>
  <c r="E9"/>
  <c r="B35"/>
  <c r="D35"/>
  <c r="Y27" i="14"/>
  <c r="Y28"/>
  <c r="AM28"/>
  <c r="N12" i="6"/>
  <c r="K23"/>
  <c r="Y29" i="14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5"/>
  <c r="AM7"/>
  <c r="AM8"/>
  <c r="AM9"/>
  <c r="AM11"/>
  <c r="AM12"/>
  <c r="AM13"/>
  <c r="AM15"/>
  <c r="AM16"/>
  <c r="AM17"/>
  <c r="AM19"/>
  <c r="AM21"/>
  <c r="AM23"/>
  <c r="AM25"/>
  <c r="AM27"/>
  <c r="AM29"/>
  <c r="AM5"/>
  <c r="Y5"/>
  <c r="B5" i="6"/>
  <c r="L25"/>
  <c r="L24"/>
  <c r="N24"/>
  <c r="N72"/>
  <c r="N73"/>
  <c r="N74"/>
  <c r="N75"/>
  <c r="N71"/>
  <c r="N78"/>
  <c r="N79"/>
  <c r="N80"/>
  <c r="N81"/>
  <c r="N82"/>
  <c r="N83"/>
  <c r="N84"/>
  <c r="N85"/>
  <c r="N86"/>
  <c r="N87"/>
  <c r="N77"/>
  <c r="N89"/>
  <c r="AQ7" i="14"/>
  <c r="N50" i="6"/>
  <c r="N51"/>
  <c r="N67"/>
  <c r="N68"/>
  <c r="N69"/>
  <c r="N66"/>
  <c r="N60"/>
  <c r="N61"/>
  <c r="N62"/>
  <c r="N63"/>
  <c r="N64"/>
  <c r="N56"/>
  <c r="N57"/>
  <c r="AQ24" i="14"/>
  <c r="AQ5"/>
  <c r="AQ15"/>
  <c r="AQ22"/>
  <c r="BO64" i="6"/>
  <c r="AQ19" i="14"/>
  <c r="AQ23"/>
  <c r="AQ26"/>
  <c r="AQ17"/>
  <c r="BO62" i="6"/>
  <c r="AQ16" i="14"/>
  <c r="AQ14"/>
  <c r="BQ26" i="6"/>
  <c r="BQ27"/>
  <c r="BQ28"/>
  <c r="BQ30"/>
  <c r="BQ32"/>
  <c r="BQ34"/>
  <c r="BQ35"/>
  <c r="BQ36"/>
  <c r="BQ38"/>
  <c r="BQ39"/>
  <c r="BQ40"/>
  <c r="BQ42"/>
  <c r="BQ44"/>
  <c r="BQ45"/>
  <c r="BQ46"/>
  <c r="BQ47"/>
  <c r="BQ48"/>
  <c r="BQ50"/>
  <c r="BQ51"/>
  <c r="BQ25"/>
  <c r="BQ33"/>
  <c r="BQ31"/>
  <c r="N47"/>
  <c r="N49"/>
  <c r="BP29"/>
  <c r="BP33"/>
  <c r="BP39"/>
  <c r="BP40"/>
  <c r="BP41"/>
  <c r="BP42"/>
  <c r="BP43"/>
  <c r="BP44"/>
  <c r="BP45"/>
  <c r="BP46"/>
  <c r="BP47"/>
  <c r="BP48"/>
  <c r="BP49"/>
  <c r="BP50"/>
  <c r="BP51"/>
  <c r="BP52"/>
  <c r="BP53"/>
  <c r="BP54"/>
  <c r="BP55"/>
  <c r="BP56"/>
  <c r="BP57"/>
  <c r="K40"/>
  <c r="N40"/>
  <c r="K41"/>
  <c r="N41"/>
  <c r="K42"/>
  <c r="N42"/>
  <c r="K43"/>
  <c r="N43"/>
  <c r="H38"/>
  <c r="C158"/>
  <c r="B158"/>
  <c r="L35"/>
  <c r="N35"/>
  <c r="L36"/>
  <c r="N36"/>
  <c r="L37"/>
  <c r="N37"/>
  <c r="BH85"/>
  <c r="BH91"/>
  <c r="BJ69"/>
  <c r="BJ91"/>
  <c r="AC91"/>
  <c r="BE91"/>
  <c r="AQ52"/>
  <c r="AQ34"/>
  <c r="AQ91"/>
  <c r="AQ49"/>
  <c r="AP52"/>
  <c r="AP91"/>
  <c r="AP49"/>
  <c r="BA45"/>
  <c r="BA91"/>
  <c r="C152"/>
  <c r="AV45"/>
  <c r="AU45"/>
  <c r="S45"/>
  <c r="BC43"/>
  <c r="BF43"/>
  <c r="BF42"/>
  <c r="BF50"/>
  <c r="BF51"/>
  <c r="BF52"/>
  <c r="BF57"/>
  <c r="BF67"/>
  <c r="BF69"/>
  <c r="AT43"/>
  <c r="AV43"/>
  <c r="AU43"/>
  <c r="S41"/>
  <c r="BC41"/>
  <c r="AS41"/>
  <c r="AS91"/>
  <c r="C144"/>
  <c r="AG41"/>
  <c r="AV41"/>
  <c r="AU41"/>
  <c r="AR39"/>
  <c r="AV39"/>
  <c r="AV91"/>
  <c r="AU39"/>
  <c r="S39"/>
  <c r="AZ36"/>
  <c r="AZ91"/>
  <c r="AY36"/>
  <c r="AY91"/>
  <c r="AP34"/>
  <c r="AN31"/>
  <c r="AM31"/>
  <c r="AN29"/>
  <c r="AN91"/>
  <c r="AM29"/>
  <c r="AB29"/>
  <c r="AV27"/>
  <c r="AU27"/>
  <c r="AU91"/>
  <c r="AA27"/>
  <c r="Z25"/>
  <c r="AN25"/>
  <c r="AM25"/>
  <c r="AM91"/>
  <c r="C146"/>
  <c r="S70"/>
  <c r="S71"/>
  <c r="S72"/>
  <c r="Y84"/>
  <c r="Y91"/>
  <c r="BA44"/>
  <c r="S44"/>
  <c r="AR44"/>
  <c r="AG43"/>
  <c r="AG44"/>
  <c r="AG45"/>
  <c r="BC40"/>
  <c r="BC42"/>
  <c r="AR42"/>
  <c r="S42"/>
  <c r="AS40"/>
  <c r="AR40"/>
  <c r="AG39"/>
  <c r="AG40"/>
  <c r="AG91"/>
  <c r="AG42"/>
  <c r="S40"/>
  <c r="A51"/>
  <c r="A48"/>
  <c r="A42"/>
  <c r="A44"/>
  <c r="A35"/>
  <c r="A40"/>
  <c r="A38"/>
  <c r="A24"/>
  <c r="A33"/>
  <c r="A30"/>
  <c r="A28"/>
  <c r="A26"/>
  <c r="F9"/>
  <c r="G9"/>
  <c r="B96"/>
  <c r="M5"/>
  <c r="AI33"/>
  <c r="AI35"/>
  <c r="AI48"/>
  <c r="AI51"/>
  <c r="D52"/>
  <c r="D58"/>
  <c r="U61"/>
  <c r="U62"/>
  <c r="U63"/>
  <c r="V64"/>
  <c r="V65"/>
  <c r="V66"/>
  <c r="V67"/>
  <c r="V68"/>
  <c r="V69"/>
  <c r="W70"/>
  <c r="W71"/>
  <c r="W72"/>
  <c r="W73"/>
  <c r="Y74"/>
  <c r="Y75"/>
  <c r="Y76"/>
  <c r="Y77"/>
  <c r="Y78"/>
  <c r="Y79"/>
  <c r="Y82"/>
  <c r="Y83"/>
  <c r="X80"/>
  <c r="X81"/>
  <c r="AG38"/>
  <c r="AG47"/>
  <c r="AG48"/>
  <c r="AG49"/>
  <c r="AG50"/>
  <c r="AG51"/>
  <c r="AG52"/>
  <c r="AG53"/>
  <c r="Z24"/>
  <c r="AA26"/>
  <c r="AB28"/>
  <c r="AE30"/>
  <c r="AE31"/>
  <c r="AF32"/>
  <c r="AF33"/>
  <c r="AF34"/>
  <c r="B136"/>
  <c r="E136"/>
  <c r="F135"/>
  <c r="AH55"/>
  <c r="AH56"/>
  <c r="AH91"/>
  <c r="AH57"/>
  <c r="AH58"/>
  <c r="AH59"/>
  <c r="AD35"/>
  <c r="AD91"/>
  <c r="B138"/>
  <c r="E138"/>
  <c r="F137"/>
  <c r="AD36"/>
  <c r="AK24"/>
  <c r="AK28"/>
  <c r="AK30"/>
  <c r="AK59"/>
  <c r="AK61"/>
  <c r="AK63"/>
  <c r="AK70"/>
  <c r="AK76"/>
  <c r="AK80"/>
  <c r="AK46"/>
  <c r="AK60"/>
  <c r="AL59"/>
  <c r="AL62"/>
  <c r="AL71"/>
  <c r="AL72"/>
  <c r="AL77"/>
  <c r="AL79"/>
  <c r="AL81"/>
  <c r="AL46"/>
  <c r="AL91"/>
  <c r="C142"/>
  <c r="AL60"/>
  <c r="AR26"/>
  <c r="AR91"/>
  <c r="C143"/>
  <c r="AR38"/>
  <c r="AR53"/>
  <c r="AR55"/>
  <c r="AR59"/>
  <c r="AR64"/>
  <c r="AR69"/>
  <c r="AR74"/>
  <c r="AR82"/>
  <c r="AR46"/>
  <c r="AR54"/>
  <c r="AR60"/>
  <c r="AS47"/>
  <c r="AS48"/>
  <c r="AS49"/>
  <c r="AS53"/>
  <c r="AS56"/>
  <c r="AS59"/>
  <c r="AS65"/>
  <c r="AS66"/>
  <c r="AS75"/>
  <c r="AS78"/>
  <c r="AS83"/>
  <c r="AS46"/>
  <c r="AS54"/>
  <c r="AS60"/>
  <c r="AO32"/>
  <c r="AO33"/>
  <c r="AO47"/>
  <c r="AO48"/>
  <c r="AO50"/>
  <c r="AO51"/>
  <c r="AO53"/>
  <c r="AT42"/>
  <c r="AT50"/>
  <c r="AT51"/>
  <c r="AT52"/>
  <c r="AT57"/>
  <c r="AT67"/>
  <c r="AW73"/>
  <c r="AW91"/>
  <c r="C149"/>
  <c r="B149"/>
  <c r="C150"/>
  <c r="E150"/>
  <c r="F149"/>
  <c r="C151"/>
  <c r="E151"/>
  <c r="F150"/>
  <c r="BA58"/>
  <c r="C153"/>
  <c r="A153"/>
  <c r="C154"/>
  <c r="E154"/>
  <c r="F153"/>
  <c r="C155"/>
  <c r="C156"/>
  <c r="C157"/>
  <c r="C159"/>
  <c r="F158"/>
  <c r="S24"/>
  <c r="S26"/>
  <c r="S28"/>
  <c r="S30"/>
  <c r="S32"/>
  <c r="S33"/>
  <c r="S35"/>
  <c r="S38"/>
  <c r="S47"/>
  <c r="S48"/>
  <c r="S49"/>
  <c r="S50"/>
  <c r="S51"/>
  <c r="S55"/>
  <c r="S56"/>
  <c r="S58"/>
  <c r="S59"/>
  <c r="S61"/>
  <c r="S62"/>
  <c r="S64"/>
  <c r="S65"/>
  <c r="S66"/>
  <c r="S74"/>
  <c r="S75"/>
  <c r="S76"/>
  <c r="S77"/>
  <c r="S78"/>
  <c r="S79"/>
  <c r="S80"/>
  <c r="S81"/>
  <c r="S82"/>
  <c r="S83"/>
  <c r="S60"/>
  <c r="BB62"/>
  <c r="BB91"/>
  <c r="B162"/>
  <c r="BB72"/>
  <c r="BB77"/>
  <c r="BB81"/>
  <c r="BC56"/>
  <c r="BC57"/>
  <c r="BC66"/>
  <c r="BC67"/>
  <c r="BC75"/>
  <c r="BC83"/>
  <c r="BD73"/>
  <c r="BD91"/>
  <c r="B165"/>
  <c r="A165"/>
  <c r="BG73"/>
  <c r="BG91"/>
  <c r="B166"/>
  <c r="B167"/>
  <c r="A167"/>
  <c r="G138"/>
  <c r="G168"/>
  <c r="G169"/>
  <c r="G170"/>
  <c r="G171"/>
  <c r="G172"/>
  <c r="G173"/>
  <c r="G174"/>
  <c r="G175"/>
  <c r="K131"/>
  <c r="H131"/>
  <c r="K122"/>
  <c r="K123"/>
  <c r="H123"/>
  <c r="K124"/>
  <c r="K125"/>
  <c r="K126"/>
  <c r="K127"/>
  <c r="P130"/>
  <c r="K128"/>
  <c r="P131"/>
  <c r="P132"/>
  <c r="F138"/>
  <c r="F139"/>
  <c r="F159"/>
  <c r="F168"/>
  <c r="F169"/>
  <c r="F170"/>
  <c r="F171"/>
  <c r="F172"/>
  <c r="F173"/>
  <c r="F174"/>
  <c r="F175"/>
  <c r="O132"/>
  <c r="BI63"/>
  <c r="BI91"/>
  <c r="K142"/>
  <c r="N142"/>
  <c r="K144"/>
  <c r="N144"/>
  <c r="K145"/>
  <c r="N145"/>
  <c r="K146"/>
  <c r="N146"/>
  <c r="K147"/>
  <c r="N147"/>
  <c r="K148"/>
  <c r="N148"/>
  <c r="K149"/>
  <c r="N149"/>
  <c r="K132"/>
  <c r="N132"/>
  <c r="K133"/>
  <c r="N133"/>
  <c r="K134"/>
  <c r="N134"/>
  <c r="K135"/>
  <c r="N135"/>
  <c r="K136"/>
  <c r="N136"/>
  <c r="K137"/>
  <c r="N137"/>
  <c r="K138"/>
  <c r="N138"/>
  <c r="K139"/>
  <c r="N139"/>
  <c r="K140"/>
  <c r="N140"/>
  <c r="K141"/>
  <c r="N141"/>
  <c r="K143"/>
  <c r="N143"/>
  <c r="B11" i="8"/>
  <c r="B12"/>
  <c r="B13"/>
  <c r="B14"/>
  <c r="B15"/>
  <c r="B16"/>
  <c r="B17"/>
  <c r="B18"/>
  <c r="B19"/>
  <c r="B20"/>
  <c r="B21"/>
  <c r="B22"/>
  <c r="B23"/>
  <c r="B24"/>
  <c r="B25"/>
  <c r="B26"/>
  <c r="B43"/>
  <c r="B44"/>
  <c r="B45"/>
  <c r="B46"/>
  <c r="A47"/>
  <c r="B47"/>
  <c r="A48"/>
  <c r="B48"/>
  <c r="A49"/>
  <c r="B49"/>
  <c r="B50"/>
  <c r="B51"/>
  <c r="P9" i="6"/>
  <c r="H23"/>
  <c r="AX35"/>
  <c r="AX91"/>
  <c r="T85"/>
  <c r="T91"/>
  <c r="AJ85"/>
  <c r="AJ91"/>
  <c r="S90"/>
  <c r="A89"/>
  <c r="L90"/>
  <c r="B94"/>
  <c r="B95"/>
  <c r="B121"/>
  <c r="A140"/>
  <c r="BQ43"/>
  <c r="BQ41"/>
  <c r="N54"/>
  <c r="N13"/>
  <c r="AA91"/>
  <c r="B132"/>
  <c r="E132"/>
  <c r="F131"/>
  <c r="N131"/>
  <c r="O134"/>
  <c r="K39"/>
  <c r="N39"/>
  <c r="H128"/>
  <c r="O131"/>
  <c r="A155"/>
  <c r="E153"/>
  <c r="F152"/>
  <c r="AE91"/>
  <c r="B134"/>
  <c r="A134"/>
  <c r="B154"/>
  <c r="BP25"/>
  <c r="J9"/>
  <c r="P12"/>
  <c r="H9"/>
  <c r="B9"/>
  <c r="N9"/>
  <c r="M9"/>
  <c r="A150"/>
  <c r="A159"/>
  <c r="N128"/>
  <c r="P134"/>
  <c r="B150"/>
  <c r="N127"/>
  <c r="O125"/>
  <c r="C147"/>
  <c r="A136"/>
  <c r="X91"/>
  <c r="B129"/>
  <c r="A132"/>
  <c r="AI91"/>
  <c r="B168"/>
  <c r="A168"/>
  <c r="B159"/>
  <c r="V91"/>
  <c r="B126"/>
  <c r="A126"/>
  <c r="E126"/>
  <c r="F125"/>
  <c r="E134"/>
  <c r="F133"/>
  <c r="E167"/>
  <c r="AO91"/>
  <c r="C145"/>
  <c r="B145"/>
  <c r="B128"/>
  <c r="E128"/>
  <c r="F127"/>
  <c r="AF91"/>
  <c r="B135"/>
  <c r="U91"/>
  <c r="B125"/>
  <c r="E125"/>
  <c r="BC91"/>
  <c r="B163"/>
  <c r="E163"/>
  <c r="O127"/>
  <c r="I7"/>
  <c r="BO42"/>
  <c r="I5"/>
  <c r="J6"/>
  <c r="BO44"/>
  <c r="N10"/>
  <c r="N5"/>
  <c r="B85"/>
  <c r="D85"/>
  <c r="L5"/>
  <c r="D6"/>
  <c r="B7"/>
  <c r="BO31"/>
  <c r="J5"/>
  <c r="D5"/>
  <c r="L31"/>
  <c r="N31"/>
  <c r="BO40"/>
  <c r="BO36"/>
  <c r="D7"/>
  <c r="BO47"/>
  <c r="H5"/>
  <c r="N123"/>
  <c r="P126"/>
  <c r="G135"/>
  <c r="B153"/>
  <c r="A149"/>
  <c r="E165"/>
  <c r="F164"/>
  <c r="W91"/>
  <c r="B127"/>
  <c r="A127"/>
  <c r="E127"/>
  <c r="G126"/>
  <c r="AK91"/>
  <c r="C141"/>
  <c r="E141"/>
  <c r="B137"/>
  <c r="E137"/>
  <c r="G136"/>
  <c r="E168"/>
  <c r="F167"/>
  <c r="BO57"/>
  <c r="P5"/>
  <c r="BO37"/>
  <c r="BP28"/>
  <c r="BO43"/>
  <c r="BO58"/>
  <c r="BO35"/>
  <c r="L28"/>
  <c r="N28"/>
  <c r="BO63"/>
  <c r="BO61"/>
  <c r="B44"/>
  <c r="D44"/>
  <c r="BP26"/>
  <c r="E145"/>
  <c r="F144"/>
  <c r="A137"/>
  <c r="B33"/>
  <c r="D33"/>
  <c r="E156"/>
  <c r="A156"/>
  <c r="B151"/>
  <c r="A151"/>
  <c r="B130"/>
  <c r="A130"/>
  <c r="A154"/>
  <c r="H127"/>
  <c r="O130"/>
  <c r="O128"/>
  <c r="H125"/>
  <c r="E158"/>
  <c r="A158"/>
  <c r="A163"/>
  <c r="A125"/>
  <c r="G152"/>
  <c r="BO32"/>
  <c r="G140"/>
  <c r="B73"/>
  <c r="D73"/>
  <c r="B81"/>
  <c r="D81"/>
  <c r="B25"/>
  <c r="D25"/>
  <c r="I13"/>
  <c r="A128"/>
  <c r="G166"/>
  <c r="F166"/>
  <c r="BO41"/>
  <c r="B31"/>
  <c r="D31"/>
  <c r="B39"/>
  <c r="D39"/>
  <c r="B26"/>
  <c r="D26"/>
  <c r="B40"/>
  <c r="D40"/>
  <c r="B49"/>
  <c r="D49"/>
  <c r="B64"/>
  <c r="D64"/>
  <c r="O126"/>
  <c r="G167"/>
  <c r="B83"/>
  <c r="D83"/>
  <c r="G144"/>
  <c r="F157"/>
  <c r="G157"/>
  <c r="E130"/>
  <c r="G129"/>
  <c r="F155"/>
  <c r="G155"/>
  <c r="F126"/>
  <c r="F136"/>
  <c r="G137"/>
  <c r="F140"/>
  <c r="G127"/>
  <c r="F129"/>
  <c r="B146"/>
  <c r="A146"/>
  <c r="E146"/>
  <c r="A144"/>
  <c r="E144"/>
  <c r="B144"/>
  <c r="A152"/>
  <c r="E152"/>
  <c r="B152"/>
  <c r="BO30"/>
  <c r="B24"/>
  <c r="D24"/>
  <c r="B30"/>
  <c r="D30"/>
  <c r="F162"/>
  <c r="G162"/>
  <c r="E162"/>
  <c r="F161"/>
  <c r="G161"/>
  <c r="A162"/>
  <c r="E143"/>
  <c r="A143"/>
  <c r="B143"/>
  <c r="E142"/>
  <c r="A142"/>
  <c r="B142"/>
  <c r="B48"/>
  <c r="D48"/>
  <c r="B47"/>
  <c r="D47"/>
  <c r="BO29"/>
  <c r="B50"/>
  <c r="D50"/>
  <c r="E135"/>
  <c r="A135"/>
  <c r="P129"/>
  <c r="O129"/>
  <c r="N126"/>
  <c r="P127"/>
  <c r="H124"/>
  <c r="N124"/>
  <c r="H122"/>
  <c r="N122"/>
  <c r="P125"/>
  <c r="E155"/>
  <c r="B155"/>
  <c r="B86"/>
  <c r="D86"/>
  <c r="E84"/>
  <c r="G149"/>
  <c r="BF91"/>
  <c r="B164"/>
  <c r="BO59"/>
  <c r="BO46"/>
  <c r="B42"/>
  <c r="D42"/>
  <c r="F124"/>
  <c r="B147"/>
  <c r="A147"/>
  <c r="O177"/>
  <c r="S91"/>
  <c r="B161"/>
  <c r="A157"/>
  <c r="B157"/>
  <c r="E157"/>
  <c r="AT91"/>
  <c r="C148"/>
  <c r="B69"/>
  <c r="D69"/>
  <c r="B23"/>
  <c r="D23"/>
  <c r="B57"/>
  <c r="D57"/>
  <c r="B43"/>
  <c r="D43"/>
  <c r="BO26"/>
  <c r="B71"/>
  <c r="D71"/>
  <c r="B70"/>
  <c r="D70"/>
  <c r="G164"/>
  <c r="B65"/>
  <c r="D65"/>
  <c r="B74"/>
  <c r="D74"/>
  <c r="B32"/>
  <c r="D32"/>
  <c r="BO28"/>
  <c r="G150"/>
  <c r="B46"/>
  <c r="D46"/>
  <c r="B38"/>
  <c r="D38"/>
  <c r="B51"/>
  <c r="D51"/>
  <c r="B66"/>
  <c r="D66"/>
  <c r="B141"/>
  <c r="BO34"/>
  <c r="H126"/>
  <c r="A138"/>
  <c r="G133"/>
  <c r="BO25"/>
  <c r="G131"/>
  <c r="B29"/>
  <c r="D29"/>
  <c r="B67"/>
  <c r="D67"/>
  <c r="BO60"/>
  <c r="G125"/>
  <c r="A141"/>
  <c r="E149"/>
  <c r="BO38"/>
  <c r="B37"/>
  <c r="D37"/>
  <c r="BO27"/>
  <c r="B41"/>
  <c r="D41"/>
  <c r="B63"/>
  <c r="D63"/>
  <c r="B68"/>
  <c r="D68"/>
  <c r="BO33"/>
  <c r="J13"/>
  <c r="B72"/>
  <c r="D72"/>
  <c r="L45"/>
  <c r="N45"/>
  <c r="N22"/>
  <c r="BO39"/>
  <c r="G153"/>
  <c r="B34"/>
  <c r="D34"/>
  <c r="A145"/>
  <c r="E147"/>
  <c r="E129"/>
  <c r="A129"/>
  <c r="B54"/>
  <c r="D54"/>
  <c r="B55"/>
  <c r="D55"/>
  <c r="D53"/>
  <c r="B77"/>
  <c r="D77"/>
  <c r="B78"/>
  <c r="D78"/>
  <c r="B75"/>
  <c r="D75"/>
  <c r="B76"/>
  <c r="D76"/>
  <c r="B82"/>
  <c r="D82"/>
  <c r="E166"/>
  <c r="A166"/>
  <c r="AB91"/>
  <c r="B133"/>
  <c r="K9"/>
  <c r="D9"/>
  <c r="O9"/>
  <c r="P128"/>
  <c r="P177"/>
  <c r="N125"/>
  <c r="Z91"/>
  <c r="B131"/>
  <c r="A131"/>
  <c r="E131"/>
  <c r="B28"/>
  <c r="D28"/>
  <c r="B27"/>
  <c r="D27"/>
  <c r="F146"/>
  <c r="G146"/>
  <c r="D36"/>
  <c r="B79"/>
  <c r="D79"/>
  <c r="B80"/>
  <c r="D80"/>
  <c r="A133"/>
  <c r="E133"/>
  <c r="F165"/>
  <c r="G165"/>
  <c r="F128"/>
  <c r="G128"/>
  <c r="D45"/>
  <c r="F156"/>
  <c r="G156"/>
  <c r="E164"/>
  <c r="A164"/>
  <c r="F154"/>
  <c r="G154"/>
  <c r="G141"/>
  <c r="F141"/>
  <c r="G143"/>
  <c r="F143"/>
  <c r="F145"/>
  <c r="G145"/>
  <c r="B62"/>
  <c r="D62"/>
  <c r="B60"/>
  <c r="D60"/>
  <c r="B61"/>
  <c r="D61"/>
  <c r="F148"/>
  <c r="G148"/>
  <c r="E22"/>
  <c r="E148"/>
  <c r="B148"/>
  <c r="A148"/>
  <c r="A161"/>
  <c r="E161"/>
  <c r="G124"/>
  <c r="G176"/>
  <c r="G134"/>
  <c r="F134"/>
  <c r="G142"/>
  <c r="F142"/>
  <c r="G151"/>
  <c r="F151"/>
  <c r="D84"/>
  <c r="E59"/>
  <c r="D59"/>
  <c r="K93"/>
  <c r="B179"/>
  <c r="F132"/>
  <c r="G132"/>
  <c r="F160"/>
  <c r="G160"/>
  <c r="F147"/>
  <c r="G147"/>
  <c r="F163"/>
  <c r="G163"/>
  <c r="F130"/>
  <c r="F176"/>
  <c r="B178"/>
  <c r="G130"/>
</calcChain>
</file>

<file path=xl/sharedStrings.xml><?xml version="1.0" encoding="utf-8"?>
<sst xmlns="http://schemas.openxmlformats.org/spreadsheetml/2006/main" count="9560" uniqueCount="2044">
  <si>
    <t>FILM PARE VAPEUR 2.50MX8M EP150 MIC</t>
  </si>
  <si>
    <t>ROL</t>
  </si>
  <si>
    <t>PLINTHE 2400X80X15 ILLINOIS S</t>
  </si>
  <si>
    <t>BARRE DE SEUIL ALU 3,7X83 ILLINOIS S</t>
  </si>
  <si>
    <t>BARRE JONCTION ALU 30X90 NATURE</t>
  </si>
  <si>
    <t>BARRE JONCTION ALU 30X90 CHENE BLANC</t>
  </si>
  <si>
    <t>SCR</t>
  </si>
  <si>
    <t>BARRE DE SEUIL MDF 3 EN 1 CHENE VERNI</t>
  </si>
  <si>
    <t>BARRE DE SEUIL ALU 3,7X83 MAINE B</t>
  </si>
  <si>
    <t>PLINTHE 2400X58X14 MAINE B</t>
  </si>
  <si>
    <t>BARRE DE SEUIL ALU 3,7X83 DELAWARE C</t>
  </si>
  <si>
    <t>PLINTHE 2400X80X15 DELAWARE C</t>
  </si>
  <si>
    <t>BARRE DE SEUIL ALU 3,7X83 WASHINGTON R</t>
  </si>
  <si>
    <t>PLINTHE 2400X80X15 WASHINGTON R</t>
  </si>
  <si>
    <t>BARRE DE SEUIL ALU 3,7X83 NEW YORK T</t>
  </si>
  <si>
    <t>PLINTHE 2400X80X15 NEW YORK T</t>
  </si>
  <si>
    <t>LOT 5 PLINTHES 9,5X68X2200 BLANC</t>
  </si>
  <si>
    <t>LOT 5 PLINTHES 9,5X68X2200 BRUT</t>
  </si>
  <si>
    <t>PLINTHE 2400X80X15 KANSAS</t>
  </si>
  <si>
    <t>PLINTHE 2400X80X15 CONNECTICUT U</t>
  </si>
  <si>
    <t>BARRE DE SEUIL ALU 3,7X83 CONNECTICUT U</t>
  </si>
  <si>
    <t>PLINTHE 2400X80X15 CAROLINA F</t>
  </si>
  <si>
    <t>BARRE DE SEUIL ALU 3,7X83 CAROLINA F</t>
  </si>
  <si>
    <t>PLINTHE 2400X80X15 MISSOURI K</t>
  </si>
  <si>
    <t>BARRE DE SEUIL ALU 3,7X83 MISSOURI K</t>
  </si>
  <si>
    <t>PLINTHE 2400X80X15 MARYLAND J</t>
  </si>
  <si>
    <t>BARRE DE SEUIL ALU 3,7X83  MARYLAND J</t>
  </si>
  <si>
    <t xml:space="preserve"> LOT 5 PLINTHES 9.5X68X2200 HETRE</t>
  </si>
  <si>
    <t>PROFIL SDN 2400X45X118</t>
  </si>
  <si>
    <t>RAIL 120CM DECOR BLANC E122</t>
  </si>
  <si>
    <t>RAIL 180CM DECOR BLANC E183</t>
  </si>
  <si>
    <t>RAIL 270CM DECOR BLANC E270</t>
  </si>
  <si>
    <t>RAIL 360CM DECOR BLANC</t>
  </si>
  <si>
    <t>RAIL 360CM DECOR GRIS</t>
  </si>
  <si>
    <t>RAIL 120CM DECOR ALU C120</t>
  </si>
  <si>
    <t>RAIL 270CM DECOR ALU C270</t>
  </si>
  <si>
    <t>RAIL 180CM DECOR ALU C180</t>
  </si>
  <si>
    <t>KIT 3 MOULURES PVC DECO TON ALU 91CM</t>
  </si>
  <si>
    <t>VANTAIL DECOR BLC VEINE H.250XL.50CM EN</t>
  </si>
  <si>
    <t>VANTAIL DECOR BLC VEINE H.250XL70CM</t>
  </si>
  <si>
    <t>VANTAIL DECOR BLC VEINE H.250XL80CM</t>
  </si>
  <si>
    <t>VANTAIL DECOR BLC VEINE H.250XL.100CM EN</t>
  </si>
  <si>
    <t>VANTAIL DEC. CH. GRISE H.250XL.61 CM EN</t>
  </si>
  <si>
    <t xml:space="preserve"> RAIL ACIER DECOR VERMEIL 120CM</t>
  </si>
  <si>
    <t xml:space="preserve"> RAIL ACIER DECOR VERMEIL 1800</t>
  </si>
  <si>
    <t xml:space="preserve"> RAIL ACIER DECOR VERMEIL 2700</t>
  </si>
  <si>
    <t>RAIL ACIER DECOR VERMEIL 3600</t>
  </si>
  <si>
    <t>PACK COULISSANT DECOR BLC VEINE 250X120</t>
  </si>
  <si>
    <t>PACK COUL. DECOR BLC VEINE 250X153 E6</t>
  </si>
  <si>
    <t>PACK COUL. DECOR BLC VEINE 120X120 E8</t>
  </si>
  <si>
    <t>PACK  DECOR MIROIR ARGENT 2500 x 1200</t>
  </si>
  <si>
    <t>PACK DECOR BLANC 2 VTX 2500x1800 EN PPSM</t>
  </si>
  <si>
    <t>PACK 2 VANTAUX GRIS VEINE 250x180</t>
  </si>
  <si>
    <t>KIT 2 JEUX DE GUIDE HAUT AV et AR</t>
  </si>
  <si>
    <t>PACK PTES COULISSANTES 250X170 BLANC</t>
  </si>
  <si>
    <t>PACK 3 VANTAUX 250x180</t>
  </si>
  <si>
    <t xml:space="preserve"> KIT 2 JEUX DE GUIDE HAUT</t>
  </si>
  <si>
    <t>KIT 2 ROULETTES + GUIDE HAUT</t>
  </si>
  <si>
    <t xml:space="preserve"> PACK 2 VTX BLANC 250X160</t>
  </si>
  <si>
    <t>PACK 2 VTX PRÊT À PEINDRE 2500X1200</t>
  </si>
  <si>
    <t>VANTAIL 250X61 IMITATION DECOR CH. CLAIR</t>
  </si>
  <si>
    <t>VANTAIL 250X61 DECOR PURE GRIS EN PPSM</t>
  </si>
  <si>
    <t>VANTAIL 250X61 DEC. CH. GRISE/MIROIR EN</t>
  </si>
  <si>
    <t>VANTAIL 250X61  DEC. BLC/MIROIR EN PPSM</t>
  </si>
  <si>
    <t xml:space="preserve"> KIT AMORTISSEURS</t>
  </si>
  <si>
    <t>SOUS COUCHE PARE VAPEUR RLX 15M² -20dB</t>
  </si>
  <si>
    <t>SOUS COUCHE PARE VAPEUR RLX 15M² - 3MM</t>
  </si>
  <si>
    <t>SOUS COUCHE PE RLX 20M²-2MM</t>
  </si>
  <si>
    <t>SOUS COUCHE FIBRE BOIS 5MM  6,99 M²</t>
  </si>
  <si>
    <t>PREDECOUPE MEDIUM 120X80 3MM</t>
  </si>
  <si>
    <t>PREDECOUPE MEDIUM 120X80 10MM</t>
  </si>
  <si>
    <t>PANNEAU AGGLO HYDRO 2550X925 EP 19MM</t>
  </si>
  <si>
    <t>TABLETTE MELAMINE BLANC 250X40 18MM</t>
  </si>
  <si>
    <t>TABLETTE MELAMINE BLANC 250X50 18MM</t>
  </si>
  <si>
    <t>TABLETTE MELAMINE BLANC 250X60 18MM</t>
  </si>
  <si>
    <t>TAB MELAMINE DEC.FRENE GRIS  200x40 18MM</t>
  </si>
  <si>
    <t>TAB MELAMINE DEC.FRENE GRIS 200x50 18MM</t>
  </si>
  <si>
    <t>TAB MELAMINE DEC.CHENE CLAIR 200x40 18MM</t>
  </si>
  <si>
    <t>TAB MELAMINE DEC.CHENE CLAIR 200x50 18MM</t>
  </si>
  <si>
    <t>TABL MELAMINE DEC.TAUPE MAT 200x40 18MM</t>
  </si>
  <si>
    <t>TABL MELAMINE DEC.TAUPE MAT 200x50 18MM</t>
  </si>
  <si>
    <t>TABL MELAMINE DEC. GRIS MAT 200x40 18MM</t>
  </si>
  <si>
    <t>TABL MELAMINE DEC. GRIS MAT 200x50 18MM</t>
  </si>
  <si>
    <t>TABLETTE MELAMINE BLANC 200X60 16MM</t>
  </si>
  <si>
    <t>TABLETTE MELAMINE BLANC 200X30 16MM</t>
  </si>
  <si>
    <t>TABLETTE MELAMINE BLANC 200X40 16MM</t>
  </si>
  <si>
    <t>TABLETTE MELAMINE BLANC 200X50 16MM</t>
  </si>
  <si>
    <t>KIT BALUSTRES ALUMINIUM BLANC 2M</t>
  </si>
  <si>
    <t>POTEAU ALUMINIUM BLANC/FIXATION A PLAT</t>
  </si>
  <si>
    <t>KIT BALUSTRES ACIER  GALVA GRIS INT/EXT</t>
  </si>
  <si>
    <t>DALLE PVC 45x45 GRIS SOURIS 1,045M2</t>
  </si>
  <si>
    <t>DALLE PVC 45x45 ANTHRACITE 1,045M2</t>
  </si>
  <si>
    <t>PLANCHE CHENE MASSIF 2000X180x20</t>
  </si>
  <si>
    <t>DALLE PVC 30X30 ARDOISE 1,02M²</t>
  </si>
  <si>
    <t>DALLE PVC 30X30 NUAGE 1,02M²</t>
  </si>
  <si>
    <t>DALLE PVC 45x45 BETON CIRE 1,045M²</t>
  </si>
  <si>
    <t>DALLE PVC 30X60 GRIS METALLIQUE 1,115M²</t>
  </si>
  <si>
    <t>LAME PVC 15X91 CHENE PATINE 0,97M²</t>
  </si>
  <si>
    <t>LAME PVC 15X91 CHENE VINTAGE 0,97M²</t>
  </si>
  <si>
    <t>LAME PVC CLIC 15X93 CHENE RABOTE 2,244</t>
  </si>
  <si>
    <t>LAME PVC CLIC 15X93 GRIS TENDANCE 2,244</t>
  </si>
  <si>
    <t>LAME PVC CLIC 15X93 CHENE RUSTIQUE 2,244</t>
  </si>
  <si>
    <t>LAME PVC CLIC 23X120 CHENE VIEILLI 2,23</t>
  </si>
  <si>
    <t>PQT MASSIF CH.NAT.BROSSE VERNIS 2CF 1,08</t>
  </si>
  <si>
    <t>PARQUET MASSIF 15mm X 120 mm CLIC</t>
  </si>
  <si>
    <t>PARQUET MONOLAME 0,907m CHENE 14mm</t>
  </si>
  <si>
    <t>PARQUET MONOLAME 0,907m CH.CERUSE 14mm</t>
  </si>
  <si>
    <t>PLINTHE 2400X80X15 OHIO O</t>
  </si>
  <si>
    <t>ADHESIF DOUBLE FACE 50MMX25M</t>
  </si>
  <si>
    <t>PLINTHE 2400X80X15 HAWAI J</t>
  </si>
  <si>
    <t>PLINTHE 2400X80X15 GEORGIA S</t>
  </si>
  <si>
    <t>SACHET 10 TOURILLONS HE 16X35</t>
  </si>
  <si>
    <t>25.000</t>
  </si>
  <si>
    <t>BALUSTRE DROITE SDN 18X90X880MM</t>
  </si>
  <si>
    <t>BALUSTRE PROFILEE SDN 18X90X880MM</t>
  </si>
  <si>
    <t>POTEAU ARRONDI SDN 70x70x1180mm</t>
  </si>
  <si>
    <t>TRAVERSE SAP SDN 55x25x2500mm</t>
  </si>
  <si>
    <t>BALUSTRE TOURNEE 40x40x900 HETRE</t>
  </si>
  <si>
    <t>23.000</t>
  </si>
  <si>
    <t>POTEAU RECTANGLE 70x57X1300 HETRE</t>
  </si>
  <si>
    <t>MAIN COURANTE  HETRE D.40, l.2</t>
  </si>
  <si>
    <t>TUBE INOX D.10, l. 2M,5 PCES+ 10 EMBOUTS</t>
  </si>
  <si>
    <t>KIT BALUSTRE ALUMINIUM NOIR 2M</t>
  </si>
  <si>
    <t>POTEAU ALUMINIUM NOIR/FIXATION A PLAT</t>
  </si>
  <si>
    <t>27.000</t>
  </si>
  <si>
    <t>KIT BALUSTRES ACIER GRIS INT</t>
  </si>
  <si>
    <t>POTEAU ACIER GRIS INT</t>
  </si>
  <si>
    <t>PANIER FIL 50cm PROFONDEUR 58CM</t>
  </si>
  <si>
    <t>PANIER FIL 100cm PROFONDEUR 50CM</t>
  </si>
  <si>
    <t>CAISSON 50CM DECOR BLANC L.50XP.57,7XH.2</t>
  </si>
  <si>
    <t>CAISSON 100CM DEC BLC L.100XP.57,7XH.200</t>
  </si>
  <si>
    <t>CAISSON 100CM DEC BLC L.100XP.57,7XH.235</t>
  </si>
  <si>
    <t>TIROIR P58 L50 H13 DECOR BL</t>
  </si>
  <si>
    <t>TIROIR P58 L100 H13 DECOR BL</t>
  </si>
  <si>
    <t>TIROIR P58 L50 H29 DECOR BL</t>
  </si>
  <si>
    <t>TIROIR P58 L100 H29 DECOR BL</t>
  </si>
  <si>
    <t>KIT 2 ETAGERES L50xP58 DECOR BLANC</t>
  </si>
  <si>
    <t>KIT 2 ETAGERES L100xP58 DECOR BLANC</t>
  </si>
  <si>
    <t>CAISSON D ANGLE DEC BLANC L.40XP.57,7X</t>
  </si>
  <si>
    <t>CAISSON D ANGLE DEC BLANC L.40XP.57,7</t>
  </si>
  <si>
    <t>ETAGERE RECOUPABLE DECOR BLANC L.200CM</t>
  </si>
  <si>
    <t>CAISSON 50CM DEC CHENE L.50XP.57,7XH.200</t>
  </si>
  <si>
    <t>CAISSON 100CM DEC CHENE L.100XP.57,7XH20</t>
  </si>
  <si>
    <t>CAISSON 50CM DEC CHENE L.50XP.57,7XH.235</t>
  </si>
  <si>
    <t>CAISSON 100CM DEC CHENE L.100XP.57,7XH23</t>
  </si>
  <si>
    <t>TIROIR P58 L50 H13 DECOR CH</t>
  </si>
  <si>
    <t>TIROIR P58 L100 H13 DECOR CH</t>
  </si>
  <si>
    <t>TIROIR P58 L50 H29 DECOR CH</t>
  </si>
  <si>
    <t>TIROIR P58 L100 H29 DECOR CH</t>
  </si>
  <si>
    <t>KIT 2 ETAGERES L50xP58 DECOR CHENE</t>
  </si>
  <si>
    <t>KIT 2 ETAGERES L100xP58 DECOR CHENE</t>
  </si>
  <si>
    <t>ETAGERE RECOUPABLE DECOR CHENE L.200CM</t>
  </si>
  <si>
    <t>CAISSON DANGLE DEC CHENE L.40XP.57,7X</t>
  </si>
  <si>
    <t>CAISSON D ANGLE DEC CHENE L.40XP.57,7X</t>
  </si>
  <si>
    <t>PTE BATTANTE  L50xH194 DEC BLANC ENPPSM</t>
  </si>
  <si>
    <t>PTE BATTANTE L50xH229 DEC BLANC EN PPSM</t>
  </si>
  <si>
    <t>PTE BATTANTE L50xH194 DEC CHENE ENPPSM</t>
  </si>
  <si>
    <t>PTE BATTANTE L50xH229 DEC CHENE EN PSSM</t>
  </si>
  <si>
    <t>PTE BATTANTE L50xH194 DEC GLOSSY EN PPSM</t>
  </si>
  <si>
    <t>PTE BATTANTE L50xH229 DEC GLOSSY EN PPSM</t>
  </si>
  <si>
    <t>2 ETAGERE ANGLE P58 DECOR BLANC</t>
  </si>
  <si>
    <t>2 ETAGERES ANGLE DECOR CHENE P40</t>
  </si>
  <si>
    <t>RAIL 1800mm PORTE COULISSANTE CHÊNE</t>
  </si>
  <si>
    <t>RAIL 2700mm PORTE COULISSANTE CHÊNE</t>
  </si>
  <si>
    <t>PISTOLET POUR CARTOUCHE OPP</t>
  </si>
  <si>
    <t>PISTOLET POUR CARTOUCHE MPP</t>
  </si>
  <si>
    <t>PISTOLET POUR CARTOUCHE HPP</t>
  </si>
  <si>
    <t>PREDECOUPE CP 800x400x5MM</t>
  </si>
  <si>
    <t>PREDECOUPE CP 800x400x10MM</t>
  </si>
  <si>
    <t>PREDECOUPE CP 800x600x5MM</t>
  </si>
  <si>
    <t>PREDECOUPE CP 800x600x10MM</t>
  </si>
  <si>
    <t>CONTREPLAQUE  2440x1220x5MM</t>
  </si>
  <si>
    <t>CONTREPLAQUE 2440x1220x10MM</t>
  </si>
  <si>
    <t>CONTREPLAQUE 2440x1220x15MM</t>
  </si>
  <si>
    <t>BANDE CHANT THERMO BLANC 23MMx25ML</t>
  </si>
  <si>
    <t>BANDE CHANT THERMO FOSSIL 23MMx5ML</t>
  </si>
  <si>
    <t>BANDE CHANT THERMO BETON 23MMx5ML</t>
  </si>
  <si>
    <t>PROFIL PVC U RIGIDE BLANC 275X16 M/M</t>
  </si>
  <si>
    <t>PROFIL PVC U RIGIDE BLANC 275X19 M/M</t>
  </si>
  <si>
    <t>PROFIL PVC RIGIDE A LEVRE</t>
  </si>
  <si>
    <t>PREDECOUPE CP 1200x800x5MM</t>
  </si>
  <si>
    <t>PREDECOUPE CP 1200x800x10MM</t>
  </si>
  <si>
    <t>PROFIL MULTIFONCTION GRIS INCENSE</t>
  </si>
  <si>
    <t>BANDE DE CHANT THERMOCOLLANT CHENE CLAIR</t>
  </si>
  <si>
    <t>BANDE DE CHANT THERMOCOLLANT GRIS MAT</t>
  </si>
  <si>
    <t>BANDE DE CHANT THERMO FRENE GRISE</t>
  </si>
  <si>
    <t>BANDE DE CHANT THERMO TAUPE MAT</t>
  </si>
  <si>
    <t>ARASEUR SIMPLE POUR BANDE DE CHANT</t>
  </si>
  <si>
    <t>TAQUETS BLANC PAR 16</t>
  </si>
  <si>
    <t>PLATEAU MELAMINE 1200X800X18 DECOR BETON</t>
  </si>
  <si>
    <t>TABLETTE CHENE 200x40x1,8</t>
  </si>
  <si>
    <t>PORTE PANTALON 3PIECES</t>
  </si>
  <si>
    <t>CINTRE PORTE PANTALON</t>
  </si>
  <si>
    <t>LOT DE 2 HOUSSES A VETEMENT ASPIRANTE</t>
  </si>
  <si>
    <t>BOITE INTISSE BEIGE</t>
  </si>
  <si>
    <t>BOITE INTISSE GRISE</t>
  </si>
  <si>
    <t>LOT 2 HOUSSES DE RGT</t>
  </si>
  <si>
    <t>SOUS COUCHE  XPS 5M² 5MM</t>
  </si>
  <si>
    <t>SOUS COUCHE XPS 15M² 2,2MM</t>
  </si>
  <si>
    <t>SOUS COUCHE XPS 14,75M² -  EP 1MM</t>
  </si>
  <si>
    <t>PLANCHER PIN NOUEUX 2000X180X21</t>
  </si>
  <si>
    <t>PLANCHER PIN 2000X180X21 WESTERN 1,44M²</t>
  </si>
  <si>
    <t>LAMBRIS PIN DECLASSE 200X10X1</t>
  </si>
  <si>
    <t xml:space="preserve"> LAMBRIS PIN ECO 2000X100X10 GO</t>
  </si>
  <si>
    <t>DALLE PLANCH.OSB3 INT/EXT 16MM 2050X675</t>
  </si>
  <si>
    <t>DOUBLE COLONNE ALASKA</t>
  </si>
  <si>
    <t>DOUBLE COLONNE CHENE</t>
  </si>
  <si>
    <t>AMENA DE PLACARD RIDEAU</t>
  </si>
  <si>
    <t>KIT AMENAGEMENT AVEC RIDEAU</t>
  </si>
  <si>
    <t>KIT SOUS PENTE</t>
  </si>
  <si>
    <t>y</t>
  </si>
  <si>
    <t>v</t>
  </si>
  <si>
    <t>z</t>
  </si>
  <si>
    <t>choisissez vos tiroirs</t>
  </si>
  <si>
    <t>tiroirs</t>
  </si>
  <si>
    <t>BARRE DE SEUIL ALU 4,7X83 NEBRASKA T</t>
  </si>
  <si>
    <t>Crédence</t>
  </si>
  <si>
    <t>Pieds Chromés Réglable 2 pces</t>
  </si>
  <si>
    <t>FACADE 1P 42X80 LUNA</t>
  </si>
  <si>
    <t>POIGNEE AXE</t>
  </si>
  <si>
    <t>FACADE 1P 42X80 NINA</t>
  </si>
  <si>
    <t>FACADE 1P 42X80 CITY</t>
  </si>
  <si>
    <t>POIGNEE STELLA</t>
  </si>
  <si>
    <t>LAMBRIS PVC 1F2600X375X8 VERONA GRIS 3,9</t>
  </si>
  <si>
    <t>LAMBRIS PVC 1F 2600X375X8 FIRENZE 3,9</t>
  </si>
  <si>
    <t>PLINTHE 2600X70X10 SKYROS</t>
  </si>
  <si>
    <t>SOL CLIC 7+2MM 32 LOUISIANE 2,402M² I</t>
  </si>
  <si>
    <t>SOL CLIC 8MM 32 CF ALASKA 2,362M² P</t>
  </si>
  <si>
    <t>BARRE BATTEMENT 2400X22X45</t>
  </si>
  <si>
    <t>CARRE SAPIN SS NOEUD 2M00 10X10</t>
  </si>
  <si>
    <t>TASSEAU SAPIN SS NOEUD 2M00 10X20</t>
  </si>
  <si>
    <t>TASSEAU SAPIN SS NOEUD 2M00 10X30</t>
  </si>
  <si>
    <t>TASSEAU SAPIN SS NOEUD 2M00 10X50</t>
  </si>
  <si>
    <t>CARRE SAPIN SS NOEUD 2M00 15X15</t>
  </si>
  <si>
    <t>TASSEAU SAPIN SS NOEUD 2M00 15X20</t>
  </si>
  <si>
    <t>BAGUETTE ANGLE SAPIN 2M50 30X30</t>
  </si>
  <si>
    <t>PU</t>
  </si>
  <si>
    <t>Facade lateral basse</t>
  </si>
  <si>
    <t>Face lateral haute</t>
  </si>
  <si>
    <t>14.000</t>
  </si>
  <si>
    <t>LOT DE 2 PUSH PULL AVEC CHARNIERES</t>
  </si>
  <si>
    <t>FOUR ENCASTRABLE A CATALYSE</t>
  </si>
  <si>
    <t>POUBELLE TRI SELECTIF 20L 1 BAC</t>
  </si>
  <si>
    <t>POUBELLE TRI SELECTIF 21L 2 BACS</t>
  </si>
  <si>
    <t>PANIER FIL COULISSANT PR CAISSON BAS 60</t>
  </si>
  <si>
    <t>POIGNEE NUDE</t>
  </si>
  <si>
    <t>PROFIL ETANCHEITE CONCAVE PR PL.TRAV3M</t>
  </si>
  <si>
    <t>ACCESSOIRES FINITION PR PROFIF ETANCHEIT</t>
  </si>
  <si>
    <t>PROFIL ALU DE JONCTION DROIT 28MM</t>
  </si>
  <si>
    <t>PROFIL ALU DE JONCTION D'ANGLE 28MM</t>
  </si>
  <si>
    <t>PROFIL ALU DE FINITION 28MM</t>
  </si>
  <si>
    <t>CREDENCE EN VERRE 60X70 ROUGE</t>
  </si>
  <si>
    <t>CREDENCE EN VERRE 90X70 ROUGE</t>
  </si>
  <si>
    <t>CREDENCE EN VERRE 60X70 TURQUOISE</t>
  </si>
  <si>
    <t>CREDENCE EN VERRE 90X70 TURQUOISE</t>
  </si>
  <si>
    <t>PLAN TRAVAIL 3000X640X38 CHENE MASSIF</t>
  </si>
  <si>
    <t>PLAN SNACK 1800X63X38 HETRE MASSIF</t>
  </si>
  <si>
    <t>FACADE 1P 70X15 TECNIK</t>
  </si>
  <si>
    <t>FACADE 1P 70X40 TECNIK</t>
  </si>
  <si>
    <t>FACADE 1P 70X60 TECNIK</t>
  </si>
  <si>
    <t>FACADE 3T 70X60 TECNIK</t>
  </si>
  <si>
    <t>FACADE 3T 70X80 TECNIK</t>
  </si>
  <si>
    <t>FACADE LATERALE BASSE TECNIK</t>
  </si>
  <si>
    <t>BANDEAU FOUR TECNIK</t>
  </si>
  <si>
    <t>FACADE LATERALE HAUTE TECNIK</t>
  </si>
  <si>
    <t>FACADE 1P 70X40 NUDE</t>
  </si>
  <si>
    <t>FACADE 1P+1T 70X40 NUDE</t>
  </si>
  <si>
    <t>FACADE 1 P 70X60 NUDE</t>
  </si>
  <si>
    <t>FACADE 1P+1T 70X60 NUDE</t>
  </si>
  <si>
    <t>FACADE HOTTE 42X60 NUDE</t>
  </si>
  <si>
    <t>FACADE 3T 70X60 NUDE</t>
  </si>
  <si>
    <t>FACADE 3T 70X80 NUDE</t>
  </si>
  <si>
    <t>FACADE LATERALE HAUTE NUDE</t>
  </si>
  <si>
    <t>FACADE LATERALE BASSE NUDE</t>
  </si>
  <si>
    <t>FACADE 1P 42X80 NUDE</t>
  </si>
  <si>
    <t>FACADE 1P 130X60 NUDE</t>
  </si>
  <si>
    <t>FACADE 1P 70X15 NUDE</t>
  </si>
  <si>
    <t>COTE FINITION DE COLONNE NUDE</t>
  </si>
  <si>
    <t>FILEUR D'ANGLE 70X4X4 NUDE</t>
  </si>
  <si>
    <t>BANDEAU FOUR  NUDE</t>
  </si>
  <si>
    <t>PLINTHE 2M40 NUDE</t>
  </si>
  <si>
    <t>FACADE 1P 70X40 ALLURE</t>
  </si>
  <si>
    <t>FACADE VITREE 1P 70X40 ALLURE</t>
  </si>
  <si>
    <t>FACADE 1P+ 1T 70X40 ALLURE</t>
  </si>
  <si>
    <t>FACADE 1P 70X60 ALLURE</t>
  </si>
  <si>
    <t>FACADE 1P + 1T 70X60 ALLURE</t>
  </si>
  <si>
    <t>FACADE  HOTTE 42X60 ALLURE</t>
  </si>
  <si>
    <t>FACADE 3T 70X60 ALLURE</t>
  </si>
  <si>
    <t>FACADE 3T 70X80 ALLURE</t>
  </si>
  <si>
    <t>FACADE LATERALE HAUTE ALLURE</t>
  </si>
  <si>
    <t>FACADE LATERALE BASSE ALLURE</t>
  </si>
  <si>
    <t>FACADE  1P 42X80  ALLURE</t>
  </si>
  <si>
    <t>FACADE 1 P 130X60 ALLURE</t>
  </si>
  <si>
    <t>FACADE 1P 70X15 ALLURE</t>
  </si>
  <si>
    <t>COTE DE FINITION DE COLONNE ALLURE</t>
  </si>
  <si>
    <t>FILEUR D'ANGLE 70X4X4 ALLURE</t>
  </si>
  <si>
    <t>BANDEAU FOUR ALLURE</t>
  </si>
  <si>
    <t>PLINTHE 2M40 ALLURE</t>
  </si>
  <si>
    <t>SUPP POTEAU + TIREFONS+CHEVILLES</t>
  </si>
  <si>
    <t>KIT FIXATION POTEAU SOL</t>
  </si>
  <si>
    <t>BANDE CHANT 31X1300 PIERRE ANTHRACITE</t>
  </si>
  <si>
    <t>PROFIL ALU JONCTION DRT 30MM ALU</t>
  </si>
  <si>
    <t>COLLE PARQUET BASE ALCOOL 7 KG</t>
  </si>
  <si>
    <t>PERFAX SEAU NEOPRENE LIQUIDE 5L</t>
  </si>
  <si>
    <t>CAISSON COLONNE BLANC</t>
  </si>
  <si>
    <t>CAISSON HAUT 40 BLANC</t>
  </si>
  <si>
    <t>CAISSON HAUT 60 BLANC</t>
  </si>
  <si>
    <t>CAISSON HAUT 80 BLANC</t>
  </si>
  <si>
    <t>CAISSON ANGLE HAUT BLANC</t>
  </si>
  <si>
    <t>CAISSON HOTTE BLANC</t>
  </si>
  <si>
    <t>CAISSON BAS 15 BLANC</t>
  </si>
  <si>
    <t>CAISSON DEMI COLONNE 130×60 BLANC</t>
  </si>
  <si>
    <t>KIT AMENAGEMENT ECO BLANC</t>
  </si>
  <si>
    <t>LOT DE 2 CHARNIERES AVEC AMORTIES 155</t>
  </si>
  <si>
    <t>MEUBLE BAS 60CM 2 CASSEROLIERS BALI</t>
  </si>
  <si>
    <t>MEUBLE COLONNE FOUR  200X60CM BALI</t>
  </si>
  <si>
    <t>B80</t>
  </si>
  <si>
    <t>B120</t>
  </si>
  <si>
    <t>3T 60</t>
  </si>
  <si>
    <t>3T 80</t>
  </si>
  <si>
    <t>Angle Bas</t>
  </si>
  <si>
    <t>Lat Haute</t>
  </si>
  <si>
    <t>Lat Basse</t>
  </si>
  <si>
    <t>Prix des kits tiroirs</t>
  </si>
  <si>
    <t>80 coffre</t>
  </si>
  <si>
    <t>Prix des charnières</t>
  </si>
  <si>
    <t>Epice</t>
  </si>
  <si>
    <t>Fin Haute</t>
  </si>
  <si>
    <t>SOL CLIC 6+2MM 31 INDIANA 2,402M² G</t>
  </si>
  <si>
    <t>FACADE 1P 42X80 STELLA</t>
  </si>
  <si>
    <t>FACADE 1P 70X40 DUNE</t>
  </si>
  <si>
    <t>BALUSTRE RAINURE 45X25X900 HETRE</t>
  </si>
  <si>
    <t>CABLE INOX 25M</t>
  </si>
  <si>
    <t>LOT 5 TENDEURS POUR CABLES</t>
  </si>
  <si>
    <t>X42</t>
  </si>
  <si>
    <t>X42V</t>
  </si>
  <si>
    <t>POTEAU HETRE FIXATION A PLAT</t>
  </si>
  <si>
    <t>POTEAU HETRE FIXATION LATERALE</t>
  </si>
  <si>
    <t>LOT DE 5 COUDES INOX</t>
  </si>
  <si>
    <t>CAISSON CUBE 35X35 BLANC</t>
  </si>
  <si>
    <t>CAISSON CUBE 35X35 GRIS</t>
  </si>
  <si>
    <t>VERIN A GAZ PR MEUBLE S/HOTTE</t>
  </si>
  <si>
    <t>FOUR INOX A ENCASTRER</t>
  </si>
  <si>
    <t>BAGUETTE ANGLE SAPIN 2M50 20X20</t>
  </si>
  <si>
    <t>BAGUETTE ANGLE SAPIN 2M50 24X24</t>
  </si>
  <si>
    <t>BARRE DE SEUIL ALU 3,7X83 MICHIGAN N</t>
  </si>
  <si>
    <t>BARRE DE SEUIL ALU 3,7X83 ILLINOIS R</t>
  </si>
  <si>
    <t>BARRE DE SEUIL ALU 3,7X83 WYOMING S</t>
  </si>
  <si>
    <t>BARRE DE SEUIL ALU 3,7X83 DAKOTA P</t>
  </si>
  <si>
    <t>PLINTHE 2400X80X15 WISCONSIN C</t>
  </si>
  <si>
    <t>CARTOUCHE FIXATION INTERIEUR 370 GR</t>
  </si>
  <si>
    <t>TABLETTE MEL BLANC 200X60 16MM</t>
  </si>
  <si>
    <t>TABLETTE MEL. HÊTRE MAT 200X40 16MM</t>
  </si>
  <si>
    <t>LAMBRIS PVC 1F 260X25X1 BLC BRILLT 3,9M</t>
  </si>
  <si>
    <t>PLINT. PLAC.BOIS 2400X80X15 CH.NATUREL</t>
  </si>
  <si>
    <t>CHARN</t>
  </si>
  <si>
    <t>42 x 80 vitrée</t>
  </si>
  <si>
    <t>PLINTHE DE RECOUVREMENT 2400X92X24</t>
  </si>
  <si>
    <t>PLINTHE RENOVATION 2400X120X15MM</t>
  </si>
  <si>
    <t>PLINTHE 2400X80X14,5 ARGENTE</t>
  </si>
  <si>
    <t>LOT 5 PLINTHES BLANC 2200X68X9,5MM</t>
  </si>
  <si>
    <t>LOT 5 PLINTHES MDF BRUT 2200X68X9,5MM</t>
  </si>
  <si>
    <t>BARRE DE SEUIL MDF 3 EN 1 CHENE NATUREL</t>
  </si>
  <si>
    <t>BARRE DE SEUIL MDF 3 EN 1 CHENE CERUSE</t>
  </si>
  <si>
    <t>BARRE DE SEUIL ALU 3,7X83 DORE</t>
  </si>
  <si>
    <t>BARRE DE SEUIL ALU 3,7X83 ARGENT</t>
  </si>
  <si>
    <t>BARRE DE SEUIL ALU 3,7X83 BRONZE</t>
  </si>
  <si>
    <t>BARRE SEUIL 1X30X830 ACIER LAITONNE</t>
  </si>
  <si>
    <t>BARRE SEUIL 1X30X730 ACIER LAITONNE</t>
  </si>
  <si>
    <t>PLINTHE 13X80X2400 CHENE MASSIF</t>
  </si>
  <si>
    <t>1/4 ROND 2400X16,5X16,5 CHENE CLAIR</t>
  </si>
  <si>
    <t>1/4 ROND 2400X16,5X16,5 CHENE CERUSE</t>
  </si>
  <si>
    <t>1/4 ROND 2400X16,5X16,5 BLANC</t>
  </si>
  <si>
    <t>MELAMINE ADHESIVE GALA</t>
  </si>
  <si>
    <t>CODE</t>
  </si>
  <si>
    <t>FACADE 1P 42X80 COSY</t>
  </si>
  <si>
    <t>DEMI-COLONNE</t>
  </si>
  <si>
    <t>FACADE 1P 130X60 CARGO</t>
  </si>
  <si>
    <t>FACADE 70X15 CARGO</t>
  </si>
  <si>
    <t>COTE FINITION DE COLONNE CARGO</t>
  </si>
  <si>
    <t>FILEUR D'ANGLE 70X4X4 CARGO</t>
  </si>
  <si>
    <t>BANDEAU FOUR CARGO</t>
  </si>
  <si>
    <t>PLINTHE 2M40 CARGO</t>
  </si>
  <si>
    <t>FAÇADE 1P 130 X 60 OXYGEN</t>
  </si>
  <si>
    <t>FACADE 70X15  OXYGEN</t>
  </si>
  <si>
    <t>COTE DE FINITION DE COLONNE OXYGEN</t>
  </si>
  <si>
    <t>BANDEAU FOUR  OXYGEN</t>
  </si>
  <si>
    <t>FACADE 1P 70X40 MILA</t>
  </si>
  <si>
    <t>GM300090</t>
  </si>
  <si>
    <t>FACADE 1P+1T 70X40 MILA</t>
  </si>
  <si>
    <t>FACADE 1P 70X60 MILA</t>
  </si>
  <si>
    <t>FACADE 1P+1T 70X60 MILA</t>
  </si>
  <si>
    <t>FACADE 1P 130X60 MILA</t>
  </si>
  <si>
    <t>FACADE HOTTE 42X60 MILA</t>
  </si>
  <si>
    <t>FACADE VITREE 70X40 MILA</t>
  </si>
  <si>
    <t>FACADE 3T 70X60 MILA</t>
  </si>
  <si>
    <t>FACADE 3T 70x80 MILA</t>
  </si>
  <si>
    <t>FACADE 70X15 MILA</t>
  </si>
  <si>
    <t>FACADELATERALE HAUTE MILA</t>
  </si>
  <si>
    <t>FACADE LATERALE BASSE MILA</t>
  </si>
  <si>
    <t>FACADE 70X15 COSY</t>
  </si>
  <si>
    <t>CACHE LUMIERE COSY</t>
  </si>
  <si>
    <t>POIGNEE COSY</t>
  </si>
  <si>
    <t>Largeur</t>
  </si>
  <si>
    <t>Hauteur</t>
  </si>
  <si>
    <t>GM300030</t>
  </si>
  <si>
    <t xml:space="preserve">Poids Total de la Cuisine : </t>
  </si>
  <si>
    <t>Kgs</t>
  </si>
  <si>
    <t>CAISSON 100CM CHENE L.100XP.57,7XH.200,3</t>
  </si>
  <si>
    <t>CAISSON 50CM CHENE L.50XP.57,7XH.235,5</t>
  </si>
  <si>
    <t>LOT 10 TASSEAUX SAPIN RABOTES 2M00 24X24</t>
  </si>
  <si>
    <t>Contrôle de coherence :</t>
  </si>
  <si>
    <t>TABL MEL BLC PERLE 250X40 18MM</t>
  </si>
  <si>
    <t>TABL MEL BLC PERLE 250X50 18MM</t>
  </si>
  <si>
    <t>HOTTES / EVIERS / PLAQUE DE CUISSON</t>
  </si>
  <si>
    <t>FAÇADE LATERALE BASSE MILA</t>
  </si>
  <si>
    <t>LAMBRIS MDF 2600X154X8 HONOLULU</t>
  </si>
  <si>
    <t>DALLE PLANCHER 19MM INT. 2050X610</t>
  </si>
  <si>
    <t>LAME PVC 15X91 CHENE BLANCHI 0,97M2</t>
  </si>
  <si>
    <t>LAME PVC 15X91 CHENE GRIS 0,97M2</t>
  </si>
  <si>
    <t>DALLE PVC 30X60 BETON 1,115M2</t>
  </si>
  <si>
    <t>LAME PVC 15X91 CHENE VIELLI 0,97M2</t>
  </si>
  <si>
    <t>LAME PVC 15X91 CHENE ANTIQUE 0,97M2</t>
  </si>
  <si>
    <t>CRED.3000X630X9 CHENE CLAIR/NOIR</t>
  </si>
  <si>
    <t>LAMBRIS PVC 2600X375X8 3F SYRACUSE 3,9M²</t>
  </si>
  <si>
    <t>FRUYTIER GROUP</t>
  </si>
  <si>
    <t>PLANCHE CHENE MASSIF 2000X180X20</t>
  </si>
  <si>
    <t>HENKEL</t>
  </si>
  <si>
    <t>LAMARQUE SOGY BOIS</t>
  </si>
  <si>
    <t>KRONOFRANCE</t>
  </si>
  <si>
    <t>KRONOSPAN LUXEMBOURG SA</t>
  </si>
  <si>
    <t>CONTREPLAQUE EXT 2440X1220X5MM</t>
  </si>
  <si>
    <t>CONTREPLAQUE EXT 2440X1220X10MM</t>
  </si>
  <si>
    <t>CONTREPLAQUE EXT 2440X1220X15MM</t>
  </si>
  <si>
    <t>PREDECOUPE CP 800X400X5MM</t>
  </si>
  <si>
    <t>PREDECOUPE CP 800X600X5MM</t>
  </si>
  <si>
    <t>PREDECOUPE CP 1200X800X5MM</t>
  </si>
  <si>
    <t>PREDECOUPE CP 800X400X10MM</t>
  </si>
  <si>
    <t xml:space="preserve">DEVIS CUISINE </t>
  </si>
  <si>
    <t>POIGNEE  COSY</t>
  </si>
  <si>
    <t>ACCESSOIRES MEUBLE</t>
  </si>
  <si>
    <t>DESIGNATION</t>
  </si>
  <si>
    <t>Accessoires finition  (Choix multiple)</t>
  </si>
  <si>
    <t>OUI</t>
  </si>
  <si>
    <t>PLAN DE TRAVAIL / CREDENCE / FINITION PLAN DE TRAVAIL</t>
  </si>
  <si>
    <t>PF DOUAI Geodis Automotive Nor</t>
  </si>
  <si>
    <t>FACADE 1P+1T 70X60 STELLA</t>
  </si>
  <si>
    <t>FACADE VITREE 70X40 COSY</t>
  </si>
  <si>
    <t>FACADE 1P 70X40 MEZZO</t>
  </si>
  <si>
    <t>FACADE 1P+1T 70X40 MEZZO</t>
  </si>
  <si>
    <t>FACADE 1P 70X60 MEZZO</t>
  </si>
  <si>
    <t>FACADE 1P+1T 70X60 MEZZO</t>
  </si>
  <si>
    <t>BALUSTRE TOURNEE 40X40X900 HETRE</t>
  </si>
  <si>
    <t>POTEAU RECTANGLE 70X57X1300 HETRE</t>
  </si>
  <si>
    <t>TUBE INOX D.10, L. 2M,5 PCES+ 10 EMBOUTS</t>
  </si>
  <si>
    <t>MAIN COURANTE  HETRE D.40, L.2</t>
  </si>
  <si>
    <t>AV</t>
  </si>
  <si>
    <t>KIT POUR MODELE EXPO - POTEAU ET CABLES</t>
  </si>
  <si>
    <t>PARECLOSE SAPIN 2M00 9X13</t>
  </si>
  <si>
    <t>CHAMBRANLE SAPIN 2M50 10X35</t>
  </si>
  <si>
    <t>TRETEAU PLIANT HETRE 750X750</t>
  </si>
  <si>
    <t>CART JOINT LIAISON HÊTR</t>
  </si>
  <si>
    <t>CART JOINT LIAISON CHÊN</t>
  </si>
  <si>
    <t>COLLE BOIS RAPIDE BIB. 750 GR</t>
  </si>
  <si>
    <t>CARTOUCHE POLYMERE PRO 385G</t>
  </si>
  <si>
    <t>CHARNIERS CLIPSABLES X2 A 175Â°</t>
  </si>
  <si>
    <t>LOT 2 SUPPORTS POUR PLAN SNACK</t>
  </si>
  <si>
    <t>LOT 2 SUPPORTS SNACK ALU H.19,4CM</t>
  </si>
  <si>
    <t>PANIER FIL COULISSANT PR CAISSON BAS 40</t>
  </si>
  <si>
    <t>DOUBLE CROCHET</t>
  </si>
  <si>
    <t>BANDE DE CHANT 31X1300 BLANC</t>
  </si>
  <si>
    <t>LOT10 1/4 ROND SAP.BRUT 2ML 15</t>
  </si>
  <si>
    <t>LOT 10 BAGU.SAPIN BRUT 2ML 24X24</t>
  </si>
  <si>
    <t>LOT 10 CHAMPLAT BRUT 2M00 6X30</t>
  </si>
  <si>
    <t>LOT 10 TASSEAUX SAPIN RABOTE 2M00 30X30</t>
  </si>
  <si>
    <t>LOT 10 TASSEAUX SAPIN RABOTE 2M00 17X27</t>
  </si>
  <si>
    <t>LOT 10 TASSEAUX SAPIN RABOTE 2M00 10X20</t>
  </si>
  <si>
    <t>ALEZE PLAN TRAV.SAP 2M50 20X40</t>
  </si>
  <si>
    <t>TOURILLON SAPIN 2M00 DIA.10</t>
  </si>
  <si>
    <t>TOURILLON SAPIN 2M00 DIA.15</t>
  </si>
  <si>
    <t>1/2 ROND SAPIN 2M00 DIA.15</t>
  </si>
  <si>
    <t>1/4 ROND SAPIN 2M50 DIA.10</t>
  </si>
  <si>
    <t>1/4 ROND SAPIN 2M50 DIA.13</t>
  </si>
  <si>
    <t>1/4 ROND SAPIN 2M50 DIA.20</t>
  </si>
  <si>
    <t>CHAMPLAT 2ARROND SAPIN 2M50 6X20</t>
  </si>
  <si>
    <t>CHAMPLAT 2ARROND SAPIN 2M50 6X30</t>
  </si>
  <si>
    <t>CHAMPLAT 2ARROND SAPIN 2M50 6X35</t>
  </si>
  <si>
    <t>CHAMPLAT 2ARROND SAPIN 2M50 6X40</t>
  </si>
  <si>
    <t>CHAMPLAT 2ARRON SAPIN 2M50 10X40</t>
  </si>
  <si>
    <t>CHAMPLAT MARRON SAPIN 2M00 10X50</t>
  </si>
  <si>
    <t>CIMAISE SAPIN 2M50 8X20</t>
  </si>
  <si>
    <t>CHAMBRANLE SAPIN 2M50 10X40</t>
  </si>
  <si>
    <t>CHAMBRANLE SAPIN 2M50 10X50</t>
  </si>
  <si>
    <t>LOT  6 CINTRES BOIS  GALBES</t>
  </si>
  <si>
    <t>DALLE PLANCHER OSB2 INT 18MM 1690X634</t>
  </si>
  <si>
    <t>DALLE PLANCH.OSB3 INT/EXT 15MM 1690X63</t>
  </si>
  <si>
    <t>PANNEAU OSB3 2440X1220 EP 9MM</t>
  </si>
  <si>
    <t>ELEVATEUR DE TRINGLE 100CM</t>
  </si>
  <si>
    <t>CAISSON 50CM BLANC L.50XP.57,7XH.200,3</t>
  </si>
  <si>
    <t>CAISSON 100CM BLANC L.100XP.57,7XH.200,3</t>
  </si>
  <si>
    <t>CAISSON 50CM BLANC L.50XP.57,7XH.235,5</t>
  </si>
  <si>
    <t>CAISSON 100CM BLANC L.100XP.57,7XH.235,5</t>
  </si>
  <si>
    <t>TIROIR P58 L50 H13 BL</t>
  </si>
  <si>
    <t>TIROIR P58 L100 H13 BL</t>
  </si>
  <si>
    <t>TIROIR P58 L50 H29 BL</t>
  </si>
  <si>
    <t>TASSEAU SAPIN SS NOEUD 2M00 15X30</t>
  </si>
  <si>
    <t>CARRE SAPIN SS NOEUD 2M00 20X20</t>
  </si>
  <si>
    <t>TASSEAU SAPIN SS NOEUD 2M00 20X30</t>
  </si>
  <si>
    <t>PORTE BATTANTE L50XH229 BLANC</t>
  </si>
  <si>
    <t>PORTE BATTANTE L50XH194 CHENE</t>
  </si>
  <si>
    <t>PORTE BATTANTE L50XH229 CHENE</t>
  </si>
  <si>
    <t>PORTE BATTANTE L50XH194 GLOSSY</t>
  </si>
  <si>
    <t>PORTE BATTANTE  L50XH229 GLOSSY</t>
  </si>
  <si>
    <t>PANIER FIL 50CM PROFONDEUR 58CM</t>
  </si>
  <si>
    <t>PANIER FIL 100CM PROFONDEUR 50CM</t>
  </si>
  <si>
    <t>COMPOSAD S.R.L.</t>
  </si>
  <si>
    <t>KIT 2 ETAGERES L50XP58 BLANC</t>
  </si>
  <si>
    <t>KIT 2 ETAGERES L100XP58 BLANC</t>
  </si>
  <si>
    <t>KIT 2 ETAGERES L50XP58 CHENE</t>
  </si>
  <si>
    <t>KIT 2 ETAGERES L100XP58 CHENE</t>
  </si>
  <si>
    <t>WM 88</t>
  </si>
  <si>
    <t>RETTENMEIER HOLZINDUSTRIE</t>
  </si>
  <si>
    <t>TABLETTE CHENE 200X40X1,8</t>
  </si>
  <si>
    <t>RODET SAS</t>
  </si>
  <si>
    <t>MASY PERES ET FILS</t>
  </si>
  <si>
    <t>BANDE CHANT THERMO HETRE MAT 23MMX5ML</t>
  </si>
  <si>
    <t>KIT EXTENSIBLE EVO CHENE</t>
  </si>
  <si>
    <t>FACADE 1P+1T 70X40 LENA</t>
  </si>
  <si>
    <t>FACADE HOTTE 42X60 LENA</t>
  </si>
  <si>
    <t>FACADE 1P 70X60 LENA</t>
  </si>
  <si>
    <t>FACADE 1P +1T 70X60 LENA</t>
  </si>
  <si>
    <t>FACADE 3T 70X60 LENA</t>
  </si>
  <si>
    <t>FACADE LATERALE HAUTE LENA</t>
  </si>
  <si>
    <t>FACADE LATERALE BASSE LENA</t>
  </si>
  <si>
    <t>CORNICHE 2M40 LENA</t>
  </si>
  <si>
    <t>PLINTHE 2M40 LENA</t>
  </si>
  <si>
    <t>FACADE 70X15 LENA</t>
  </si>
  <si>
    <t>FACADE 3T 70X80 LENA</t>
  </si>
  <si>
    <t>FACADE 1P 130X60 LENA</t>
  </si>
  <si>
    <t>FILEUR D'ANGLE 70X4X4CM LENA</t>
  </si>
  <si>
    <t xml:space="preserve"> BANDEAU FOUR LENA</t>
  </si>
  <si>
    <t>PLINTHE FINITION INOX 2500X150X13</t>
  </si>
  <si>
    <t>SACHET 2 MULTIANGLES ALU ET 4 CLIPS</t>
  </si>
  <si>
    <t>LAMBRIS SDN RABOTE 11X135X2050</t>
  </si>
  <si>
    <t>PROFIL ALU FINITION 40MM BLC</t>
  </si>
  <si>
    <t>JOINT ETANCHEITE CONCAVE PR PL.TRAV3M</t>
  </si>
  <si>
    <t>ACCESSOIRES FINITION PR JOINT ETANCHEITE</t>
  </si>
  <si>
    <t>CREDENCE INOX 60X63CM</t>
  </si>
  <si>
    <t>CREDENCE REVETUE INOX 3000X630X9,5</t>
  </si>
  <si>
    <t>PL.TRAV. A CARR. HYDRO 1850X630X28</t>
  </si>
  <si>
    <t>Hotte vitrée</t>
  </si>
  <si>
    <t>COSY</t>
  </si>
  <si>
    <t>STELLA</t>
  </si>
  <si>
    <t>Côté finition de colonne</t>
  </si>
  <si>
    <t>MEZZO</t>
  </si>
  <si>
    <t>JAZZY</t>
  </si>
  <si>
    <t>GALA</t>
  </si>
  <si>
    <t>Article</t>
  </si>
  <si>
    <t>Libellé article</t>
  </si>
  <si>
    <t>UVC</t>
  </si>
  <si>
    <t>UV</t>
  </si>
  <si>
    <t>COND</t>
  </si>
  <si>
    <t>PV</t>
  </si>
  <si>
    <t>Bas de 80 ss evier 2p+2faux t</t>
  </si>
  <si>
    <t>Bas de 80 2p+2t</t>
  </si>
  <si>
    <t>Bas de 80  casserolier</t>
  </si>
  <si>
    <t>Bas de 120 2p</t>
  </si>
  <si>
    <t>Bas de 120 2p+2t</t>
  </si>
  <si>
    <t>PLINTHE 2400X80X15 OKLAHOMA A</t>
  </si>
  <si>
    <t>PLINTHE 2400X80X15 UTAH B</t>
  </si>
  <si>
    <t>PLINTHE 2400X80X15 KANSAS M</t>
  </si>
  <si>
    <t>PLINTHE 2400X80X15 MICHIGAN N</t>
  </si>
  <si>
    <t>PLINTHE 2400X80X15 COLORADO F</t>
  </si>
  <si>
    <t>Emplacement</t>
  </si>
  <si>
    <t>Prix de Vente</t>
  </si>
  <si>
    <t>Fournisseur</t>
  </si>
  <si>
    <t>Commande en Cours</t>
  </si>
  <si>
    <t>Date de Livraison</t>
  </si>
  <si>
    <t>SU</t>
  </si>
  <si>
    <t>MARINELLI CUCINE S.R.L.</t>
  </si>
  <si>
    <t>LE HAVRE ENTREPOT</t>
  </si>
  <si>
    <t>TVILUM SCANBIRK</t>
  </si>
  <si>
    <t>PLANCHER PIN MARITIM DECLASSE 14X200 1,4</t>
  </si>
  <si>
    <t>PLANCHER PIN MARITIME NO NF 200X14 1,4M²</t>
  </si>
  <si>
    <t>CARRE SAPIN SS NOEUD 2M00 24X24</t>
  </si>
  <si>
    <t>CARRE SAPIN SS NOEUD 2M00 30X30</t>
  </si>
  <si>
    <t>PARQUET 1,598M 3F CH.VERNI 10,5X185X1080</t>
  </si>
  <si>
    <t>PARQUET MONOLAME 0,907M CHENE 14MM</t>
  </si>
  <si>
    <t>PARQUET MONOLAME 0,907M CH.CERUSE 14MM</t>
  </si>
  <si>
    <t>PARQUET MASSIF 15MM X 120 MM CLIC</t>
  </si>
  <si>
    <t>PLINTHE 2400X58X19 STOCKHOLM</t>
  </si>
  <si>
    <t>PLINTHE 2600X70X10 POROS</t>
  </si>
  <si>
    <t>LOT 5 PLINTHES 9.5X68X2200 HETRE</t>
  </si>
  <si>
    <t>FILEUR D'ANGLE 70X4X4CM JAZZY</t>
  </si>
  <si>
    <t>BANDEAU FOUR JAZZY</t>
  </si>
  <si>
    <t>PLINTHE 2M40 JAZZY</t>
  </si>
  <si>
    <t>MELAMINE ADHESIF JAZZY</t>
  </si>
  <si>
    <t>FACADE 1P 70x40 MEZZO</t>
  </si>
  <si>
    <t>FACADE 1P+1T 70x40 MEZZO</t>
  </si>
  <si>
    <t>FACADE 1P 70x60 MEZZO</t>
  </si>
  <si>
    <t>FACADE 1P+1T 70x60 MEZZO</t>
  </si>
  <si>
    <t>FACADE HOTTE 42x60 MEZZO</t>
  </si>
  <si>
    <t>FACADE 3T 70x60 MEZZO</t>
  </si>
  <si>
    <t>FACADE 3T 70x80 MEZZO</t>
  </si>
  <si>
    <t>FACADE LATERALE HAUTE MEZZO</t>
  </si>
  <si>
    <t>FACADE LATERALE BASSE MEZZO</t>
  </si>
  <si>
    <t>FACADE 1P 130x60 MEZZO</t>
  </si>
  <si>
    <t>FACADE 70x15 MEZZO</t>
  </si>
  <si>
    <t>FILEUR D'ANGLE 70X4X4CM MEZZO</t>
  </si>
  <si>
    <t>BANDEAU FOUR MEZZO</t>
  </si>
  <si>
    <t>PLINTHE 2M40 MEZZO</t>
  </si>
  <si>
    <t>TABLETTE CHENE 200X30X1,8</t>
  </si>
  <si>
    <t>SOUS COUCHE CONFORT XPS 2,2 15M²</t>
  </si>
  <si>
    <t>SOUS COUCHE CONFORT XPS 5MM 5M²</t>
  </si>
  <si>
    <t>BANDE ALU D'ETANCHEITE CONFORT 50M</t>
  </si>
  <si>
    <t>KIT BLANC</t>
  </si>
  <si>
    <t>KIT CHENE STRUCTURE</t>
  </si>
  <si>
    <t>LAMBRIS PVC 1F 400X25X1 BLC BRILLANT 4M2</t>
  </si>
  <si>
    <t>ANGLE UNIVERSEL 2M60 BLANC</t>
  </si>
  <si>
    <t>PROFIL MULTIFONCTION 2M60 BLANC</t>
  </si>
  <si>
    <t>U DE DEPART 2M60 BLANC</t>
  </si>
  <si>
    <t>PLINTHE 2M60 BLANC</t>
  </si>
  <si>
    <t>PROFIL DE JONCTION 2M60 BLANC</t>
  </si>
  <si>
    <t>LAMBRIS PVC 3F 2600X375X8 CER. GRIS 3,9M</t>
  </si>
  <si>
    <t>LAMBRIS PVC CLIC1F 120X25X1 BLC LAQ 2,4</t>
  </si>
  <si>
    <t>LAMBRIS PVC CLIC1F 120X25X1 CER.BEIGE2,4</t>
  </si>
  <si>
    <t>LOT 5 LAMES VOLET SDN 2400X90X27</t>
  </si>
  <si>
    <t>TASSEAU RABOTE SDN 2400X21X21</t>
  </si>
  <si>
    <t>QUANTITE</t>
  </si>
  <si>
    <t>TASSEAU RABOTE SDN 2400X21X37</t>
  </si>
  <si>
    <t>TASSEAU RABOTE SDN 2400X21X57</t>
  </si>
  <si>
    <t>TASSEAU RABOTE SDN 2400X21X70</t>
  </si>
  <si>
    <t>TASSEAU RABOTE SDN 2400X27X27</t>
  </si>
  <si>
    <t>TASSEAU RABOTE SDN 2400X27X47</t>
  </si>
  <si>
    <t>TASSEAU RABOTE SDN 2400X27X70</t>
  </si>
  <si>
    <t>TASSEAU RABOTE SDN 2400X35X35</t>
  </si>
  <si>
    <t>FOUR ENCASTRABLE A CONVECTION NATURELLE</t>
  </si>
  <si>
    <t>MELAMINE ADHESIVE ALLURE</t>
  </si>
  <si>
    <t>MELAMINE ADHESIVE NUDE</t>
  </si>
  <si>
    <t>FILEUR D'ANGLE 70X4X4 TECNIK</t>
  </si>
  <si>
    <t>DUNE</t>
  </si>
  <si>
    <t>ARTIK</t>
  </si>
  <si>
    <t>IDYLE</t>
  </si>
  <si>
    <t>DELIZ</t>
  </si>
  <si>
    <t>CUISINE KATIA</t>
  </si>
  <si>
    <t>CUISINE EN KIT LIANA</t>
  </si>
  <si>
    <t>CAISSON HAUT 92X40 BLANC</t>
  </si>
  <si>
    <t>CAISSON HAUT 92X60 BLANC</t>
  </si>
  <si>
    <t>CAISSON HAUT 92X80 BLANC</t>
  </si>
  <si>
    <t>CAISSON ANGLE HAUT 92X60 BLANC</t>
  </si>
  <si>
    <t xml:space="preserve"> MEUBLE SUR HOTTE BALI GRIS</t>
  </si>
  <si>
    <t>MEUBLE HAUT 40CM 1P BALI GRIS</t>
  </si>
  <si>
    <t>MEUBLE HAUT 80CM 2P BALI GRIS</t>
  </si>
  <si>
    <t>MEUBLE HAUT 120CM 3 P BALI GRIS</t>
  </si>
  <si>
    <t xml:space="preserve"> MEUBLE HAUT 60CM 1P BALI GRIS</t>
  </si>
  <si>
    <t>MEUBLE BAS 40CM 1P+1T BALI GRIS</t>
  </si>
  <si>
    <t>MEUBLE BAS FOUR 60CM BALI GRIS</t>
  </si>
  <si>
    <t>MEUBLE BAS 80CM 2P+2T BALI GRIS</t>
  </si>
  <si>
    <t>MEUBLE BAS 60CM 1P BALI GRIS</t>
  </si>
  <si>
    <t>MEUBLE BAS 120CM 2P BALI GRIS</t>
  </si>
  <si>
    <t>MEUBLE BAS 60 2 CASSEROLIERS BALI GRIS</t>
  </si>
  <si>
    <t>MEUBLE COLONNE FOUR 60CM BALI GRIS</t>
  </si>
  <si>
    <t>FACADE 1P 92X40 REFLEX</t>
  </si>
  <si>
    <t>FACADE 1P 92X60 REFLEX</t>
  </si>
  <si>
    <t>FACADE LATERALE HAUTE 92X31 REFLEX</t>
  </si>
  <si>
    <t>FACADE 1P 92X40 METRO</t>
  </si>
  <si>
    <t>FACADE 1P 92X60 METRO</t>
  </si>
  <si>
    <t>FACADE LATERALE HAUTE 92X31 METRO</t>
  </si>
  <si>
    <t>FACADE 1P 92X40 ALLURE</t>
  </si>
  <si>
    <t>FACADE 1P 92X60 ALLURE</t>
  </si>
  <si>
    <t>FACADE LATERALE HAUTE 92X31 ALLURE</t>
  </si>
  <si>
    <t>FACADE 1P 92X40 CARGO</t>
  </si>
  <si>
    <t>FACADE 1P 92X60 CARGO</t>
  </si>
  <si>
    <t>FACDE LATERALE HAUTE 92X31 CARGO</t>
  </si>
  <si>
    <t>FACADE 1P 92X40 LUNA</t>
  </si>
  <si>
    <t>FACADE 1P 92X60 LUNA</t>
  </si>
  <si>
    <t>FACADE LATERALE HAUTE 92X31 LUNA</t>
  </si>
  <si>
    <t>FACADE 1P 92X40 STELLA</t>
  </si>
  <si>
    <t>FACADE 1P 92X60 STELLA</t>
  </si>
  <si>
    <t>FACDE LATERALE HAUTE 92X31 STELLA</t>
  </si>
  <si>
    <t>FACADE 1P 92X40 NINA</t>
  </si>
  <si>
    <t>FACADE 1P 92X60 NINA</t>
  </si>
  <si>
    <t>FACDE LATERALE HAUTE 92X31 NINA</t>
  </si>
  <si>
    <t>FACADE 1P 92X40 COSY</t>
  </si>
  <si>
    <t>FACADE 1P 92X60 COSY</t>
  </si>
  <si>
    <t>FACDE LATERALE HAUTE 92X31 COSY</t>
  </si>
  <si>
    <t>FACADE 1P 92X40 MEZZO</t>
  </si>
  <si>
    <t>FACADE 1P 92X60 MEZZO</t>
  </si>
  <si>
    <t>FACADE LATERALE HAUTE 92X31 MEZZO</t>
  </si>
  <si>
    <t>FACADE 1P 92X40 DUNE</t>
  </si>
  <si>
    <t>FACADE LATERALE 92X31 HAUTE DUNE</t>
  </si>
  <si>
    <t>FACADE 1P 92X60 DUNE</t>
  </si>
  <si>
    <t>FACADE LATERALE HAUTE 92X31 EDEN</t>
  </si>
  <si>
    <t>FACADE 1P 92X40 EDEN</t>
  </si>
  <si>
    <t>FACADE 1P 92X60 EDEN</t>
  </si>
  <si>
    <t>FACADE 1P 92X40 ARTIK</t>
  </si>
  <si>
    <t>FACADE 1P 92X60 ARTIK</t>
  </si>
  <si>
    <t>FACADE LATERALE HAUTE 92X31 ARTIK</t>
  </si>
  <si>
    <t>FACADE 1P 70X40 COSY GRISE</t>
  </si>
  <si>
    <t>FACADE 1P+1T 70X40 COSY GRISE</t>
  </si>
  <si>
    <t>FACADE 1P 70X60 COSY GRISE</t>
  </si>
  <si>
    <t>FACADE 1P+1T 70X60 COSY GRISE</t>
  </si>
  <si>
    <t>FACADE HOTTE 42X60 COSY GRISE</t>
  </si>
  <si>
    <t>FACADE VITREE 70X40 COSY GRISE</t>
  </si>
  <si>
    <t>FACADE 3T 70X60 COSY GRISE</t>
  </si>
  <si>
    <t>FACADE 3T 70X80 COSY GRISE</t>
  </si>
  <si>
    <t>FACADE LATERALE HAUTE COSY GRISE</t>
  </si>
  <si>
    <t>FACADE LATERALE BASSE COSY GRISE</t>
  </si>
  <si>
    <t>FACADE 1P 130X60 COSY GRISE</t>
  </si>
  <si>
    <t>FACADE 1P 70X15 COSY GRISE</t>
  </si>
  <si>
    <t>COTE FINITION  COLONNE COSY GRISE</t>
  </si>
  <si>
    <t>FILEUR D'ANGLE 70X4X4 COSY GRISE</t>
  </si>
  <si>
    <t>BANDEAU FOUR COSY GRIS</t>
  </si>
  <si>
    <t>PLINTHE 2M40 COSY GRISE</t>
  </si>
  <si>
    <t>CORNICHE 2M40 COSY GRISE</t>
  </si>
  <si>
    <t>CACHE LUMIERE 2M40 COSY GRISE</t>
  </si>
  <si>
    <t>FACADE 1P 92X40 COSY GRISE</t>
  </si>
  <si>
    <t>FACADE 1P 92X60 COSY GRISE</t>
  </si>
  <si>
    <t>FACADE LATERALE HAUTE 92 X 31 COSY GRISE</t>
  </si>
  <si>
    <t>FACADE VITREE CADRE ALU 92X40</t>
  </si>
  <si>
    <t>FACADE VITREE CADRE ALU 92X60</t>
  </si>
  <si>
    <t>LOT 2 TABOURETS DE BAR NOIR DOMINO</t>
  </si>
  <si>
    <t>LOT 2 TABOURETS DE BAR GRIS DOMINO</t>
  </si>
  <si>
    <t>PL.TRAV.HYDRO 3000X630X38 ARDOISE</t>
  </si>
  <si>
    <t>CREDENCE 3000X630X9 DEC.ARDOISE</t>
  </si>
  <si>
    <t>PL.TRAV. 2600X635X28 DEC.BETON OXYDE</t>
  </si>
  <si>
    <t>CUISINE EQUIPEE PREMONTEE ASTRAL</t>
  </si>
  <si>
    <t>KIT TIROIR BAS FOUR 60CM</t>
  </si>
  <si>
    <t>BANDES DE CHANT 2PCES 3.5X65CM BET.CLAIR</t>
  </si>
  <si>
    <t>BANDES DE CHANT 2PCES 4,5X65CM MIKA</t>
  </si>
  <si>
    <t>CRED. 3000X630X9 BETON CIRE/BLANC</t>
  </si>
  <si>
    <t>PL.TRAV.1800X600X28 BLANC</t>
  </si>
  <si>
    <t>PL.TRAV.1800X600X28 DEC.PIERRE CLAIRE</t>
  </si>
  <si>
    <t>PL.TRAV.1800X600X28 DEC.BETON</t>
  </si>
  <si>
    <t>PL.TRAV.1800X600X28 DEC.HETRE</t>
  </si>
  <si>
    <t>PL.TRAV.1800X600X28 DEC.ARDOISE</t>
  </si>
  <si>
    <t>PL.TRAV.1800X600X28 DEC.SABLE</t>
  </si>
  <si>
    <t>BANDE DE CHANT 31X1300 DEC.BETON</t>
  </si>
  <si>
    <t>BANDE DE CHANT 31X300 DEC.HETRE</t>
  </si>
  <si>
    <t>BANDE DE CHANT 31X300 DEC.SABLE</t>
  </si>
  <si>
    <t>PLAQUE INDUCTION AVEC SLIDER 4 FEUX</t>
  </si>
  <si>
    <t>FOUR CATALYSE 5 FONCTIONS</t>
  </si>
  <si>
    <t>CAVE A VIN 59 BOUTEILLES</t>
  </si>
  <si>
    <t>LOT 2 TABOURETS DE BAR SUNRISE ROUGE</t>
  </si>
  <si>
    <t>LOT 2 TABOURETS DE BAR SUNRISE NOIR</t>
  </si>
  <si>
    <t>LOT 2 TABOURETS DE BAR SUNRISE BLANC</t>
  </si>
  <si>
    <t>LOT 2 TABOURETS BAR GRIS COCOON</t>
  </si>
  <si>
    <t>LOT 2 TABOURETS BAR NOIR COCOON</t>
  </si>
  <si>
    <t>LAVE VAISSELLE INTEGRABLE BEKO</t>
  </si>
  <si>
    <t>FOUR STATIQUE NOIR COOKE &amp; LEWIS</t>
  </si>
  <si>
    <t>MICRO-ONDES ENCASTRABLE NOIR/INOX</t>
  </si>
  <si>
    <t>FOUR PYROLYSE ENCASTRABLE CANDY</t>
  </si>
  <si>
    <t>LOT 2 TABOURETS DE BAR GRIS ROUND</t>
  </si>
  <si>
    <t>LOT 2 TABOURETS DE BAR NOIR ROUND</t>
  </si>
  <si>
    <t>PLAN TRAVAIL 2475X63X28 DECOR BETON</t>
  </si>
  <si>
    <t>PLA.TRAV.3000X630X38 DECOR BETON CLAIR</t>
  </si>
  <si>
    <t>PL.TRAV.2470X620X38 DEC.PIERRE NOIR</t>
  </si>
  <si>
    <t>CREDENCE 3000X630X9 DECOR BETON CLAIR</t>
  </si>
  <si>
    <t>LOT 2 TABOURETS DE BAR DANTE NOIR</t>
  </si>
  <si>
    <t>LOT 2 TABOURETS DE BAR DANTE BLANC</t>
  </si>
  <si>
    <t>LOT 2 TABOURETS DE BAR DANTE GRIS</t>
  </si>
  <si>
    <t>SACHET 4 PIEDS EN PLASTIQUE</t>
  </si>
  <si>
    <t>FOUR CATALYSE 7 FONCTIONS 71L</t>
  </si>
  <si>
    <t>LAVE VAISSELLE INTEGRABLE CANDY</t>
  </si>
  <si>
    <t>MELAMINE ADHESIVE SELECT</t>
  </si>
  <si>
    <t>MELAMINE ADHESIVE DECOR ALU</t>
  </si>
  <si>
    <t>DOMINO INDUCTION AVEC SLIDER</t>
  </si>
  <si>
    <t>PLAQUE CUISSON VITROCERAMIQUE 4 ZONES</t>
  </si>
  <si>
    <t>PLAQ.CUISSON INDUCTION 4 ZONES BEKO</t>
  </si>
  <si>
    <t>DOMINO VITROCERAMIQUE</t>
  </si>
  <si>
    <t>PLAQUE CUISSON GAZ 70CM 5 FEUX INOX</t>
  </si>
  <si>
    <t>PROFIL ALU DE FINITION DROIT 2M EP 28MM</t>
  </si>
  <si>
    <t>PROFIL ALU DE FINITION DROIT 2M EP 38MM</t>
  </si>
  <si>
    <t>FOND DE HOTTE INOX 60x63 cm</t>
  </si>
  <si>
    <t>PROFIL D ETANCHEITE POUR PLAN DE TRAVAIL</t>
  </si>
  <si>
    <t>ACCESSOIRES POUR PROFIL D'ETANCHEITE</t>
  </si>
  <si>
    <t>FOND DE HOTTE INOX 90x63 cm</t>
  </si>
  <si>
    <t>PL.TRAV.2440X630X28 DEC.ACIER BROSSE</t>
  </si>
  <si>
    <t>PL.TRAV.HYDRO 3000X630X36 NOIR MAT</t>
  </si>
  <si>
    <t>CRED.2440X630X9 DEC. ACIER/CASABLANCA</t>
  </si>
  <si>
    <t>BANDES DE CHANT 2 PCES 4,3X65CM NOIR MAT</t>
  </si>
  <si>
    <t>BANDES CHANT 2PCES 4,3X65CM ACIER BROSSE</t>
  </si>
  <si>
    <t>ROULEAU CHANT INOX  4,2M  PR CREDENCE</t>
  </si>
  <si>
    <t>ROULEAU CHANT INOX  4,2M  PR ILOT</t>
  </si>
  <si>
    <t>FACADE 1P 70X40 ARTIK</t>
  </si>
  <si>
    <t>FACADE 1P+1T 70X40 ARTIK</t>
  </si>
  <si>
    <t>FACADE 1P 70X60 ARTIK</t>
  </si>
  <si>
    <t>FACADE 1P+1T 70X60 ARTIK</t>
  </si>
  <si>
    <t>FACADE HOTTE 42X60 ARTIK</t>
  </si>
  <si>
    <t>FACADE 3T 70X60 ARTIK</t>
  </si>
  <si>
    <t>FACADE 3T 70X80 ARTIK</t>
  </si>
  <si>
    <t>FACADE LATERALE HAUTE ARTIK</t>
  </si>
  <si>
    <t>FACADE LATERALE BASSE ARTIK</t>
  </si>
  <si>
    <t>FACADE 1P 42X80 ARTIK</t>
  </si>
  <si>
    <t>FACADE 1P 130X60 ARTIK</t>
  </si>
  <si>
    <t>FACADE 70X15 ARTIK</t>
  </si>
  <si>
    <t>COTE FINITION DE COLONNE ARTIK</t>
  </si>
  <si>
    <t>FILEUR D'ANGLE 70X4X4CM ARTIK</t>
  </si>
  <si>
    <t>BANDEAU FOUR ARTIK</t>
  </si>
  <si>
    <t>PLINTHE 2M40 ARTIK</t>
  </si>
  <si>
    <t>FACADE 1P 70X40 DELIZ</t>
  </si>
  <si>
    <t>FACADE 1P+1T 70X40 DELIZ</t>
  </si>
  <si>
    <t>FACADE 1P 70X60 DELIZ</t>
  </si>
  <si>
    <t>FACADE 1P+1T 70X60 DELIZ</t>
  </si>
  <si>
    <t>FACADE HOTTE 42X60 DELIZ</t>
  </si>
  <si>
    <t>FACADE VITREE 70X40 DELIZ</t>
  </si>
  <si>
    <t>FACADE 3T 70X60 DELIZ</t>
  </si>
  <si>
    <t>FACADE 3T 70X80 DELIZ</t>
  </si>
  <si>
    <t>FACADE LATERALE HAUTE DELIZ</t>
  </si>
  <si>
    <t>FACADE LATERALE BASSE DELIZ</t>
  </si>
  <si>
    <t>FACADE 1P 42X80 DELIZ</t>
  </si>
  <si>
    <t>FACADE 1P 130X60 DELIZ</t>
  </si>
  <si>
    <t>FACADE 70X15 DELIZ</t>
  </si>
  <si>
    <t>COTE FINITION DE COLONNE DELIZ</t>
  </si>
  <si>
    <t>FILEUR D ANGLE 70X4X4CM DELIZ</t>
  </si>
  <si>
    <t>BANDEAU FOUR DELIZ</t>
  </si>
  <si>
    <t>PLINTHE 2M40 DELIZ</t>
  </si>
  <si>
    <t>CACHE LUMIERE DELIZ</t>
  </si>
  <si>
    <t>FACADE 1P 70X40 SELECT</t>
  </si>
  <si>
    <t>FACADE 1P+1T 70X40 SELECT</t>
  </si>
  <si>
    <t>FACADE 1P 70X60 SELECT</t>
  </si>
  <si>
    <t>FACADE 1P+1T 70X60 SELECT</t>
  </si>
  <si>
    <t>FACADE HOTTE 42X60 SELECT</t>
  </si>
  <si>
    <t>FACADE 3T 70X60 SELECT</t>
  </si>
  <si>
    <t>FAÇADE 3T 70X80 SELECT</t>
  </si>
  <si>
    <t>FACADE LATERALE HAUTE SELECT</t>
  </si>
  <si>
    <t>FACADE LATERALE BASSE SELECT</t>
  </si>
  <si>
    <t>FACADE 1P 42X80 SELECT</t>
  </si>
  <si>
    <t>FACADE 1P 130X60 SELECT</t>
  </si>
  <si>
    <t xml:space="preserve"> FACADE 70X15 SELECT</t>
  </si>
  <si>
    <t>COTE DE FINITION DE COLONNE SELECT</t>
  </si>
  <si>
    <t>FILEUR D'ANGLE 70X4X4CM SELECT</t>
  </si>
  <si>
    <t>BANDEAU POUR FOUR SELECT</t>
  </si>
  <si>
    <t>PLINTHE 2M40 SELECT</t>
  </si>
  <si>
    <t xml:space="preserve"> FACADE 1P 70X40 IDYLE</t>
  </si>
  <si>
    <t xml:space="preserve"> FACADE 1P+1T 70X40 IDYLE</t>
  </si>
  <si>
    <t xml:space="preserve"> FACADE 1P 70X60 IDYLE</t>
  </si>
  <si>
    <t xml:space="preserve"> FACADE 1P+1T 70X60 IDYLE</t>
  </si>
  <si>
    <t xml:space="preserve"> FACADE HOTTE 42X60 IDYLE</t>
  </si>
  <si>
    <t xml:space="preserve"> FACADE VITREE 70X40 IDYLE</t>
  </si>
  <si>
    <t xml:space="preserve"> FACADE 3T 70X60 IDYLE</t>
  </si>
  <si>
    <t xml:space="preserve"> FACADE 3T 70X80 IDYLE</t>
  </si>
  <si>
    <t>FACADE LATERALE HAUTE IDYLE</t>
  </si>
  <si>
    <t>FACADE LATERALE BASSE IDYLE</t>
  </si>
  <si>
    <t xml:space="preserve"> FACADE 1P 42X80 IDYLE</t>
  </si>
  <si>
    <t xml:space="preserve"> FACADE 1P 130X60 IDYLE</t>
  </si>
  <si>
    <t xml:space="preserve"> FACADE 70X15 IDYLE</t>
  </si>
  <si>
    <t>COTE FINITION DE COLONNE IDYLE</t>
  </si>
  <si>
    <t>FILEUR D'ANGLE  70X4X4 IDYLE</t>
  </si>
  <si>
    <t>BANDEAU FOUR  IDYLE</t>
  </si>
  <si>
    <t>PLINTHE  IDYLE</t>
  </si>
  <si>
    <t>CORNICHE 2M40 IDYLE</t>
  </si>
  <si>
    <t>FACADE VITREE CADRE ALU VERRE NOIR 70X40</t>
  </si>
  <si>
    <t>FACADE VITREE CADRE ALU VERRE NOIR 42X60</t>
  </si>
  <si>
    <t>FACADE VITREE CADRE ALU VERRE NOIR 42X80</t>
  </si>
  <si>
    <t>FACADE VITREE CADRE ALU VERRE NOIR 70X60</t>
  </si>
  <si>
    <t>CUISINE EN KIT SAMBA</t>
  </si>
  <si>
    <t>ADHESIF DOUBLE FACE SOL 5M X 50MM</t>
  </si>
  <si>
    <t>ADHESIF DOUBLE FACE SOL 25M X 48MM</t>
  </si>
  <si>
    <t>PARQ MASSIF 0.84M2 CHENE 70X22 W</t>
  </si>
  <si>
    <t>17.000</t>
  </si>
  <si>
    <t>BOT</t>
  </si>
  <si>
    <t>20 CALES DE DILATATION POUR STRATIFIE</t>
  </si>
  <si>
    <t>PALETTE 120X80 R30</t>
  </si>
  <si>
    <t>PAL</t>
  </si>
  <si>
    <t>PLINTHE 2400X58X19 CABRERA</t>
  </si>
  <si>
    <t>PLINTHE 2400X58X19 MANILLA</t>
  </si>
  <si>
    <t>PLINTHE 2400X58X19 GYALI</t>
  </si>
  <si>
    <t>PLINTHE 2400X58X19 ABER WRAC'H</t>
  </si>
  <si>
    <t>PLINTHE 2400X58X19 CELENIO</t>
  </si>
  <si>
    <t>SOL CLIC 7 + 2 MM AC3 ALDHIBAH 1,746 M²</t>
  </si>
  <si>
    <t>SOL CLIC 7 + 2 MM AC3 KANOPUS 1,746 M²</t>
  </si>
  <si>
    <t>PLINTHE 2400X58X19 ALDHIBAH</t>
  </si>
  <si>
    <t>SOL CLIC 8 MM AC4 MILLEPERTUIS 1.996 M²</t>
  </si>
  <si>
    <t>SOL CLIC 8 MM AC4 AMARYLLIS 1,996 M²</t>
  </si>
  <si>
    <t>SOL CLIC 7+2 MM AC3 CAMPANULE 1,746 M²</t>
  </si>
  <si>
    <t>PLINTHE 2400X58X19 CAMPANULE</t>
  </si>
  <si>
    <t>SOL CLIC 7+2 MM AC3 JASMIN 1,746 M²</t>
  </si>
  <si>
    <t>PLINTHE 2400X58X19 MILLEPERTUIS</t>
  </si>
  <si>
    <t>PLINTHE 2400X58X19 AMARYLLIS</t>
  </si>
  <si>
    <t>PLINTHE 2400X58X19 FATU HIVA</t>
  </si>
  <si>
    <t>16.000</t>
  </si>
  <si>
    <t>SOL CLIC 8MM 33 CF CAROLINA 2,176M² F</t>
  </si>
  <si>
    <t>13.000</t>
  </si>
  <si>
    <t>SOL CLIC 10MM AC5 NEW YORK 1,813M² T</t>
  </si>
  <si>
    <t>SOL CLIC 8MM AC5 GEORGIA 2.176 M² X</t>
  </si>
  <si>
    <t>PANNEAUX EXPO C33 ALDHIBAH-KANOPUS</t>
  </si>
  <si>
    <t>KIT RENO CHENE CLAIR AVEC RIDEAU</t>
  </si>
  <si>
    <t>KIT EXTENSIBLE LARIX</t>
  </si>
  <si>
    <t>KIT EXTENSIBLE BLANC MOBIL</t>
  </si>
  <si>
    <t>DOUBLE COLONNE ASPEN GESSATO</t>
  </si>
  <si>
    <t>KIT AMENAGEMENT NEVADA</t>
  </si>
  <si>
    <t>PANNEAUX EXPO C03</t>
  </si>
  <si>
    <t>LAMBRIS PVC 2600X375X8 MM BOIS GRIS</t>
  </si>
  <si>
    <t>LAMBRIS PVC DECOR CERUSE GRIS 3,9M²</t>
  </si>
  <si>
    <t>PROFILE DEPART GRIS 2M60</t>
  </si>
  <si>
    <t>LAMBRIS PVC CLIC1F 120X25X1 PIN GRIS 2,4</t>
  </si>
  <si>
    <t>PLANCHE SDN RABOTE 2400X120X18</t>
  </si>
  <si>
    <t>PLANCHE SDN RABOTE 2400X190X27</t>
  </si>
  <si>
    <t>POUTRE SAPIN 100X100 2M50 BRUT</t>
  </si>
  <si>
    <t>PISTOLET POUR CARTOUCHE DÉMULTIPLIANT</t>
  </si>
  <si>
    <t>NI CLOU NI VIS SS PIST.250 G.</t>
  </si>
  <si>
    <t>LOT 3 CARTOUCHES SPECIAL PLINTHES</t>
  </si>
  <si>
    <t>PACK 2 VANTAUX BLANC/MIROIR 250X180</t>
  </si>
  <si>
    <t>PACK 2 VANTAUX ALU/EX.WHITE 1200X1200</t>
  </si>
  <si>
    <t>PLINTHE 2600X70X10 ORIA</t>
  </si>
  <si>
    <t>PLINTHE 2600X70X10 ARTA</t>
  </si>
  <si>
    <t>SOL CLIC 7MM AC4 ILLINOIS 2.135M² S</t>
  </si>
  <si>
    <t>SOL CLIC 8MM AC5 FLORIDA 2.362 M² O</t>
  </si>
  <si>
    <t>12.000</t>
  </si>
  <si>
    <t>SOL CLIC 8 MM + 2 AC4 CLEMATITE 1,868 M²</t>
  </si>
  <si>
    <t>SOL CLIC 8 MM + 2 AC4 ARMERIA  1,868 M²</t>
  </si>
  <si>
    <t>SOL CLIC 10 MM AC4 EDELWEISS 2,135 M²</t>
  </si>
  <si>
    <t>PLINTHE 2600X70X10 EDELWEISS</t>
  </si>
  <si>
    <t>8.000</t>
  </si>
  <si>
    <t>11.000</t>
  </si>
  <si>
    <t>PLINTHE 2600X70X10 POLIS</t>
  </si>
  <si>
    <t>PLINTHE 2600X70X10 CHENE CENTURY BLCHI</t>
  </si>
  <si>
    <t>10.000</t>
  </si>
  <si>
    <t>SOL CLIC 7+2MM 32 MISSOURI 2,402M² K</t>
  </si>
  <si>
    <t>SOL CLIC 10MM AC5 4CF CONNECTICUT U</t>
  </si>
  <si>
    <t>SOL CLIC 7MM AC4 MARYLAND 2,135 M² J</t>
  </si>
  <si>
    <t>SOL CLIC 6MM AC3 MAINE 2,669 M² B</t>
  </si>
  <si>
    <t>SOL CLIC 6+2MM AC3 DELAWARE 2,402 M² C</t>
  </si>
  <si>
    <t>SOL CLIC 7MM AC4 WASHINGTON 2,135 M² R</t>
  </si>
  <si>
    <t>SOL CLIC 8MM AC5 OREGON 2,362M² V</t>
  </si>
  <si>
    <t>SOL CLIC 8MM AC5 DAKOTA 2,362M² W</t>
  </si>
  <si>
    <t>LAMBRIS 8x154x2600 CHENE</t>
  </si>
  <si>
    <t>LAMBRIS 8x154x2600  PIN BLANC</t>
  </si>
  <si>
    <t>LAMBRIS MDF 2600x202x8 BETON GRIS BLANC</t>
  </si>
  <si>
    <t>LAMBRIS MDF 2600x202x8 BETON GRIS FONCE</t>
  </si>
  <si>
    <t>BAGUETTE 28x28 PIN BLANC</t>
  </si>
  <si>
    <t>BAGUETTE 28x28 CHENE</t>
  </si>
  <si>
    <t>CORNICHE 22x22 PIN BLANC</t>
  </si>
  <si>
    <t>CORNICHE 22x22 CHENE</t>
  </si>
  <si>
    <t>CHANT PLAT 6x25 PIN BLANC</t>
  </si>
  <si>
    <t>CHANT PLAT 6x25 CHENE</t>
  </si>
  <si>
    <t>CORNICHE 2600x22x22 BETON GRIS BLANC</t>
  </si>
  <si>
    <t>DALLE PLANCHER INT. HYDRO 19 MM 2050x625</t>
  </si>
  <si>
    <t>DALLE PLANCH.OSB3 BRUT 15MM1690X634</t>
  </si>
  <si>
    <t>DALLE PLANCH.OSB3 BRUT 18MM1690X634</t>
  </si>
  <si>
    <t>PANNEAU OSB3 2440X1220 EP 15MM</t>
  </si>
  <si>
    <t>DALLE AGENCEMENT 19MM INT 2050X600MM</t>
  </si>
  <si>
    <t>LAMBRIS SDN BROSSE BLANC 8,5X105X2050</t>
  </si>
  <si>
    <t>LAMBRIS SDN RABOTE 11,5X136X2050 MM</t>
  </si>
  <si>
    <t>PLANCHER SDN A/B RAIN 20X140</t>
  </si>
  <si>
    <t>LAMBRIS SDN GRAIN D'ORGE 2050x136x9,5MM</t>
  </si>
  <si>
    <t>LAMBRIS SDN GRAIN D'ORGE 2050X136X11,5MM</t>
  </si>
  <si>
    <t>LAMBRIS SDN A/B 9X115</t>
  </si>
  <si>
    <t>FILM PARE VAPEUR 2.50M X 8M EP 150 MIC</t>
  </si>
  <si>
    <t>BANDE DE CHANT 45X650 2PC CHENE CLAIR</t>
  </si>
  <si>
    <t>PL TRAV HYDRO 3000X630X38 CHENE CLAIR</t>
  </si>
  <si>
    <t>CRED 3000X630X9 CHENE CLAIR PIERRE CHAR</t>
  </si>
  <si>
    <t>BARRE JONCTION ALU 30X90 NATUR</t>
  </si>
  <si>
    <t>BARRE JONCTION ALU 30X90 CHÊNE</t>
  </si>
  <si>
    <t>BARRE JONCTION ALU 30X90 HÊTRE</t>
  </si>
  <si>
    <t>MEUBLE HAUT 40 1P BALI</t>
  </si>
  <si>
    <t>MEUBLE HAUT 80 2P BALI</t>
  </si>
  <si>
    <t>MEUBLE HAUT 120 3P BALI</t>
  </si>
  <si>
    <t>MEUBLE HOTTE 60 BALI</t>
  </si>
  <si>
    <t>MEUBLE BAS 40 1P+1T BALI</t>
  </si>
  <si>
    <t>MEUBLE BAS 80 2P+1T BALI</t>
  </si>
  <si>
    <t>CARGO</t>
  </si>
  <si>
    <t>OXYGEN</t>
  </si>
  <si>
    <t>PLINTHE 2M40 MILA</t>
  </si>
  <si>
    <t>CORNICHE + CACHE LUMIERE MILA</t>
  </si>
  <si>
    <t>COTE FINITION COLONNE MILA</t>
  </si>
  <si>
    <t>FILEUR D'ANGLE 70X4X4CM MILA</t>
  </si>
  <si>
    <t>BANDEAU FOUR MILA</t>
  </si>
  <si>
    <t>FACADE 1P 70X40 COSY</t>
  </si>
  <si>
    <t>FACADE 1P+1T 70X40 COSY</t>
  </si>
  <si>
    <t>FACADE 1P 70X60 COSY</t>
  </si>
  <si>
    <t>FACADE 1P+1T 70X60 COSY</t>
  </si>
  <si>
    <t>FACADE HOTTE 42X60 COSY</t>
  </si>
  <si>
    <t>FACADE VITREE 70x40 COSY</t>
  </si>
  <si>
    <t>FACADE 3T 70X60 COSY</t>
  </si>
  <si>
    <t>FACADE 3T 70X80 COSY</t>
  </si>
  <si>
    <t>FACADE LATERALE HAUTE COSY</t>
  </si>
  <si>
    <t>FACADE LATERALE BASSE COSY</t>
  </si>
  <si>
    <t>FACADE 130X60 COSY</t>
  </si>
  <si>
    <t>FACADE  70X15 COSY</t>
  </si>
  <si>
    <t>COTE FINITION COLONNE COSY</t>
  </si>
  <si>
    <t>TABLETTE PIN 2000X500X18MM</t>
  </si>
  <si>
    <t>TABLETTE PIN 2000X600X18MM</t>
  </si>
  <si>
    <t>PLATEAU BUREAU PIN 1200X800X18MM</t>
  </si>
  <si>
    <t>PLATEAU MELAMINE 1200X800X18 BLANC</t>
  </si>
  <si>
    <t>PLATEAU MELAMINE 1200X800X18CHENE CERUSE</t>
  </si>
  <si>
    <t>TABLETTE CHENE 200X50 18MM</t>
  </si>
  <si>
    <t>SEUIL PERCE 30MM INOX 0,73</t>
  </si>
  <si>
    <t>SEUIL PERCE 30MM INOX 0,83</t>
  </si>
  <si>
    <t>SEUIL ADHESIF 30MM INOX 0,73</t>
  </si>
  <si>
    <t>SEUIL ADHESIF 30MM INOX 0,83</t>
  </si>
  <si>
    <t>LAMBRIS SDN CERUSE BLANC 1,67M²</t>
  </si>
  <si>
    <t>DOUBLE FACE POLYPR 5 CM X 25 M</t>
  </si>
  <si>
    <t>DOUBLE FACE TOILE 5 CM X 25 M</t>
  </si>
  <si>
    <t>DOUBLE FACE TOILE 5CM X 50M</t>
  </si>
  <si>
    <t>VERRE SYNTH.TRAN.50X100 2,5MM</t>
  </si>
  <si>
    <t>VERRE SYNTH.TRAN.100X100 2,5MM</t>
  </si>
  <si>
    <t>VERRE SYNTH.TRAN.200X100 2,5MM</t>
  </si>
  <si>
    <t>VERRE SYNTH.TRAN.50X100 4MM</t>
  </si>
  <si>
    <t>VERRE SYNTH.TRAN.100X100 4MM</t>
  </si>
  <si>
    <t>VERRE SYNTH.TRAN.200X100 4MM</t>
  </si>
  <si>
    <t>TABLETTE SAPIN 200X30 18MM</t>
  </si>
  <si>
    <t>TABLETTE SAPIN 200X40 18MM</t>
  </si>
  <si>
    <t>TABLETTE SAPIN 200X50 18MM</t>
  </si>
  <si>
    <t>TABLETTE SAPIN 200X60 18MM</t>
  </si>
  <si>
    <t>TRETEAU BRICA GALVA.74X77X34CM</t>
  </si>
  <si>
    <t>TRETEAU ACIER FLASH BLANC</t>
  </si>
  <si>
    <t>TRETEAU ACIER FLASH NOIR</t>
  </si>
  <si>
    <t>250 CLIPS LAMBRIS PVC</t>
  </si>
  <si>
    <t>250 CLIPS LAMBRIS BOIS</t>
  </si>
  <si>
    <t>BANDE ADHESIVE RESILIENTE  LONG30M</t>
  </si>
  <si>
    <t>CAISSON BAS 40 BLANC</t>
  </si>
  <si>
    <t>CAISSON BAS 60 BLANC</t>
  </si>
  <si>
    <t>CAISSON BAS 80 BLANC</t>
  </si>
  <si>
    <t>CAISSON BAS 120 BLANC</t>
  </si>
  <si>
    <t>CAISSON ANGLE BAS BLANC</t>
  </si>
  <si>
    <t>FAÇADE LATERALE HAUTE MILA</t>
  </si>
  <si>
    <t>a venir</t>
  </si>
  <si>
    <t>POIGNEE STRATA CHROME</t>
  </si>
  <si>
    <t>POIGNEE  NATURA INOX MAT</t>
  </si>
  <si>
    <t>POIGNEE NOVA INOX BRILLANT</t>
  </si>
  <si>
    <t>POIGNEE ARC CHROME BRILLANT</t>
  </si>
  <si>
    <t>Kit tiroir</t>
  </si>
  <si>
    <t>Kit casserolier</t>
  </si>
  <si>
    <t>B15</t>
  </si>
  <si>
    <t>POIGNEE IGLOO CHROME BRILLANT</t>
  </si>
  <si>
    <t>POIGNEE IGLOO INOX BRILLANT</t>
  </si>
  <si>
    <t>TR</t>
  </si>
  <si>
    <t>CORNICHE SAPIN 2M50 20X20</t>
  </si>
  <si>
    <t>FACADE 1P+1T 70X40 NINA</t>
  </si>
  <si>
    <t>FACADE 1P 70X60 NINA</t>
  </si>
  <si>
    <t>FACADE 1P+1T 70X60 NINA</t>
  </si>
  <si>
    <t>FACADE HOTTE 42X60 NINA</t>
  </si>
  <si>
    <t>FACADE 3T 70X60 NINA</t>
  </si>
  <si>
    <t>FACADE 3T 70X80 NINA</t>
  </si>
  <si>
    <t>FACADE LATERALE HAUTE NINA</t>
  </si>
  <si>
    <t>FACADE LATERALE BASSE NINA</t>
  </si>
  <si>
    <t>PLINTHE 2M40 NINA</t>
  </si>
  <si>
    <t>FACADE 1P 130X60 NINA</t>
  </si>
  <si>
    <t>FACADE 1P 70X15 NINA</t>
  </si>
  <si>
    <t>LOT 3 CARTOUCHES FIXATION INTERIEUR 370G</t>
  </si>
  <si>
    <t>CHANT PLAT 2600X25X6 BETON GRIS BLANC</t>
  </si>
  <si>
    <t>BAGUETTE 2600X28X28 BETON GRIS BLANC</t>
  </si>
  <si>
    <t>CAISSONS</t>
  </si>
  <si>
    <t>Caisson nu Blanc</t>
  </si>
  <si>
    <t>Tiroirs silencieux :</t>
  </si>
  <si>
    <t>NON</t>
  </si>
  <si>
    <t>haut de 40</t>
  </si>
  <si>
    <t>haut de 60</t>
  </si>
  <si>
    <t>haut de 80</t>
  </si>
  <si>
    <t>angle de 60</t>
  </si>
  <si>
    <t>hotte de 60</t>
  </si>
  <si>
    <t>Désignation</t>
  </si>
  <si>
    <t>Prix à l'unité</t>
  </si>
  <si>
    <t>Prix total</t>
  </si>
  <si>
    <t>Qté</t>
  </si>
  <si>
    <t>Prix des façades</t>
  </si>
  <si>
    <t>Prix des caissons</t>
  </si>
  <si>
    <t>40 P</t>
  </si>
  <si>
    <t>60 P</t>
  </si>
  <si>
    <t>H40</t>
  </si>
  <si>
    <t>H60</t>
  </si>
  <si>
    <t>H80</t>
  </si>
  <si>
    <t>Angle Haut</t>
  </si>
  <si>
    <t>Colonne</t>
  </si>
  <si>
    <t>B40</t>
  </si>
  <si>
    <t>B60</t>
  </si>
  <si>
    <t>ALLURE</t>
  </si>
  <si>
    <t>NUDE</t>
  </si>
  <si>
    <t>REFLEX</t>
  </si>
  <si>
    <t>PLAQUE DE CUISSON GAZ VERRE MIROIR</t>
  </si>
  <si>
    <t>MELAMINE ADHESIF REFLEX</t>
  </si>
  <si>
    <t>Tecnik</t>
  </si>
  <si>
    <t>0.000</t>
  </si>
  <si>
    <t>SUPPORT MURAL POUR MAIN COURANTE</t>
  </si>
  <si>
    <t>COUDE ARTICULE MAIN COURANTE</t>
  </si>
  <si>
    <t>PANNEAU VERRE ACRYLIQUE EP.4MM</t>
  </si>
  <si>
    <t>SUPPORT PANNEAU VERRE ACRYLIQUE 4PCES</t>
  </si>
  <si>
    <t>FACADE 70x15 JAZZY</t>
  </si>
  <si>
    <t>FACADE LATERALE COLONNE JAZZY</t>
  </si>
  <si>
    <t>CAISSON BAS</t>
  </si>
  <si>
    <t>COLONNE Classique</t>
  </si>
  <si>
    <t>COLONNE Micro onde</t>
  </si>
  <si>
    <t xml:space="preserve">Qté </t>
  </si>
  <si>
    <t>RANGEMENT COULIS.AMORTI PR 1/2COL.H130</t>
  </si>
  <si>
    <t>RANGEMENT COULIS. AMORTI POUR COL.H200</t>
  </si>
  <si>
    <t>PORTE ESSUIE-TOUT ET ALUMINIUM</t>
  </si>
  <si>
    <t>SACHET MULTIANGLES POUR PLINTHE</t>
  </si>
  <si>
    <t>RAIL 180CM ALU C180</t>
  </si>
  <si>
    <t>KIT MOULURES PVC DECO TON ALU 569MM</t>
  </si>
  <si>
    <t>PACK COULISSANT BLANC VEINE 250X120 E7</t>
  </si>
  <si>
    <t>SOL CLIC 6MM 31 OKLAHOMA 2,66M² A</t>
  </si>
  <si>
    <t>SOL CLIC 6MM 23 UTAH 2,669M² B</t>
  </si>
  <si>
    <t>SOL CLIC 7MM 32 KANSAS 2,135M² M</t>
  </si>
  <si>
    <t>SOL CLIC 7MM 32 IDAHO 2,135M² K</t>
  </si>
  <si>
    <t>SOL CLIC 7MM 32 MICHIGAN 2,135M² N</t>
  </si>
  <si>
    <t>SOL CLIC 7MM 31 KENTUCKY 2,669M² D</t>
  </si>
  <si>
    <t>SOL CLIC 7MM 32 CHENE OXFORD 2,135M² J</t>
  </si>
  <si>
    <t>SOL CLIC 7MM 32 CF ILLINOIS 2,135M² R</t>
  </si>
  <si>
    <t>SOL CLIC 7MM 32 CF WYOMING 2,135M² S</t>
  </si>
  <si>
    <t>SOL CLIC 6+2MM 31 WISCONSIN 2,402M² C</t>
  </si>
  <si>
    <t>SOL CLIC 7MM 31 MISSISSIPPI 2,669M² E</t>
  </si>
  <si>
    <t>SOL CLIC 7MM 32 CF NEVADA 2,135M² O</t>
  </si>
  <si>
    <t>SOL CLIC 6MM+2 31 CALIFORNIE 2,402M² L</t>
  </si>
  <si>
    <t>SOL CLIC 7+2MM 32 ARIZONA 2,402M² H</t>
  </si>
  <si>
    <t>SOL CLIC 7+2MM 32 MONTANA 2,402M² I</t>
  </si>
  <si>
    <t>LAMBRIS PIN NOUEUX NF 200X10X1</t>
  </si>
  <si>
    <t>2.000</t>
  </si>
  <si>
    <t>AR</t>
  </si>
  <si>
    <t>KIT TIROIR 60 CM STANDARD</t>
  </si>
  <si>
    <t>KIT TIROIR CASS. 60 CM STANDARD</t>
  </si>
  <si>
    <t>KIT TIROIR 40 CM SILENT SYSTEM</t>
  </si>
  <si>
    <t>KIT TIROIR 60 CM SILENT SYSTEM</t>
  </si>
  <si>
    <t>KIT TIROIR CASS. 60 CM SILENT SYSTEM</t>
  </si>
  <si>
    <t>KIT TIROIR 80 CM SILENT SYSTEM</t>
  </si>
  <si>
    <t>KIT TIROIR CASSEROL. 80CM SILENT SYSTEM</t>
  </si>
  <si>
    <t>KIT TIROIR INTERIEUR 40CM SILENT SYSTEM</t>
  </si>
  <si>
    <t>KIT TIROIR INTERIEUR 60CM SILENT SYSTEM</t>
  </si>
  <si>
    <t>KIT TIROIR CASS.40CM SILENT SYSTEM</t>
  </si>
  <si>
    <t>BANDE DE CHANT 45X650 2PC PIERRE CHARBON</t>
  </si>
  <si>
    <t>BANDE DE CHANT 31X1300  BLANC</t>
  </si>
  <si>
    <t>BANDE DE CHANT 31X1300 PIERRE GRIS</t>
  </si>
  <si>
    <t>BANDE DE CHANT 31X1300 CIMENT GRIS</t>
  </si>
  <si>
    <t>BANDE CHANT 31X1300 PIERRE  ANTHRACITE</t>
  </si>
  <si>
    <t>BANDE CHANT 31X1300 CH.CLAIR BLANCHI</t>
  </si>
  <si>
    <t>PL.TRAV. 1830X600X28 BLANC</t>
  </si>
  <si>
    <t>PL.TRAV. 1830X600X28 PIERRE GRIS CLAIR</t>
  </si>
  <si>
    <t>PL.TRAV. 1830X600X28 CIMENT GRIS FONCE</t>
  </si>
  <si>
    <t>PL.TRAV. 1830X600X28 PIERRE ANTHRACITE</t>
  </si>
  <si>
    <t>PL.TRAV.1830X600X28 CHENE CLAIR BLANCHI</t>
  </si>
  <si>
    <t>BANDE DE CHANT 2PCES 45X650 BLC MOUCHETE</t>
  </si>
  <si>
    <t>BANDE DE CHANT 2PCES 45X650 ARDOISE</t>
  </si>
  <si>
    <t>BANDE DE CHANT2PCES 45X650 NOYER</t>
  </si>
  <si>
    <t>BANDE DE CHANT2PCES 45X650 PIERRE NATUR.</t>
  </si>
  <si>
    <t>BANDE DE CHANT 45X650 2PC BETON CIRE</t>
  </si>
  <si>
    <t>PL TRAV HYDRO 3000X630X38 BETON CIRE</t>
  </si>
  <si>
    <t>CREDENCE 3000X630X9 BETON CIRE/BLANC</t>
  </si>
  <si>
    <t>CREDEN.2600X630X9 ARDOISE/PIERRE NATUR.</t>
  </si>
  <si>
    <t>CORNICHE 2600X22X22 BETON GRIS FONCE</t>
  </si>
  <si>
    <t>CHANT PLAT 2600X25X6 BETON GRIS FONCE</t>
  </si>
  <si>
    <t>BAGUETTE 2600X28X28 BETON GRIS FONCE</t>
  </si>
  <si>
    <t>SUPPORT POTEAU A CLIPSER</t>
  </si>
  <si>
    <t>SUPPORT DE RAMPE FIXE</t>
  </si>
  <si>
    <t>4 EQUERRES UNIV.+VIS FIXAT.</t>
  </si>
  <si>
    <t>BALUSTRE RECTANGLE  57X21X900 HETRE</t>
  </si>
  <si>
    <t>POTEAU TOURNE 1020 HETRE</t>
  </si>
  <si>
    <t>POTEAU RECTANGLE 70X57X1020 HETRE</t>
  </si>
  <si>
    <t>MAIN COURANTE 2M HETRE</t>
  </si>
  <si>
    <t>BANDE CHANT THERMO BETON 23MMX5ML</t>
  </si>
  <si>
    <t>BANDE CHANT THERMO BLANC 23MMX25ML</t>
  </si>
  <si>
    <t>AUDY</t>
  </si>
  <si>
    <t>LAMBRIS PIN ECO 2000X100X10 GO</t>
  </si>
  <si>
    <t>MOCOPINUS GMBH &amp; CO. KG</t>
  </si>
  <si>
    <t>METSA WOOD FRANCE SAS</t>
  </si>
  <si>
    <t>SIF</t>
  </si>
  <si>
    <t>DUMAPLAST</t>
  </si>
  <si>
    <t>KRONOFLOORING GMBH</t>
  </si>
  <si>
    <t>LAMBRIS 8X154X2600  PIN BLANC</t>
  </si>
  <si>
    <t>LAMBRIS MDF 2600X202X8 BETON GRIS BLANC</t>
  </si>
  <si>
    <t>LAMBRIS 8X154X2600 CHENE</t>
  </si>
  <si>
    <t>LAMBRIS MDF 2600X202X8 BETON GRIS FONCE</t>
  </si>
  <si>
    <t>BAGUETTE 28X28 PIN BLANC</t>
  </si>
  <si>
    <t>CORNICHE 2600X22X22 BETON GRIS BLANC</t>
  </si>
  <si>
    <t>BAGUETTE 28X28 CHENE</t>
  </si>
  <si>
    <t>CORNICHE 22X22 PIN BLANC</t>
  </si>
  <si>
    <t>CORNICHE 22X22 CHENE</t>
  </si>
  <si>
    <t>CHANT PLAT 6X25 PIN BLANC</t>
  </si>
  <si>
    <t>CHANT PLAT 6X25 CHENE</t>
  </si>
  <si>
    <t>SIMPSON STRONG</t>
  </si>
  <si>
    <t>SCIERIES DE CORGNAC SA</t>
  </si>
  <si>
    <t>LA MOULURE VOSGIENNE</t>
  </si>
  <si>
    <t>MICHEL LAOUET</t>
  </si>
  <si>
    <t>GAIFFE</t>
  </si>
  <si>
    <t>TABLETTE CHENE 2000X300X18</t>
  </si>
  <si>
    <t>CUISINE EQUIPEE PREMONTEE ORIGIN</t>
  </si>
  <si>
    <t>BANDE DE CHANT 45X650 2PC DECOR ALU</t>
  </si>
  <si>
    <t>PL.TRAV. 3000X630X38 DECOR ALUMINIUM</t>
  </si>
  <si>
    <t>FACADE 1P 70X40 OXYGEN</t>
  </si>
  <si>
    <t>FACADE 1P+1T 70X40 OXYGEN</t>
  </si>
  <si>
    <t>FACADE 1P 70X60 OXYGEN</t>
  </si>
  <si>
    <t>FACADE 1P+1T 70X60 OXYGEN</t>
  </si>
  <si>
    <t>FACADE HOTTE 42X60 OXYGEN</t>
  </si>
  <si>
    <t>FACADE LATERALE HAUTE OXYGEN</t>
  </si>
  <si>
    <t>PANNEAU MELAMINE BLANC 2500X925X16MM</t>
  </si>
  <si>
    <t>PREDECOUPE AGGLO 120X80 10MM</t>
  </si>
  <si>
    <t>PREDECOUPE AGGLO 120X80 16MM</t>
  </si>
  <si>
    <t>PANNEAU AGGLO 255X92,5 10MM</t>
  </si>
  <si>
    <t>PANNEAU AGGLO 255X92,5 16MM</t>
  </si>
  <si>
    <t>TASSEAU SAPIN SEC 63X75 2M40</t>
  </si>
  <si>
    <t>TASSEAU SAPIN SEC 38X38 2M40 BT=4PCS</t>
  </si>
  <si>
    <t>TASSEAU SAPIN SEC 38X50 2M40 BT=4PCS</t>
  </si>
  <si>
    <t>TASSEAU SAPIN SEC 25X25 2.4M BT=9PC</t>
  </si>
  <si>
    <t>TASSEAU SDN SEC 50X50 2M40</t>
  </si>
  <si>
    <t>LATTE LAMBRIS SAPIN 2000X27X13 10 PIECES</t>
  </si>
  <si>
    <t>MEUBLE BAS 60 1P BALI</t>
  </si>
  <si>
    <t>MEUBLE  SOUS ÉVIER 120  2P BALI</t>
  </si>
  <si>
    <t>MEUBLE  HAUT 60 1P BALI</t>
  </si>
  <si>
    <t>RAIL ACIER VERMEIL 3600</t>
  </si>
  <si>
    <t>CAISSON 50CM BLANC L.50XP40XH.200,3</t>
  </si>
  <si>
    <t>KIT 2 ETAGERES LARG 50</t>
  </si>
  <si>
    <t>2 ETAGERES D'ANGLE BLANC L.68XH.1,8</t>
  </si>
  <si>
    <t>KIT 1 TIROIR LARG 50 BLANC</t>
  </si>
  <si>
    <t>KIT 1 TIROIR COFFRE 50 BLANC</t>
  </si>
  <si>
    <t>FACADE LATERALE BASSE OXYGEN</t>
  </si>
  <si>
    <t>FACADE 1P 42X80 OXYGEN</t>
  </si>
  <si>
    <t>FACADE 1P 130X60 OXYGEN</t>
  </si>
  <si>
    <t>BARRE JONCTION ALU 30X90CHENE BRUN</t>
  </si>
  <si>
    <t>PLINTHE 2400X80X15 CHENE NAT.CER D</t>
  </si>
  <si>
    <t>30 CLIPS DE FIXATION PLINTHES</t>
  </si>
  <si>
    <t>PISTOLET SILICONE A PONT PLASTIQUE</t>
  </si>
  <si>
    <t>PISTOLET SQUELETTE ALU</t>
  </si>
  <si>
    <t>PLINTHE REPLAQUEE 15X80X2400 CHENE</t>
  </si>
  <si>
    <t>PLINT. PLAC.BOIS 2400X80X15 CH/C CER.BLC</t>
  </si>
  <si>
    <t>PLINTHE 9.5X68X2200 CHENE ECO</t>
  </si>
  <si>
    <t>PLINTHE 9.5X98X2200 CHENE ECO</t>
  </si>
  <si>
    <t>PLINTHE 9.5X68X2200 HETRE ECO</t>
  </si>
  <si>
    <t>PLINTHE 9.5X98X2200 HETRE ECO</t>
  </si>
  <si>
    <t>PLINTHE 9.5X68X2200 BLANC ECO</t>
  </si>
  <si>
    <t>PLINTHE 9.5X98X2200 BLANC ECO</t>
  </si>
  <si>
    <t>LOT 5 PLINTHES 9.5X68X2200 CHENE</t>
  </si>
  <si>
    <t>FACADE 1P+1T 70X40 DUNE</t>
  </si>
  <si>
    <t>FACADE 1P 70X60 DUNE</t>
  </si>
  <si>
    <t>FACADE 1P+1T 70X60 DUNE</t>
  </si>
  <si>
    <t>FACADE HOTTE 42X60 DUNE</t>
  </si>
  <si>
    <t>FACADE 3T 70X60 DUNE</t>
  </si>
  <si>
    <t>FACADE 3T 70X80 DUNE</t>
  </si>
  <si>
    <t>PLINTHE 2M40 STELLA</t>
  </si>
  <si>
    <t>FAÇADE 1P 70X40 MILA</t>
  </si>
  <si>
    <t>FAÇADE 1P+1T 70X40 MILA</t>
  </si>
  <si>
    <t>FAÇADE 1P 70X60 MILA</t>
  </si>
  <si>
    <t>FAÇADE 1P+1T 70X60 MILA</t>
  </si>
  <si>
    <t>FAÇADE 1P 130X60 MILA</t>
  </si>
  <si>
    <t>FAÇADE HOTTE 42X60 MILA</t>
  </si>
  <si>
    <t>FAÇADE VITREE 70X40 MILA</t>
  </si>
  <si>
    <t>FAÇADE 3T 70X60 MILA</t>
  </si>
  <si>
    <t>FAÇADE 3T 70x80 MILA</t>
  </si>
  <si>
    <t>FAÇADE 70X15 MILA</t>
  </si>
  <si>
    <t>BANDE CHANT THERMO VINTAGE 23MMX5ML</t>
  </si>
  <si>
    <t>BANDE CHANT THERMO FRENE CLAIR 23MMX5ML</t>
  </si>
  <si>
    <t>BANDE CHANT ADHESIVE BLANC 19MMX10ML</t>
  </si>
  <si>
    <t>BANDE CHANT ADHESIVE GRIS ALU 19MMX5ML</t>
  </si>
  <si>
    <t>BANDE CHANT ADHESIVE BLANC 16MMX5ML</t>
  </si>
  <si>
    <t>BANDE CHANT ADHESIVE BLANC 19MMX5ML</t>
  </si>
  <si>
    <t>COTE FINITION DE COLONNE NINA</t>
  </si>
  <si>
    <t>Prix des façades vitrée</t>
  </si>
  <si>
    <t>42 x 80</t>
  </si>
  <si>
    <t>A100</t>
  </si>
  <si>
    <t>H120</t>
  </si>
  <si>
    <t>H42/80</t>
  </si>
  <si>
    <t>ANG60</t>
  </si>
  <si>
    <t>HOTTE</t>
  </si>
  <si>
    <t>COLONNE</t>
  </si>
  <si>
    <t>1/2 COLONNE</t>
  </si>
  <si>
    <t>Hotte de 60 relevable</t>
  </si>
  <si>
    <t>Bandeau Four</t>
  </si>
  <si>
    <t>FILEUR D'ANGLE 70X4X4CM NINA</t>
  </si>
  <si>
    <t>BANDEAU FOUR NINA</t>
  </si>
  <si>
    <t>FACADE 1P 70X40 CITY</t>
  </si>
  <si>
    <t>FACADE 1P+1T 70X40 CITY</t>
  </si>
  <si>
    <t>FACADE 1P 70X60 CITY</t>
  </si>
  <si>
    <t>FACADE 1P+1T 70X60 CITY</t>
  </si>
  <si>
    <t>FACADE 1P 130X60 CITY</t>
  </si>
  <si>
    <t>FACADE HOTTE 42X60 CITY</t>
  </si>
  <si>
    <t>FACADE 3T 70X60 CITY</t>
  </si>
  <si>
    <t>FACADE 3T 70X80 CITY</t>
  </si>
  <si>
    <t>FACADE LATERALE HAUTE CITY</t>
  </si>
  <si>
    <t>FACADE LATERALE BASSE CITY</t>
  </si>
  <si>
    <t>PLINTHE 2M40  CITY</t>
  </si>
  <si>
    <t>FACADE VITREE CADRE ALU 70X60</t>
  </si>
  <si>
    <t>FACADE VITREE CADRE ALU VERRE BLC 70X40</t>
  </si>
  <si>
    <t>FACADE VITREE CADRE ALU VERRE BLC 42X60</t>
  </si>
  <si>
    <t>FACADE VITRE CADRE ALU BLC 42X80</t>
  </si>
  <si>
    <t>FACADE VITREE CADRE ALU VERRE BLC 70X60</t>
  </si>
  <si>
    <t>BANDES DE CHANT 2PCES 3.5X65CM BLANCHES</t>
  </si>
  <si>
    <t>BANDES CHANT 2PCES 3,5X65CM CH.CENDRÉ</t>
  </si>
  <si>
    <t>BANDES CHANT 2PCES 3,5X65CM PIERRE NAT.</t>
  </si>
  <si>
    <t>PL.TRAV.HYDRO 2440X63X28 DEC.BETON CLAIR</t>
  </si>
  <si>
    <t>PL.TRAV.HYDRO 2440X63X28 BLANC</t>
  </si>
  <si>
    <t>PL.TRAV.HYDRO 2440X63X28 DEC.PIERRE NAT.</t>
  </si>
  <si>
    <t>PL.TRAV.HYDRO 2440X63X28 DEC.CHEN.CENDRE</t>
  </si>
  <si>
    <t>PL. TRAV.HYDRO 2440X630X28 DEC.ARDOISE</t>
  </si>
  <si>
    <t>PL.TRAV.HYDRO 3000X630X38 DECOR MIKA</t>
  </si>
  <si>
    <t>CRED.3000X630X9MM DEC.MIKA /BLC BRILLANT</t>
  </si>
  <si>
    <t>CRED.2440X630X9MM DEC.ARDOISE/BET.CLAIR</t>
  </si>
  <si>
    <t>CRED.2440X630X9MM DEC.CH.CENDRE /BLANC</t>
  </si>
  <si>
    <t>CRED.2440X630X9 DEC.PIERRE NAT./BLC BRIL</t>
  </si>
  <si>
    <t>PL.SNACK HYDRO 2000X400X38DEC.BETON CIRE</t>
  </si>
  <si>
    <t>PLAN ILOT HYDRO 1260X940X38MM BETON CIRE</t>
  </si>
  <si>
    <t>FACADE 1P 70X40 REFLEX</t>
  </si>
  <si>
    <t>FACADE 1P+1T 70X40 REFLEX</t>
  </si>
  <si>
    <t>FACADE 1P 70X60 REFLEX</t>
  </si>
  <si>
    <t>FACADE 1P+1T 70X60 REFELX</t>
  </si>
  <si>
    <t>FACADE HOTTE 42X60 REFLEX</t>
  </si>
  <si>
    <t>FACADE 3T 70X60 REFLEX</t>
  </si>
  <si>
    <t>FACADE 3T 70X80 REFLEX</t>
  </si>
  <si>
    <t>FACADE LATERALE HAUTE REFLEX</t>
  </si>
  <si>
    <t>FACADE LATERALE BASSE REFLEX</t>
  </si>
  <si>
    <t>FACADE 1P 42X80 REFLEX</t>
  </si>
  <si>
    <t>FACADE 1P 130X60 REFLEX</t>
  </si>
  <si>
    <t>FACADE 70X15 REFLEX</t>
  </si>
  <si>
    <t>COTE FINITION DE COLONNE REFLEX</t>
  </si>
  <si>
    <t>FILEUR D'ANGLE 70X4X4 REFLEX</t>
  </si>
  <si>
    <t>BANDEAU FOUR REFLEX</t>
  </si>
  <si>
    <t>PLINTHE 2M40 REFLEX</t>
  </si>
  <si>
    <t>FACADE 1P 70X40  METRO</t>
  </si>
  <si>
    <t>FACADE 1P+1T 70X40 METRO</t>
  </si>
  <si>
    <t>FACADE 70X60 METRO</t>
  </si>
  <si>
    <t>FACADE 1P+1T 70X60 METRO</t>
  </si>
  <si>
    <t>FACADE HOTTE 42X60 METRO</t>
  </si>
  <si>
    <t>FACADE 3T 70X60 METRO</t>
  </si>
  <si>
    <t>FACADE 3T 70X80 METRO</t>
  </si>
  <si>
    <t>FACADE LATERALE HAUTE METRO</t>
  </si>
  <si>
    <t>FACADE LATERALE BASSE METRO</t>
  </si>
  <si>
    <t>FACADE 1P 42X80 METRO</t>
  </si>
  <si>
    <t>FACADE 1P 130X60 METRO</t>
  </si>
  <si>
    <t>FACADE 70X15 METRO</t>
  </si>
  <si>
    <t>COTE FINITION COLONNE METRO</t>
  </si>
  <si>
    <t>FILEUR D'ANGLE 70X4X4 METRO</t>
  </si>
  <si>
    <t>BANDEAU FOUR METRO</t>
  </si>
  <si>
    <t>PLINTHE 2M40 METRO</t>
  </si>
  <si>
    <t>METRO</t>
  </si>
  <si>
    <t>TECNIK</t>
  </si>
  <si>
    <t>Prix des facades vitrée verre blc</t>
  </si>
  <si>
    <t>1 P Vitrée BLC</t>
  </si>
  <si>
    <t xml:space="preserve">1P vitrée </t>
  </si>
  <si>
    <t>1P vitrée BLC</t>
  </si>
  <si>
    <t>42 x 80 vitrée BLC</t>
  </si>
  <si>
    <t>Hotte vitrée BLC</t>
  </si>
  <si>
    <t>VB</t>
  </si>
  <si>
    <t>Vitrage Verre Blanc :</t>
  </si>
  <si>
    <t>Vitrage verre blanc:</t>
  </si>
  <si>
    <t>X42VB</t>
  </si>
  <si>
    <t>Charnières Amorties :</t>
  </si>
  <si>
    <t>=</t>
  </si>
  <si>
    <t>Choisissez les options :</t>
  </si>
  <si>
    <t>Choisissez le modèle :</t>
  </si>
  <si>
    <t>ACCESSOIRES FACADE</t>
  </si>
  <si>
    <t>Colonne four 2 portes</t>
  </si>
  <si>
    <t>Colonne four 1 porte + 1 porte tiroir</t>
  </si>
  <si>
    <t>Colonne MO 1 porte relevante + 2 tiroirs coffre</t>
  </si>
  <si>
    <t>ok</t>
  </si>
  <si>
    <t>x42</t>
  </si>
  <si>
    <t>x42V</t>
  </si>
  <si>
    <t>x42VB</t>
  </si>
  <si>
    <t>Panier fil bas</t>
  </si>
  <si>
    <t>Colonne MO 1 porte + 2 tiroirs coffre</t>
  </si>
  <si>
    <t xml:space="preserve">Panier fil </t>
  </si>
  <si>
    <t>Choisissez votre Plan</t>
  </si>
  <si>
    <t>Choisissez votre credence</t>
  </si>
  <si>
    <t>Plan de Travail ( PT, Snack, ilot )</t>
  </si>
  <si>
    <t>Choisissez vos accessoires</t>
  </si>
  <si>
    <t>Sachet multiangle pour plinthe inox</t>
  </si>
  <si>
    <t>A/ Facade 40 porte</t>
  </si>
  <si>
    <t>B/ Facade 40 porte tiroir</t>
  </si>
  <si>
    <t>C/ Facade 60 porte</t>
  </si>
  <si>
    <t>D/ Facade 60 porte tiroir</t>
  </si>
  <si>
    <t>E/ Facade 60 Hotte 42 x 60</t>
  </si>
  <si>
    <t>F/ Facade 40 Vitrée Alu</t>
  </si>
  <si>
    <t>G/ Facade 60 casserolier</t>
  </si>
  <si>
    <t>H/ Facade 80 Casserolier</t>
  </si>
  <si>
    <t>I/ Habillage haut</t>
  </si>
  <si>
    <t>J/ Habillage bas</t>
  </si>
  <si>
    <t>K/ Facade 130 x 60</t>
  </si>
  <si>
    <t>L/ Facade 15 x 70</t>
  </si>
  <si>
    <t>M/ Finition colonne</t>
  </si>
  <si>
    <t>Fileur d'angle (Automatique )</t>
  </si>
  <si>
    <t>N/ Fileur d'angle</t>
  </si>
  <si>
    <t>O/ Bandeau four</t>
  </si>
  <si>
    <t>R/ Facade 42 x 80</t>
  </si>
  <si>
    <t>T/ Facade 60 Vitrée Alu</t>
  </si>
  <si>
    <t>T/ Facade 60 Vitrée Blanc</t>
  </si>
  <si>
    <t>F/ Facade 40 Vitrée blanc</t>
  </si>
  <si>
    <t>S/ Facade 42 x 60 Vitrée Alu</t>
  </si>
  <si>
    <t>S/ Facade 42 x 60 Vitrée blanc</t>
  </si>
  <si>
    <t>Q/ Facade Hotte 42 x 80 vitrée</t>
  </si>
  <si>
    <t>Q/ Facade Hotte 42 x 80 vitrée Blanc</t>
  </si>
  <si>
    <t>Finit col</t>
  </si>
  <si>
    <t xml:space="preserve"> Choisissez vos facades supplementaires</t>
  </si>
  <si>
    <t>Bas de 60 four (avec bandeau four )</t>
  </si>
  <si>
    <t>Choisissez vos accessoires pour caisson</t>
  </si>
  <si>
    <t>Accessoires pour caisson</t>
  </si>
  <si>
    <t>BAGUETTE ANGLE SAPIN 2M50 35X35</t>
  </si>
  <si>
    <t>SOL CLIC AC4 10MM 4V BASSANO 1,746M²</t>
  </si>
  <si>
    <t>BOITE INTISSÉ BEIGE</t>
  </si>
  <si>
    <t>BOITE INTISSÉ GRISE</t>
  </si>
  <si>
    <t>KIT EXTENSIBLE BLANC 2 T</t>
  </si>
  <si>
    <t>PORTE COUL CHÊNE MIROIR 2450X760MM</t>
  </si>
  <si>
    <t>RAIL 1500MM PORTE COULISSANTE CHÊNE</t>
  </si>
  <si>
    <t>RAIL 1800MM PORTE COULISSANTE CHÊNE</t>
  </si>
  <si>
    <t>RAIL 2700MM PORTE COULISSANTE CHÊNE</t>
  </si>
  <si>
    <t>PORTE BATTANTE  L50XH194 BLANC</t>
  </si>
  <si>
    <t>CREDENCE 2600X630X9 NOYER/BLC MOUCHETE</t>
  </si>
  <si>
    <t>PL TRAV HYDRO 2600X630X28 BLANC MOUCHETE</t>
  </si>
  <si>
    <t>PL TRAV HYDRO 2600X630X28 ARDOISE</t>
  </si>
  <si>
    <t>PL TRAV HYDRO 2600X630X28 NOYER</t>
  </si>
  <si>
    <t>PL TRAV HYDRO 2600X630X28 PIERRE NATUR.</t>
  </si>
  <si>
    <t>PL.TRAV.3000X63X38 PIERRE CHARBON</t>
  </si>
  <si>
    <t>FACADE 1P 70X40 LENA</t>
  </si>
  <si>
    <t>FACADE VITREE 70X40 LENA</t>
  </si>
  <si>
    <t>LAME PVC CLIC ASPEN CHENE CENDRE 2,235</t>
  </si>
  <si>
    <t>LAME PVC CLIC ASPEN CH GRIS NOIR 2,235</t>
  </si>
  <si>
    <t>LAME PVC CLIC ASPEN CH NAT CERUSE 2,235</t>
  </si>
  <si>
    <t>PLINTHE 2400X80X15 OREGON J</t>
  </si>
  <si>
    <t>PLINTHE 2400X80X15 ILLINOIS R</t>
  </si>
  <si>
    <t>PLINTHE 2400X80X15 WYOMING S</t>
  </si>
  <si>
    <t>PLINTHE 2400X80X15 IDAHO K</t>
  </si>
  <si>
    <t>PLINTHE 2400X80X15 CALIFORNIE L</t>
  </si>
  <si>
    <t>PLINTHE 2400X80X15 MISSISSIPPI E</t>
  </si>
  <si>
    <t>BARRE DE SEUIL ALU 3,7X83 UTAH B</t>
  </si>
  <si>
    <t>BARRE DE SEUIL ALU 3,7X83 WISCONSIN C</t>
  </si>
  <si>
    <t>BARRE DE SEUIL ALU 3,7X83 OKLAHOMA A</t>
  </si>
  <si>
    <t>BARRE DE SEUIL ALU 3,7X83 KENTUCKY D</t>
  </si>
  <si>
    <t>BARRE DE SEUIL ALU 3,7X83 FLORIDE G</t>
  </si>
  <si>
    <t>BARRE DE SEUIL ALU 3,7X83 MISSISSIPPI E</t>
  </si>
  <si>
    <t>BARRE DE SEUIL ALU 3,7X83 OREGON J</t>
  </si>
  <si>
    <t>BARRE DE SEUIL ALU 3,7X83 CALIFORNIE L</t>
  </si>
  <si>
    <t>BARRE DE SEUIL ALU 3,7X83 IDAHO K</t>
  </si>
  <si>
    <t>BARRE DE SEUIL ALU 3,7X83 KANSAS M</t>
  </si>
  <si>
    <t>CREDENCE EN VERRE 60X70 BLANC SATIN</t>
  </si>
  <si>
    <t>CREDENCE EN VERRE 90X70 BLANC SATIN</t>
  </si>
  <si>
    <t>CREDENCE INOX 90X63CM</t>
  </si>
  <si>
    <t>CREDENCE EN VERRE 60X70 GRISE</t>
  </si>
  <si>
    <t>CREDENCE EN VERRE 90X70 GRISE</t>
  </si>
  <si>
    <t>CREDENCE EN VERRE 60X70 NOIRE</t>
  </si>
  <si>
    <t>CREDENCE EN VERRE 90X70 NOIRE</t>
  </si>
  <si>
    <t xml:space="preserve">CRISTAL </t>
  </si>
  <si>
    <t xml:space="preserve">DUNE </t>
  </si>
  <si>
    <t>OPAL</t>
  </si>
  <si>
    <t>EDEN</t>
  </si>
  <si>
    <t>42 X 80</t>
  </si>
  <si>
    <t>H42X80</t>
  </si>
  <si>
    <t>Bas de 40 - 1porte</t>
  </si>
  <si>
    <t>Bas de 40 - 1p+1t</t>
  </si>
  <si>
    <t>Bas de 60 1p+1t</t>
  </si>
  <si>
    <t>Bas de 60 - 1p</t>
  </si>
  <si>
    <t>Bas de 60 - 1p+1 faux t</t>
  </si>
  <si>
    <t>Bas de 60 3t</t>
  </si>
  <si>
    <t>Bas de 80 2p</t>
  </si>
  <si>
    <t>TABLETTE MEL. HÊTRE MAT 200X50 16MM</t>
  </si>
  <si>
    <t>TABLETTE MEL. FOSSIL 200X40 16MM</t>
  </si>
  <si>
    <t>15.000</t>
  </si>
  <si>
    <t>PT</t>
  </si>
  <si>
    <t>V</t>
  </si>
  <si>
    <t>hotte</t>
  </si>
  <si>
    <t>POIGNÉE GALA</t>
  </si>
  <si>
    <t>POIGNEE LENA</t>
  </si>
  <si>
    <t>BANDE DE CHANT 2 PCES 43X70 BLC BRILLANT</t>
  </si>
  <si>
    <t>PL.TRAV.HYDRO 3000X630X38 BLC BRILLANT</t>
  </si>
  <si>
    <t>FACADE 1P 42X80 LENA</t>
  </si>
  <si>
    <t>CAISSON HAUT 42X80 BLANC</t>
  </si>
  <si>
    <t xml:space="preserve"> </t>
  </si>
  <si>
    <t xml:space="preserve">Haut de 80 x 42 </t>
  </si>
  <si>
    <t>Colonne four 1 porte + 3 tiroirs</t>
  </si>
  <si>
    <t>Colonne frigo 2 portes</t>
  </si>
  <si>
    <t>Demi-Colonne  Four 3 tiroirs</t>
  </si>
  <si>
    <t>Demi-colonne  Four 1 porte 1 tiroir</t>
  </si>
  <si>
    <t>Demi-colonne Four 1 porte 70</t>
  </si>
  <si>
    <t>Demi-colonne Frigo 1 porte 130</t>
  </si>
  <si>
    <t>Colonne MO 2 portes</t>
  </si>
  <si>
    <t>Colonne MO 1 porte + 1 porte relevante</t>
  </si>
  <si>
    <t>Stock</t>
  </si>
  <si>
    <t>BAGUETTE ANGLE PIN 24X24MM X2.4M</t>
  </si>
  <si>
    <t>3.000</t>
  </si>
  <si>
    <t>PCE</t>
  </si>
  <si>
    <t>GA</t>
  </si>
  <si>
    <t>BAGUETTE ANGLE PIN 28X28MM X2.4M</t>
  </si>
  <si>
    <t>4.000</t>
  </si>
  <si>
    <t>CHANT PLAT PIN 6X30MM X 2.4M</t>
  </si>
  <si>
    <t>CHANT PLAT PIN 6X40MM X 2.4M</t>
  </si>
  <si>
    <t>1/4 ROND 10MM X 2.40M PIN</t>
  </si>
  <si>
    <t>1/4 ROND 15MM X 2.40M PIN</t>
  </si>
  <si>
    <t>ENCADREMENT PIN 8X25MM X 2.4M</t>
  </si>
  <si>
    <t>CHANT PLAT PIN 6X20MM X 2.4M</t>
  </si>
  <si>
    <t>BAGUETTE ANGLE PIN 45X45MM X2.4M</t>
  </si>
  <si>
    <t>CIMAISE LAMBRIS PIN 30X40MMX2.4M</t>
  </si>
  <si>
    <t>ENCADREMENT PIN 10X40MM X 2.4M</t>
  </si>
  <si>
    <t>Angle de 100 1p 40</t>
  </si>
  <si>
    <t>Bas de 120 3p</t>
  </si>
  <si>
    <t>TASSEAU SAPIN SS NOEUD 2M00 20X40</t>
  </si>
  <si>
    <t>VERIN A GAZ</t>
  </si>
  <si>
    <t>COMPAS MECANIQUE</t>
  </si>
  <si>
    <t>DESSOUS DE PLAT ADHESIF</t>
  </si>
  <si>
    <t>LOT DE 6 CROCHETS</t>
  </si>
  <si>
    <t>BARRE DE CREDENCE LONG.60CM</t>
  </si>
  <si>
    <t>BARRE DE CREDENCE LONG.100CM</t>
  </si>
  <si>
    <t>PORTE USTENSILES</t>
  </si>
  <si>
    <t xml:space="preserve"> Hauteur</t>
  </si>
  <si>
    <t>Unité de mesure</t>
  </si>
  <si>
    <t>GM300105</t>
  </si>
  <si>
    <t>KG</t>
  </si>
  <si>
    <t>CCM</t>
  </si>
  <si>
    <t>CM</t>
  </si>
  <si>
    <t>POIGNEE NATURA INOX MAT</t>
  </si>
  <si>
    <t>M3</t>
  </si>
  <si>
    <t>CDM</t>
  </si>
  <si>
    <t>GM300050</t>
  </si>
  <si>
    <t>HL</t>
  </si>
  <si>
    <t>PLINTHE 2M40 CITY</t>
  </si>
  <si>
    <t>GM300060</t>
  </si>
  <si>
    <t>GM300070</t>
  </si>
  <si>
    <t>FAÇADE 1P 70X40 OXYGEN</t>
  </si>
  <si>
    <t>FAÇADE 1P+1T 70X40 OXYGEN</t>
  </si>
  <si>
    <t>FAÇADE 1P 70X60   OXYGEN</t>
  </si>
  <si>
    <t>FAÇADE 1P+1T 70X60  OXYGEN</t>
  </si>
  <si>
    <t>FAÇADE  HOTTE  42X60  OXYGEN</t>
  </si>
  <si>
    <t>FAÇADE 3T 70X60 OXYGEN</t>
  </si>
  <si>
    <t>FAÇADE 3T 70X80  OXYGEN</t>
  </si>
  <si>
    <t>FAÇADE LATERALE HAUTE  OXYGEN</t>
  </si>
  <si>
    <t>FAÇADE LATERALE BASSE OXYGEN</t>
  </si>
  <si>
    <t>FACADE  1P 42X80 OXYGEN</t>
  </si>
  <si>
    <t>SOUS COUCHE PARE VAPEUR RLX 15M² -20DB</t>
  </si>
  <si>
    <t>SELIT DAMMTECHNIK GMBH</t>
  </si>
  <si>
    <t>MULTIPLAST SAS</t>
  </si>
  <si>
    <t>DALLE PVC 45X45 DECOR BLANC NUAGE</t>
  </si>
  <si>
    <t>DALLE PVC 45X45 DECOR TAUPE</t>
  </si>
  <si>
    <t>DALLE PVC 30X30 MARQUETERIE</t>
  </si>
  <si>
    <t>DALLE PVC 45X45 GRIS SOURIS 1,045M2</t>
  </si>
  <si>
    <t>DALLE PVC 45X45 ANTHRACITE 1,045M2</t>
  </si>
  <si>
    <t>3M BRICOLAGE&amp; BATIMENT</t>
  </si>
  <si>
    <t>OPTISPACE</t>
  </si>
  <si>
    <t>PACK BLANC 2 VTX 2500X1800</t>
  </si>
  <si>
    <t>PACK MIROIR ARGENT 2500 X 1200</t>
  </si>
  <si>
    <t>RAIL ACIER VERMEIL 120CM</t>
  </si>
  <si>
    <t>RAIL ACIER VERMEIL 1800</t>
  </si>
  <si>
    <t>RAIL ACIER VERMEIL 2700</t>
  </si>
  <si>
    <t>VANTAIL 1200X610 MM CHENE BRUT</t>
  </si>
  <si>
    <t>PLINTHE SDN 2350X95X9</t>
  </si>
  <si>
    <t>PLINTHE SDN 2350X70X9</t>
  </si>
  <si>
    <t>GL</t>
  </si>
  <si>
    <t>PLANCHER SDN A/B 2050X144X20</t>
  </si>
  <si>
    <t>LAMBRIS SDN A/B 9X105 2M05</t>
  </si>
  <si>
    <t>PLINTHE PIN ABOUTEE 2000X70X10</t>
  </si>
  <si>
    <t>PLINTHE PIN ABOUTE 2000X100X10</t>
  </si>
  <si>
    <t>KITS SOUS PENTE K1</t>
  </si>
  <si>
    <t>KIT IMPOSTE K2</t>
  </si>
  <si>
    <t>VANTAIL MIROIR ARGENT P.BLC 250X61 E5</t>
  </si>
  <si>
    <t>RAIL 120CM BLANC E122</t>
  </si>
  <si>
    <t>RAIL 180CM BLANC E183</t>
  </si>
  <si>
    <t>RAIL 270CM BLANC E270</t>
  </si>
  <si>
    <t>RAIL 360CM BLANC</t>
  </si>
  <si>
    <t>RAIL 360CM GRIS</t>
  </si>
  <si>
    <t>RAIL 120CM ALU C120</t>
  </si>
  <si>
    <t>RAIL 270CM ALU C270</t>
  </si>
  <si>
    <t>PREDECOUPE CP 800X600X10MM</t>
  </si>
  <si>
    <t>PREDECOUPE CP 1200X800X10MM</t>
  </si>
  <si>
    <t>POLYCASA</t>
  </si>
  <si>
    <t>POTEAU ARRONDI SDN 70X70X1180MM</t>
  </si>
  <si>
    <t>TRAVERSE SAP SDN 55X25X2500MM</t>
  </si>
  <si>
    <t>ASS./ DEPART MURAL PR TUBES INOX 5 PCES</t>
  </si>
  <si>
    <t>COUDE ARTICULE POUR TUBES 5 PCES</t>
  </si>
  <si>
    <t>ALEZE PLAN TRAVAIL CHENE 2M40 20X40</t>
  </si>
  <si>
    <t>PORTE EXTENSIBLE PVC 204X83 TON BOIS</t>
  </si>
  <si>
    <t>PORTE EXTENSIBLE PVC 204X83 BLANC</t>
  </si>
  <si>
    <t>PORTE PLACARD BATTANTE FRENE 1835X400</t>
  </si>
  <si>
    <t>PORTE PLACARD BATTANTE FRENE 666X400</t>
  </si>
  <si>
    <t>PORTE PLACARD BATTANTE FRENE 1835X600</t>
  </si>
  <si>
    <t>PORTE PLACARD BATTANTE FRENE 666X600</t>
  </si>
  <si>
    <t>PORTE PLACARD BATTANTE FRENE 1835X1200</t>
  </si>
  <si>
    <t>PORTE PLACARD BATTANTE FRENE 666X1200</t>
  </si>
  <si>
    <t>PLAQUE CUISSON GAZ NOIRE NEWLINE</t>
  </si>
  <si>
    <t>PLAQUE CUISSON GAZ INOX NEWLINE</t>
  </si>
  <si>
    <t>PL TRAV MASSIF 2600X640X38MM HETRE</t>
  </si>
  <si>
    <t>PAIRE DE CHARNIERES STANDARD</t>
  </si>
  <si>
    <t>TABLETTE MEL. FOSSIL 200X50 16MM</t>
  </si>
  <si>
    <t>TABLETTE MEL. VINTAGE/BÉTON 200X40 16MM</t>
  </si>
  <si>
    <t xml:space="preserve">Plinthe Finition Inox 2500x150x13 </t>
  </si>
  <si>
    <t>Charnieres Amorties</t>
  </si>
  <si>
    <t>FACADE 1 P 42X80 VITREE</t>
  </si>
  <si>
    <t>TABLETTE MEL. VINTAGE/BÉTON 200X50 16MM</t>
  </si>
  <si>
    <t>Modèle de cuisine choisi :</t>
  </si>
  <si>
    <t>Plinthe</t>
  </si>
  <si>
    <t>Corniche</t>
  </si>
  <si>
    <t>LENA</t>
  </si>
  <si>
    <t xml:space="preserve">FACADES </t>
  </si>
  <si>
    <t>LETTRE</t>
  </si>
  <si>
    <t>(cm)</t>
  </si>
  <si>
    <t>façade</t>
  </si>
  <si>
    <t>CITY</t>
  </si>
  <si>
    <t>LUNA</t>
  </si>
  <si>
    <t>NINA</t>
  </si>
  <si>
    <t>MILA</t>
  </si>
  <si>
    <t>A</t>
  </si>
  <si>
    <t>1 P</t>
  </si>
  <si>
    <t>B</t>
  </si>
  <si>
    <t>1 P + 1T</t>
  </si>
  <si>
    <t>C</t>
  </si>
  <si>
    <t>D</t>
  </si>
  <si>
    <t>1 P +1 T</t>
  </si>
  <si>
    <t>E</t>
  </si>
  <si>
    <t>BARRE DE PENDERIE 50CM</t>
  </si>
  <si>
    <t>BARRE DE PENDERIE 100 CM</t>
  </si>
  <si>
    <t>PANIER FIL 50CM  PROFONDEUR 40CM</t>
  </si>
  <si>
    <t>TRINGLE EN L</t>
  </si>
  <si>
    <t>TRINGLE COULISSANTE FACE</t>
  </si>
  <si>
    <t>PORTE PANTALON 50CM P58</t>
  </si>
  <si>
    <t>PORTE PANTALON 50CM P40</t>
  </si>
  <si>
    <t>PORTE PANTALON 100CM P58</t>
  </si>
  <si>
    <t>CHARNIERE OUV. 110°</t>
  </si>
  <si>
    <t>CHARNIERE OUV. 105° SC</t>
  </si>
  <si>
    <t>ELEVATEUR DE TRINGLE 50CM</t>
  </si>
  <si>
    <t>SOUS COUCHE FIBRE BOIS 790X590X3,6 7M²</t>
  </si>
  <si>
    <t>PARQUET CHENE MASSIF VERNIS 4CF 1,008M²</t>
  </si>
  <si>
    <t>TRETEAU PLIANT PIN 750X750</t>
  </si>
  <si>
    <t>PLINTHE SDN 2350X120X12</t>
  </si>
  <si>
    <t>MEUBLE BAS FOUR 60 BALI</t>
  </si>
  <si>
    <t>KIT TIROIR 40 CM STANDARD</t>
  </si>
  <si>
    <t>TIROIR P58 L100 H29 BL</t>
  </si>
  <si>
    <t>CAISSON D'ANGLE BLANC L.40XP.57,7XH.200,</t>
  </si>
  <si>
    <t>CAISSON D ANGLE BLANC L.40XP.57,7XH.235,</t>
  </si>
  <si>
    <t>ETAGERE RECOUPABLE BLANC L.200CM</t>
  </si>
  <si>
    <t>CAISSON 50CM CHENE L.50XP.57,7XH.200,3</t>
  </si>
  <si>
    <t>PANNEAU AGGLO 255X92,5 19MM</t>
  </si>
  <si>
    <t>LAMBRIS SDN BROSSE VIEILLI BLC9X115X2050</t>
  </si>
  <si>
    <t>PREDECOUPE AGGLO 80X40 10MM</t>
  </si>
  <si>
    <t>PREDECOUPE AGGLO 80X40 16MM</t>
  </si>
  <si>
    <t>PREDECOUPE AGGLO 80X60 10MM</t>
  </si>
  <si>
    <t>PREDECOUPE AGGLO 80X60 16MM</t>
  </si>
  <si>
    <t>PANNEAU MEDIUM 244X122 3MM</t>
  </si>
  <si>
    <t>PREDECOUPE MEDIUM 120X40 10MM</t>
  </si>
  <si>
    <t>CORNICHE SAPIN 2M50 30X30</t>
  </si>
  <si>
    <t>Frigo</t>
  </si>
  <si>
    <t>L</t>
  </si>
  <si>
    <t>15x70</t>
  </si>
  <si>
    <t>Cache lumière</t>
  </si>
  <si>
    <t>Melamine</t>
  </si>
  <si>
    <t>Bas de 40 P Coulissante</t>
  </si>
  <si>
    <t>Bas de 60 P Coulissante</t>
  </si>
  <si>
    <t>60 P+ T</t>
  </si>
  <si>
    <t>1/2 colonne</t>
  </si>
  <si>
    <t>M</t>
  </si>
  <si>
    <t>N</t>
  </si>
  <si>
    <t>O</t>
  </si>
  <si>
    <t>P</t>
  </si>
  <si>
    <t>Côté de finition colonne</t>
  </si>
  <si>
    <t>Filer d'angle</t>
  </si>
  <si>
    <t>Bandeau pour four</t>
  </si>
  <si>
    <t>LISSE BASSE 2M HETRE</t>
  </si>
  <si>
    <t>POTEAU ALUMINIUM FIXATION A PLAT</t>
  </si>
  <si>
    <t>POTEAU ALUMINIUM FIXATION LATERALE</t>
  </si>
  <si>
    <t>MAIN COURANTE ALUMINIUM D.40, 2M</t>
  </si>
  <si>
    <t>ASSEMBLEUR POUR MAIN COURANTE ALUMINIUM</t>
  </si>
  <si>
    <t>DEPART MURAL / EMBOUT DE MC ALU 2 PCES</t>
  </si>
  <si>
    <t>PORTE COULISSANTE CHÊNE 2450X760MM</t>
  </si>
  <si>
    <t>PORTE COULISSANTE CHÊNE 2450X910MM</t>
  </si>
  <si>
    <t>STELLA1</t>
  </si>
  <si>
    <t>BANDE CHANT THERMO FOSSIL 23MMX5ML</t>
  </si>
  <si>
    <t>S</t>
  </si>
  <si>
    <t>Total</t>
  </si>
  <si>
    <t>REPOSE PLAT WAWE ACIER INOX SATINE</t>
  </si>
  <si>
    <t>TAPIS ANTIDERAPANT</t>
  </si>
  <si>
    <t>LOT 2 SUPPORTS SNACK ALU  H.19,4CM</t>
  </si>
  <si>
    <t>RANGE COUVERT TIROIR 40 RECOUPABLE</t>
  </si>
  <si>
    <t>RANGE COUVERT TIROIR 60 RECOUPABLE</t>
  </si>
  <si>
    <t>LOT 2 TABLETTES VERRE SECURIT PR HAUT 80</t>
  </si>
  <si>
    <t>POUBELLE TRI SELECTIF 2 BACS 14 LITRES</t>
  </si>
  <si>
    <t>LOT 2PANIERS 1/2 LUNE CAISSON ANGLE BAS</t>
  </si>
  <si>
    <t>PANIER FIL EPICE/BOUTEILLE CAISSON 15CM</t>
  </si>
  <si>
    <t>RANGEMENT POUR ANGLE DROIT</t>
  </si>
  <si>
    <t>RANGEMENT POUR ANGLE GAUCHE</t>
  </si>
  <si>
    <t>RANGEMENT FIL OUVRANT COLONNE H.200</t>
  </si>
  <si>
    <t>RANGEMENT FIL COULISSANT 1/2 COL. H130</t>
  </si>
  <si>
    <t>RANGEMENT FIL COULISSANT COLONNE H.200</t>
  </si>
  <si>
    <t>PANIER FIL COULISSANT  PR CAISSON BAS 40</t>
  </si>
  <si>
    <t>PLAQUE ANTI HUMIDITE PR CAISSON BAS 60</t>
  </si>
  <si>
    <t>PLAQUE ANTI HUMIDITE PR CAISSON BAS 80</t>
  </si>
  <si>
    <t>PROFIL  ALU JONCTION DRT 30MM ALU</t>
  </si>
  <si>
    <t>PROFIL ALU JONCTION ANGLE 30MM ALU</t>
  </si>
  <si>
    <t>PROFIL ALU FINITION 30MM ALU</t>
  </si>
  <si>
    <t>PROFIL  ALU JONCTION DRT 40MM ALU</t>
  </si>
  <si>
    <t>PROFIL ALU JONCTION ANGLE 40MM ALU</t>
  </si>
  <si>
    <t>PROFIL ALU FINITION 40MM ALU</t>
  </si>
  <si>
    <t>FACADES</t>
  </si>
  <si>
    <t>Charniere amorties</t>
  </si>
  <si>
    <t>PACK 2 VANTAUX GRIS BRILLANT 2500X1800</t>
  </si>
  <si>
    <t>2 ETAGERE ANGLE P58 BLANC</t>
  </si>
  <si>
    <t>2 ETAGERES ANGLE CHENE P40</t>
  </si>
  <si>
    <t>POIGNEE PROGRESS INOX MAT</t>
  </si>
  <si>
    <t>POIGNEE PROGRESS CHROME BRILLANT</t>
  </si>
  <si>
    <t>POIGNEE PROGRESS INOX BROSSE</t>
  </si>
  <si>
    <t>VANTAIL CHENE CLAIR H.250XL61CM</t>
  </si>
  <si>
    <t>VANTAIL BLANC VEINE H.250XL.50CM</t>
  </si>
  <si>
    <t>VANTAIL BLANC VEINE H.250XL70CM</t>
  </si>
  <si>
    <t>VANTAIL BLANC VEINE H.250XL80CM</t>
  </si>
  <si>
    <t>VANTAIL BLANC VEINE H.250XL.100CM</t>
  </si>
  <si>
    <t>VANTAIL MIROIR H.250XL.77,5CM</t>
  </si>
  <si>
    <t>VANTAIL CHENE GRISE H.250XL.61 CM</t>
  </si>
  <si>
    <t>PLANCHER PDL 2000X170X23 RUSTIQUE 1,7</t>
  </si>
  <si>
    <t>COTE FINITION DE COLONNE OXYGEN</t>
  </si>
  <si>
    <t>FILEUR D'ANGLE 70X4X4 OXYGEN</t>
  </si>
  <si>
    <t>PLINTHE 2M40 OXYGEN</t>
  </si>
  <si>
    <t>SOUS-COUCHE CONFORT 2MM QUASTOP 20M²</t>
  </si>
  <si>
    <t>DOUBLE COLONNE BLANC</t>
  </si>
  <si>
    <t>TABLETTE MEL. CH BRUN/CLAIR 200X40 16MM</t>
  </si>
  <si>
    <t>TABLETTE MEL. CH BRUN/CLAIR 200X50 16MM</t>
  </si>
  <si>
    <t>TABLETTE MEL BLANC 200X30 16MM</t>
  </si>
  <si>
    <t>TABLETTE MEL BLANC 200X40 16MM</t>
  </si>
  <si>
    <t>TABLETTE MEL BLANC 200X50 16MM</t>
  </si>
  <si>
    <t>Accessoire caisson</t>
  </si>
  <si>
    <t>PACK COULISSANT BLANC VEINE 120X120 E8</t>
  </si>
  <si>
    <t>SOUS-COUCHE POLYPRO RLX 20M2</t>
  </si>
  <si>
    <t>SOUS COUCHE 7MM CTB 10.03M²</t>
  </si>
  <si>
    <t>BARRE A Z 2400X28X95</t>
  </si>
  <si>
    <t>PLANCHE BRUT SEC 25X200 2M40</t>
  </si>
  <si>
    <t>PLANCHE BRUT SECHE 25X150 2M40</t>
  </si>
  <si>
    <t>TASSEAU SAPIN SEC 14X38 2.4M BT=12PC</t>
  </si>
  <si>
    <t>TASSEAU SAPIN SEC 25X38 2.4M BT=6PC</t>
  </si>
  <si>
    <t>TASSEAU SAPIN SEC 32X32 2.4M BT=6PC</t>
  </si>
  <si>
    <t>TASSEAU SAPIN SEC 32X50 2.4M BT=6PC</t>
  </si>
  <si>
    <t>FILEUR D'ANGLE 70X4X4CM COSY</t>
  </si>
  <si>
    <t>BANDEAU FOUR COSY</t>
  </si>
  <si>
    <t>PLINTHE 2M40 COSY</t>
  </si>
  <si>
    <t>CORNICHE 2M40 COSY</t>
  </si>
  <si>
    <t>FACADE VITREE CADRE ALU 70X40</t>
  </si>
  <si>
    <t>FACADE VITREE CADRE ALU 42X60</t>
  </si>
  <si>
    <t>BANDE CHANT THERMO CH.BRUN 23MMX5ML</t>
  </si>
  <si>
    <t>TASSEAU RABOTE SDN 2400X35X57</t>
  </si>
  <si>
    <t>TASSEAU RABOTE SDN 2400X35X70</t>
  </si>
  <si>
    <t>TASSEAU RABOTE SDN 2400X45X45</t>
  </si>
  <si>
    <t>TASSEAU RABOTE SDN 2400X45X60</t>
  </si>
  <si>
    <t>GB</t>
  </si>
  <si>
    <t>1.000</t>
  </si>
  <si>
    <t>FACADE 1P 70x40 JAZZY</t>
  </si>
  <si>
    <t>FACADE 1P+1T 70x40 JAZZY</t>
  </si>
  <si>
    <t>FACADE 1P 70x60 JAZZY</t>
  </si>
  <si>
    <t>FACADE 1P+1T 70x60 JAZZY</t>
  </si>
  <si>
    <t>FACADE HOTTE 42x60 JAZZY</t>
  </si>
  <si>
    <t>FACADE 3T 70x60 JAZZY</t>
  </si>
  <si>
    <t>FACADE 3T 70x80 JAZZY</t>
  </si>
  <si>
    <t>FACADE LATERALE HAUTE JAZZY</t>
  </si>
  <si>
    <t>FACADE LATERALE BASSE JAZZY</t>
  </si>
  <si>
    <t>FACADE 1P 130x60 JAZZY</t>
  </si>
  <si>
    <t>BANDE CHANT THERMO BLANC 23MMX5ML</t>
  </si>
  <si>
    <t>Bas de 15 (Meuble à bouteilles-épices)</t>
  </si>
  <si>
    <t>Habillage</t>
  </si>
  <si>
    <t>Fileur D'angle</t>
  </si>
  <si>
    <t>Vous avez été servis par :</t>
  </si>
  <si>
    <t xml:space="preserve">DEVIS VALABLE 1 MOIS A COMPTER DU : </t>
  </si>
  <si>
    <t>Montant</t>
  </si>
  <si>
    <t>VERRIN</t>
  </si>
  <si>
    <t>FACADE 1P 70X40</t>
  </si>
  <si>
    <t>FACADE 1P+1T 70X40</t>
  </si>
  <si>
    <t>FACADE 1P 70X60</t>
  </si>
  <si>
    <t xml:space="preserve">FACADE 1P+1T 70X60 </t>
  </si>
  <si>
    <t xml:space="preserve">FACADE HOTTE 42X60 </t>
  </si>
  <si>
    <t xml:space="preserve">FACADE 3T 70X60 </t>
  </si>
  <si>
    <t xml:space="preserve">FACADE 3T 70X80 </t>
  </si>
  <si>
    <t xml:space="preserve">FACADE LATERALE HAUTE </t>
  </si>
  <si>
    <t xml:space="preserve">FACADE LATERALE BASSE </t>
  </si>
  <si>
    <t xml:space="preserve">PLINTHE 2M40 </t>
  </si>
  <si>
    <t>PL TRAV HYDRO 3000*630*38 CHENE GRIS</t>
  </si>
  <si>
    <t>BANDE DE CHANT 45X650 2PC CHENE GRIS</t>
  </si>
  <si>
    <t>SOL CLIC 7+2MM 32 COLORADO 1,75M² F</t>
  </si>
  <si>
    <t>SOL CLIC 10MM 33 NEBRASKA 1,813M² T</t>
  </si>
  <si>
    <t>LAMBRIS PVC CARRELAGE S GRIS CENDRE</t>
  </si>
  <si>
    <t>LAMBRIS PVC CARRELAGE XL GRIS CENDRE</t>
  </si>
  <si>
    <t>POIGNEE STRATA VERNI NOIR MAT</t>
  </si>
  <si>
    <t>BOUTON CUADRO CHROME BRILLANT</t>
  </si>
  <si>
    <t>COTE FINITION COLONNE LUNA/MEZZO</t>
  </si>
  <si>
    <t>FACADE 1P 42X80 MILA</t>
  </si>
  <si>
    <t>FACADE VITREE CADRE ALU 42X80</t>
  </si>
  <si>
    <t>FACADE 1P 70X40 CRISTAL</t>
  </si>
  <si>
    <t>FACADE 1P+1T 70X40 CRISTAL</t>
  </si>
  <si>
    <t>FACADE 70X60 CRISTAL</t>
  </si>
  <si>
    <t>FACADE 1P+1T 70X60 CRISTAL</t>
  </si>
  <si>
    <t>FACADE HOTTE 42X60 CRISTAL</t>
  </si>
  <si>
    <t>FACADE 3T 70X60 CRISTAL</t>
  </si>
  <si>
    <t>FACADE 3T 70X80 CRISTAL</t>
  </si>
  <si>
    <t>FACADE LATERALE HAUTE CRISTAL</t>
  </si>
  <si>
    <t>FACADE LATERALE BASSE CRISTAL</t>
  </si>
  <si>
    <t>FACADE 1P 42X80 CRISTAL</t>
  </si>
  <si>
    <t>FACADE 1P 130X60 CRISTAL</t>
  </si>
  <si>
    <t>FACADE 70X15 CRISTAL</t>
  </si>
  <si>
    <t>COTE FINITION DE COLONNE CRISTAL</t>
  </si>
  <si>
    <t>FILEUR D'ANGLE 70X4X4 CRISTAL</t>
  </si>
  <si>
    <t>BANDEAU FOUR CRISTAL</t>
  </si>
  <si>
    <t>PLINTHE 2M40 CRISTAL</t>
  </si>
  <si>
    <t>SOL CLIC 8MM 33 CF ALABAMA 2,176M² Q</t>
  </si>
  <si>
    <t>DOMINO VITRO</t>
  </si>
  <si>
    <t>MELAMINE ADHESIVE EDEN</t>
  </si>
  <si>
    <t>MELAMINE ADHESIVE DUNE</t>
  </si>
  <si>
    <t>Bas de 120 3p+3t</t>
  </si>
  <si>
    <t>Bas de 120 ss evier 2p+2faux t</t>
  </si>
  <si>
    <t>Bas de 120 ss evier 3p+3faux T</t>
  </si>
  <si>
    <t>Angle de 100 1p 40 +1t</t>
  </si>
  <si>
    <t>Angle de 120 1p 60</t>
  </si>
  <si>
    <t>Angle de 120 1p 60 + 1T</t>
  </si>
  <si>
    <t>COLISAGE MEUBLES CUISINE</t>
  </si>
  <si>
    <t>R</t>
  </si>
  <si>
    <t>CHANT PLAT PIN 10X30MM X 2.4M</t>
  </si>
  <si>
    <t>6.000</t>
  </si>
  <si>
    <t>DE</t>
  </si>
  <si>
    <t>7.000</t>
  </si>
  <si>
    <t>PERFAX FIXATION PIECES HUMIDES 440GR</t>
  </si>
  <si>
    <t>PERFAX EXTERIEUR LOT 2X440GR</t>
  </si>
  <si>
    <t>PERFAX FIXATION SPECIAL EXTERIEUR 440GR</t>
  </si>
  <si>
    <t>ZBAGUETTE ANGLE SAPIN 2M50 15X15</t>
  </si>
  <si>
    <t>FACADE 1P 70X15 CITY</t>
  </si>
  <si>
    <t>COTE FINITION DE COLONNE CITY</t>
  </si>
  <si>
    <t>FILEUR D'ANGLE 70X4X4CM CITY</t>
  </si>
  <si>
    <t>BANDEAU FOUR CITY</t>
  </si>
  <si>
    <t>FACADE 1P 70X40 STELLA</t>
  </si>
  <si>
    <t>FACADE 1P+1T 70X40 STELLA</t>
  </si>
  <si>
    <t>FACADE 1P 70X60 STELLA</t>
  </si>
  <si>
    <t xml:space="preserve"> FACADE 1P+1T 70X60 STELLA</t>
  </si>
  <si>
    <t>FACADE HOTTE 42X60 STELLA</t>
  </si>
  <si>
    <t>BARRE DE SEUIL ALU 3,7X83 LOUISIANE I</t>
  </si>
  <si>
    <t>PLINTHE 2400X80X15 ALASKA P</t>
  </si>
  <si>
    <t>BARRE DE SEUIL ALU 3,7X83 ALASKA P</t>
  </si>
  <si>
    <t>PLINTHE 2400X80X15 INDIANA G</t>
  </si>
  <si>
    <t>BARRE DE SEUIL ALU 3,7X83 INDIANA G</t>
  </si>
  <si>
    <t>PLINTHE 2400X80X15 TENNESSEE U</t>
  </si>
  <si>
    <t>BARRE DE SEUIL ALU 3,7X83 TENNESSEE U</t>
  </si>
  <si>
    <t>CHARNIERES CLIPSABLES X2  AVEC AMORTI</t>
  </si>
  <si>
    <t>COMPAS OUVERTURE PR MEUBLE S/HOTTE</t>
  </si>
  <si>
    <t>VERRIN A GAZ PR MEUBLE S/HOTTE</t>
  </si>
  <si>
    <t>PUSH PULL AVEC CHARNIERES</t>
  </si>
  <si>
    <t>MELAMINE ADHESIF MILA</t>
  </si>
  <si>
    <t>MELAMINE ADHESIF CITY</t>
  </si>
  <si>
    <t>RAIL DE FIXATION 2M</t>
  </si>
  <si>
    <t>PIEDS CHROMES REGLABLES 2PC</t>
  </si>
  <si>
    <t>MELAMINE ADHESIF NINA</t>
  </si>
  <si>
    <t>MELAMINE ADHESIF LENA</t>
  </si>
  <si>
    <t>AMORTISSEUR DE PORTE 8 PCS</t>
  </si>
  <si>
    <t>PLAQ.CUISSON VITRO SENSITIVES 4 ZONES</t>
  </si>
  <si>
    <t>PLAQ.CUISSON INDUCTION SENSITIVE 4 ZONES</t>
  </si>
  <si>
    <t>CHARNIERS CLIPSABLES X2 A 175°</t>
  </si>
  <si>
    <t>MELAMINE ADHESIF STELLA</t>
  </si>
  <si>
    <t>SOL CLIC 10MM 33 TENNESSEE 1,759M² U</t>
  </si>
  <si>
    <t>PLANCHER PIN  NOUEUX 2000X190X23</t>
  </si>
  <si>
    <t>PLINTHE 2400X80X15 LOUISIANE I</t>
  </si>
  <si>
    <t>delphine1207</t>
  </si>
  <si>
    <t>CAISSON 100CM CHENE L.100XP.57,7XH.235,5</t>
  </si>
  <si>
    <t>TIROIR P58 L50 H13 CH</t>
  </si>
  <si>
    <t>TIROIR P58 L100 H13 CH</t>
  </si>
  <si>
    <t>TIROIR P58 L50 H29 CH</t>
  </si>
  <si>
    <t>TIROIR P58 L100 H29 CH</t>
  </si>
  <si>
    <t>ETAGERE RECOUPABLE CHENE L.200CM</t>
  </si>
  <si>
    <t>CAISSON D'ANGLE CHENE L.40XP.57,7XH.200,</t>
  </si>
  <si>
    <t>CAISSON D'ANGLE CHENE L.40XP.57,7XH.235,</t>
  </si>
  <si>
    <t>désignation</t>
  </si>
  <si>
    <t>Grpe march.</t>
  </si>
  <si>
    <t>Poids brut</t>
  </si>
  <si>
    <t>Poids net</t>
  </si>
  <si>
    <t>UnP</t>
  </si>
  <si>
    <t xml:space="preserve"> Volume</t>
  </si>
  <si>
    <t>UnV</t>
  </si>
  <si>
    <t>Longueur</t>
  </si>
  <si>
    <t xml:space="preserve"> Largeur</t>
  </si>
  <si>
    <t>ETAGERE RECOUPABLE BLANC L.120CM</t>
  </si>
  <si>
    <t>Hotte</t>
  </si>
  <si>
    <t>F</t>
  </si>
  <si>
    <t>1 P Vitrée</t>
  </si>
  <si>
    <t>G</t>
  </si>
  <si>
    <t>1 T + 2 Cass.</t>
  </si>
  <si>
    <t>H</t>
  </si>
  <si>
    <t>I</t>
  </si>
  <si>
    <t>Habillage Haut</t>
  </si>
  <si>
    <t>J</t>
  </si>
  <si>
    <t>Habillage bas</t>
  </si>
  <si>
    <t>K</t>
  </si>
  <si>
    <t>60 x 130</t>
  </si>
  <si>
    <t>CORNICHE PIN 17X17MMX2.4M</t>
  </si>
  <si>
    <t>CORNICHE PIN 28X28MMX2.4M</t>
  </si>
  <si>
    <t>CHAMBRANLE PIN 10X30MMX2.4M</t>
  </si>
  <si>
    <t>CHAMBRANLE PIN 10X40MMX2.4M</t>
  </si>
  <si>
    <t>PERFAX FIXATION SPECIAL PLINTHES 370GR</t>
  </si>
  <si>
    <t>TABL MEL BLC PERLE 250X60 18MM</t>
  </si>
  <si>
    <t>DALLE PVC 60X30 DECOR BETON BEIGE</t>
  </si>
  <si>
    <t>PLANCHE CHENE MASSIF 2000X140X20</t>
  </si>
  <si>
    <t>BANDE CHANT THERMO BLANC 23MMX10ML</t>
  </si>
  <si>
    <t>DALLE PVC 30,5X30,5 EP1,2 PARQUET</t>
  </si>
  <si>
    <t>DALLE PVC 30,5X30,5 EP1,2 CU 0,07 MARBRE</t>
  </si>
  <si>
    <t>DALLE PVC 30,5X30,5 EP1,2 GRANIT CLAIR</t>
  </si>
  <si>
    <t>DALLE PVC 30,5X30,5 EP1,2 GRANIT FONCE</t>
  </si>
  <si>
    <t>DALLE PVC 30,5X30,5 EP1,2 DECOR VENDOME</t>
  </si>
  <si>
    <t>PISTOLET SILICONE PONT BLEU</t>
  </si>
  <si>
    <t>DALLE PVC 60X30 DECOR ARDOISE</t>
  </si>
  <si>
    <t>DALLE PVC 91X15 DECOR CHENE CLAIR</t>
  </si>
  <si>
    <t>DALLE PVC 91X15 DECOR WENGE</t>
  </si>
  <si>
    <t>BANDEAU FOUR SIENNE</t>
  </si>
  <si>
    <t>LAMBRIS PVC 1F BLC 2600X100X10 2,6M²</t>
  </si>
  <si>
    <t>LAMBRIS PVC 1F BLC 4000X100X10 4M²</t>
  </si>
  <si>
    <t>CREDENCE 3000X630X9 BLC BRILLANT/CH.GRIS</t>
  </si>
  <si>
    <t>LAMBRIS PVC 3F 2600X375X8 GRIS VEINE 3,9</t>
  </si>
  <si>
    <t>LAMBRIS PVC 1F2600X375X8BETON FONCE 3,9</t>
  </si>
  <si>
    <t>LAMBRIS PVC 1F2600X375X8BETON CLAIR 3,9</t>
  </si>
  <si>
    <t>LAMBRIS PVC CLIC 260X25X1 BLC SATINE 3,9</t>
  </si>
  <si>
    <t>LAMBRIS PVC CLIC 260X25X1 BOIS 3,9</t>
  </si>
  <si>
    <t>LAMBRIS PVC CLIC 260X25X1 CHENE GRIS 3,9</t>
  </si>
  <si>
    <t>CARTOUCHE NEOPRENE 310 ML</t>
  </si>
  <si>
    <t>FACADE 1P 130X60</t>
  </si>
  <si>
    <t xml:space="preserve">FACADE 1P 70X15 </t>
  </si>
  <si>
    <t xml:space="preserve">COTE FINITION DE COLONNE </t>
  </si>
  <si>
    <t xml:space="preserve">FILEUR D'ANGLE 70X4X4CM </t>
  </si>
  <si>
    <t>BANDEAU FOUR</t>
  </si>
  <si>
    <t xml:space="preserve">FACADE 1P 42X80 </t>
  </si>
  <si>
    <t>TABLETTE EN PIN 2000X300X18MM</t>
  </si>
  <si>
    <t>TABLETTE EN PIN 2000X400X18MM</t>
  </si>
  <si>
    <t>SACHET 10 TOURILLONS HE 16X30</t>
  </si>
  <si>
    <t>SACH.4 CHEVIL.CHE+2 TOURIL.HET</t>
  </si>
  <si>
    <t>BALUSTRE DROITE SDN 18X50X880MM</t>
  </si>
  <si>
    <t>RAMPE RAINUREE SDN 45X55X2500MM</t>
  </si>
  <si>
    <t>LOT 3 CART.FIX.NEOPRENE 310 ML</t>
  </si>
  <si>
    <t>CS</t>
  </si>
  <si>
    <t>CARTOUCHE NI CLOU NI VIS 310ML</t>
  </si>
  <si>
    <t>NI CLOU NI VIS SS PIST.200ML</t>
  </si>
  <si>
    <t>COLLE BOIS NORMAL BIB. 750 GR</t>
  </si>
  <si>
    <t>COLLE PARQUET FLOTTANT.BIB. 250 G</t>
  </si>
  <si>
    <t>PERFAX BIBERON COLLE BOIS 200GR</t>
  </si>
  <si>
    <t>PERFAX TUBE FIX.INTER.ACRYL.260GR</t>
  </si>
  <si>
    <t>COLLE PARQUET VINYLIQUE 7KG</t>
  </si>
  <si>
    <t>KIT DE POSE</t>
  </si>
  <si>
    <t>9.000</t>
  </si>
  <si>
    <t>LAMBRIS MDF 2600X154X8 FRENE</t>
  </si>
  <si>
    <t>5.000</t>
  </si>
  <si>
    <t>BAGUETTE ANGLE MDF 2600X28X28, FRENE</t>
  </si>
  <si>
    <t>CORNICHE MDF 2600X, FRENE, *, *, *, *, *</t>
  </si>
  <si>
    <t>CHANT PLAT MDF 260, FRENE, *, *, *, *, *</t>
  </si>
  <si>
    <t>DALLE AGENCEMENT OSB1 INT 14MM 1690X610</t>
  </si>
  <si>
    <t>DALLE PLANCHER OSB2 INT 15MM1690X634</t>
  </si>
  <si>
    <t>FACADE 3T 70X60 STELLA</t>
  </si>
  <si>
    <t>FACADE 3T 70X80 STELLA</t>
  </si>
  <si>
    <t>FACADE LATERALE HAUTE STELLA</t>
  </si>
  <si>
    <t>FACADE LATERALE BASSE STELLA</t>
  </si>
  <si>
    <t>FACADE 130X60 STELLA</t>
  </si>
  <si>
    <t>FACADE 70X15 STELLA</t>
  </si>
  <si>
    <t>COTE FINITION COLONNE STELLA</t>
  </si>
  <si>
    <t>FILEUR D'ANGLE 70X4X4CM STELLA</t>
  </si>
  <si>
    <t>BANDEAU FOUR STELLA</t>
  </si>
  <si>
    <t>60 coffre</t>
  </si>
  <si>
    <t>Caisson épice</t>
  </si>
  <si>
    <t>ND : Non Disponible</t>
  </si>
  <si>
    <t>40 coffre</t>
  </si>
  <si>
    <t>40 P+T</t>
  </si>
  <si>
    <t>ACCESSOIRES</t>
  </si>
  <si>
    <t>PLAQUE DE CUISSON INDUCTION 4 ZONES</t>
  </si>
  <si>
    <t>PLAQ.CUISSON VITRO 2 ZONES +1 EXTENSIBLE</t>
  </si>
  <si>
    <t>MELAMINE ADHESIVE VANILLE</t>
  </si>
  <si>
    <t>MELAMINE ADHESIVE BLANC BRILLANT</t>
  </si>
  <si>
    <t>MELAMINE ADHESIVE CARGO</t>
  </si>
  <si>
    <t>RANGEMENT SPACE ANGLE A DROITE</t>
  </si>
  <si>
    <t>RANGEMENT SPACE ANGLE A GAUCHE</t>
  </si>
  <si>
    <t>POIGNEE LINEA 100MM</t>
  </si>
  <si>
    <t>POIGNEE LINEA 340MM</t>
  </si>
  <si>
    <t>CREDENCE 3000X630X9 PLAQ.PAREMENT GRIS</t>
  </si>
  <si>
    <t>FACADE 1P 70X40 CARGO</t>
  </si>
  <si>
    <t>FACADE 1P+1T 70X40 CARGO</t>
  </si>
  <si>
    <t>FACADE 1P 70X60 CARGO</t>
  </si>
  <si>
    <t>FACADE 1P+1T 70X60 CARGO</t>
  </si>
  <si>
    <t>FACADE HOTTE 42X60 CARGO</t>
  </si>
  <si>
    <t>FACADE 3T 70X60 CARGO</t>
  </si>
  <si>
    <t>FACADE 3T 70X80 CARGO</t>
  </si>
  <si>
    <t>FACADE LATERALE HAUTE CARGO</t>
  </si>
  <si>
    <t>FACADE LATERALE BASSE CARGO</t>
  </si>
  <si>
    <t>FACADE 1P 42X80 CARGO</t>
  </si>
  <si>
    <t>Code article</t>
  </si>
  <si>
    <t>Statuts</t>
  </si>
  <si>
    <t>Date Déref</t>
  </si>
  <si>
    <t>Libellé Article</t>
  </si>
  <si>
    <t>Îlot</t>
  </si>
  <si>
    <t>Zone</t>
  </si>
  <si>
    <t>PROFIL CHANT DRT JONCTION DROIT 40MM ALU</t>
  </si>
  <si>
    <t>PROFIL CHANT DRT JONCTION ANGLE 40MM ALU</t>
  </si>
  <si>
    <t>PROFIL CHANT DRT FINITION 40MM ALU</t>
  </si>
  <si>
    <t>PROFIL  ALU JONCTION DRT 30MM BLC</t>
  </si>
  <si>
    <t>PROFIL ALU JONCTION ANGLE 30MM BLC</t>
  </si>
  <si>
    <t>PROFIL  ALU JONCTION DRT 40MM BLC</t>
  </si>
  <si>
    <t>PROFIL ALU JONCTION ANGLE 40MM BLC</t>
  </si>
  <si>
    <t>SUPPORT POUR CREDENCE 1 BAC</t>
  </si>
  <si>
    <t>SUPPORT POUR CREDENCE 2 BACS</t>
  </si>
  <si>
    <t>PORTE SOPALIN</t>
  </si>
  <si>
    <t>FILEUR D'ANGLE 70X4X4 DUNE</t>
  </si>
  <si>
    <t>BANDEAU FOUR DUNE</t>
  </si>
  <si>
    <t>PLINTHE 2M40 DUNE</t>
  </si>
  <si>
    <t>FACADE 1P 70X40 OPAL</t>
  </si>
  <si>
    <t>FACADE 1P +1 T 70X40 OPAL</t>
  </si>
  <si>
    <t>FACADE 1P 70X60 OPAL</t>
  </si>
  <si>
    <t>FACADE 1P+1T 70X60 OPAL</t>
  </si>
  <si>
    <t>FACADE HOTTE 42X60 OPAL</t>
  </si>
  <si>
    <t>FACADE 1P 42X80 OPAL</t>
  </si>
  <si>
    <t>FACADE 1P 70X40 EDEN</t>
  </si>
  <si>
    <t>FACADE 1P+1T 70X40 EDEN</t>
  </si>
  <si>
    <t>FACADE 1P 70X60 EDEN</t>
  </si>
  <si>
    <t>FACADE 1P+1T 70X60 EDEN</t>
  </si>
  <si>
    <t>FACADE HOTTE 42X60 EDEN</t>
  </si>
  <si>
    <t>FACADE 3T 70X60 EDEN</t>
  </si>
  <si>
    <t>FACADE 3T 70X80 EDEN</t>
  </si>
  <si>
    <t>FACADE LATERALE HAUTE EDEN</t>
  </si>
  <si>
    <t>FACADE LATERALE BASSE EDEN</t>
  </si>
  <si>
    <t>FACADE 1P 42X80 EDEN</t>
  </si>
  <si>
    <t>FACADE 1P 130X60 EDEN</t>
  </si>
  <si>
    <t>FACADE 70X15 EDEN</t>
  </si>
  <si>
    <t>COTE FINITION DE COLONNE EDEN</t>
  </si>
  <si>
    <t>FILEUR D'ANGLE 70X4X4 EDEN</t>
  </si>
  <si>
    <t>BANDEAU FOUR EDEN</t>
  </si>
  <si>
    <t>PLINTHE 2M40 EDEN</t>
  </si>
  <si>
    <t>FACADE 1P 42X80 JAZZY</t>
  </si>
  <si>
    <t>FACADE 1P 42X80 MEZZO</t>
  </si>
  <si>
    <t>Adresse</t>
  </si>
  <si>
    <t>Téléphone :</t>
  </si>
  <si>
    <t>FACADE HOTTE 42X60 MEZZO</t>
  </si>
  <si>
    <t>FACADE 1P 70X40 JAZZY</t>
  </si>
  <si>
    <t>FACADE 1P+1T 70X40 JAZZY</t>
  </si>
  <si>
    <t>FACADE 1P 70X60 JAZZY</t>
  </si>
  <si>
    <t>FACADE 1P+1T 70X60 JAZZY</t>
  </si>
  <si>
    <t>FACADE HOTTE 42X60 JAZZY</t>
  </si>
  <si>
    <t>PL.TRAV. HYDRO 3000X630X38 NOIR CHANTALU</t>
  </si>
  <si>
    <t>PLAN TRAVAIL 3000X630X38 DECOR CIMENT</t>
  </si>
  <si>
    <t>KAINDL FLOORING</t>
  </si>
  <si>
    <t>AKZENTA VERTRIEB GmbH</t>
  </si>
  <si>
    <t>SOL CLIC 10MM 4CF AC4 SKYROS 2,135M²</t>
  </si>
  <si>
    <t>SOL CLIC 10MM AC4 POROS 2,135M²</t>
  </si>
  <si>
    <t>SOL CLIC 8+2MM LIBERTY BLANCHI 1.746M²</t>
  </si>
  <si>
    <t>FACADE LATERALE HAUTE DUNE</t>
  </si>
  <si>
    <t>FACADE LATERALE BASSE DUNE</t>
  </si>
  <si>
    <t>FACADE 1P 42X80 DUNE</t>
  </si>
  <si>
    <t>FACADE 1P 130X60 DUNE</t>
  </si>
  <si>
    <t>FACADE 70X15 DUNE</t>
  </si>
  <si>
    <t>COTE FINITION DE COLONNE DUNE</t>
  </si>
  <si>
    <t>FACADE 1P 70X40 LUNA</t>
  </si>
  <si>
    <t>FACADE 1P+1T 70X40 LUNA</t>
  </si>
  <si>
    <t>FACADE 1P 70X60 LUNA</t>
  </si>
  <si>
    <t>FACADE 1P+1T 70X60 LUNA</t>
  </si>
  <si>
    <t>FACADE HOTTE 42X60 LUNA</t>
  </si>
  <si>
    <t>FACADE 3T 70X60 LUNA</t>
  </si>
  <si>
    <t>FACADE 3T 70X80 LUNA</t>
  </si>
  <si>
    <t>FACADE LATERALE HAUTE LUNA</t>
  </si>
  <si>
    <t>FACADE LATERALE BASSE LUNA</t>
  </si>
  <si>
    <t>PLINTHE 2M40 LUNA</t>
  </si>
  <si>
    <t>FACADE 1P 130X60 LUNA</t>
  </si>
  <si>
    <t>FACADE 1P 70X15 LUNA</t>
  </si>
  <si>
    <t>FILEUR D'ANGLE 70X4X4CM LUNA</t>
  </si>
  <si>
    <t>BANDEAU FOUR LUNA</t>
  </si>
  <si>
    <t>FACADE 1P 70X40 NINA</t>
  </si>
  <si>
    <t>BARRE DE SEUIL ALU 3,7X83 COLORADO F</t>
  </si>
  <si>
    <t>PLINTHE 2400X80X15 NEVADA O</t>
  </si>
  <si>
    <t>BARRE DE SEUIL ALU 3,7X83 NEVADA O</t>
  </si>
  <si>
    <t>PLINTHE 2400X80X15 NEBRASKA T</t>
  </si>
  <si>
    <t>BARRE DE SEUIL ALU 3,7X83 ALABAMA Q</t>
  </si>
  <si>
    <t>PLINTHE 2400X80X15 ARIZONA H</t>
  </si>
  <si>
    <t>BARRE DE SEUIL ALU 3,7X83 MONTANA I</t>
  </si>
  <si>
    <t>BARRE DE SEUIL ALU 3,7X83 ARIZONA H</t>
  </si>
  <si>
    <t>PLINTHE 2400X80X15 ALABAMA Q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</si>
</sst>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0#&quot; &quot;##&quot; &quot;##&quot; &quot;##&quot; &quot;##"/>
    <numFmt numFmtId="166" formatCode="#,##0.00_ ;\-#,##0.00\ "/>
  </numFmts>
  <fonts count="59">
    <font>
      <sz val="10"/>
      <name val="Arial"/>
    </font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b/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Cambria"/>
      <family val="1"/>
    </font>
    <font>
      <sz val="10"/>
      <name val="Cambria"/>
      <family val="1"/>
    </font>
    <font>
      <b/>
      <sz val="24"/>
      <name val="Arial"/>
      <family val="2"/>
    </font>
    <font>
      <b/>
      <sz val="10"/>
      <color indexed="13"/>
      <name val="Arial"/>
      <family val="2"/>
    </font>
    <font>
      <b/>
      <sz val="48"/>
      <name val="Arial"/>
      <family val="2"/>
    </font>
    <font>
      <b/>
      <sz val="10"/>
      <color indexed="58"/>
      <name val="Arial"/>
      <family val="2"/>
    </font>
    <font>
      <b/>
      <sz val="16"/>
      <color indexed="13"/>
      <name val="Arial"/>
      <family val="2"/>
    </font>
    <font>
      <sz val="10"/>
      <color indexed="63"/>
      <name val="Arial"/>
      <family val="2"/>
    </font>
    <font>
      <b/>
      <sz val="14"/>
      <color indexed="13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2"/>
      <name val="Arial"/>
      <family val="2"/>
    </font>
    <font>
      <b/>
      <u/>
      <sz val="36"/>
      <name val="Arial"/>
      <family val="2"/>
    </font>
    <font>
      <b/>
      <sz val="26"/>
      <name val="Arial"/>
      <family val="2"/>
    </font>
    <font>
      <b/>
      <sz val="14"/>
      <color indexed="10"/>
      <name val="Arial"/>
      <family val="2"/>
    </font>
    <font>
      <sz val="10"/>
      <color indexed="2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22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6"/>
      <name val="Cambria"/>
      <family val="1"/>
    </font>
    <font>
      <sz val="10"/>
      <color indexed="22"/>
      <name val="Arial"/>
      <family val="2"/>
    </font>
    <font>
      <sz val="10"/>
      <color indexed="55"/>
      <name val="Arial"/>
      <family val="2"/>
    </font>
    <font>
      <b/>
      <sz val="10"/>
      <color indexed="9"/>
      <name val="Cambria"/>
      <family val="1"/>
    </font>
    <font>
      <b/>
      <sz val="18"/>
      <color indexed="18"/>
      <name val="Arial"/>
      <family val="2"/>
    </font>
    <font>
      <sz val="10"/>
      <color indexed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3"/>
        <bgColor indexed="64"/>
      </patternFill>
    </fill>
    <fill>
      <patternFill patternType="gray0625">
        <bgColor indexed="45"/>
      </patternFill>
    </fill>
    <fill>
      <patternFill patternType="lightGray">
        <b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</fills>
  <borders count="6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5" borderId="1" applyNumberFormat="0" applyAlignment="0" applyProtection="0"/>
    <xf numFmtId="0" fontId="5" fillId="0" borderId="2" applyNumberFormat="0" applyFill="0" applyAlignment="0" applyProtection="0"/>
    <xf numFmtId="0" fontId="7" fillId="7" borderId="1" applyNumberFormat="0" applyAlignment="0" applyProtection="0"/>
    <xf numFmtId="164" fontId="1" fillId="0" borderId="0" applyFont="0" applyFill="0" applyBorder="0" applyAlignment="0" applyProtection="0"/>
    <xf numFmtId="0" fontId="8" fillId="1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7" borderId="0" applyNumberFormat="0" applyBorder="0" applyAlignment="0" applyProtection="0"/>
    <xf numFmtId="0" fontId="10" fillId="6" borderId="0" applyNumberFormat="0" applyBorder="0" applyAlignment="0" applyProtection="0"/>
    <xf numFmtId="0" fontId="11" fillId="15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17" borderId="8" applyNumberFormat="0" applyAlignment="0" applyProtection="0"/>
  </cellStyleXfs>
  <cellXfs count="50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18" borderId="9" xfId="0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19" borderId="12" xfId="0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/>
    </xf>
    <xf numFmtId="49" fontId="19" fillId="0" borderId="12" xfId="0" applyNumberFormat="1" applyFont="1" applyFill="1" applyBorder="1" applyAlignment="1">
      <alignment horizontal="left"/>
    </xf>
    <xf numFmtId="0" fontId="19" fillId="0" borderId="12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19" borderId="15" xfId="0" applyFont="1" applyFill="1" applyBorder="1" applyAlignment="1">
      <alignment horizontal="center"/>
    </xf>
    <xf numFmtId="0" fontId="19" fillId="0" borderId="15" xfId="0" applyNumberFormat="1" applyFont="1" applyFill="1" applyBorder="1" applyAlignment="1">
      <alignment horizontal="center"/>
    </xf>
    <xf numFmtId="49" fontId="19" fillId="0" borderId="15" xfId="0" applyNumberFormat="1" applyFont="1" applyFill="1" applyBorder="1" applyAlignment="1">
      <alignment horizontal="left"/>
    </xf>
    <xf numFmtId="0" fontId="25" fillId="0" borderId="0" xfId="0" applyFont="1"/>
    <xf numFmtId="0" fontId="19" fillId="0" borderId="0" xfId="0" applyFont="1"/>
    <xf numFmtId="0" fontId="19" fillId="0" borderId="0" xfId="0" applyFont="1" applyBorder="1"/>
    <xf numFmtId="1" fontId="19" fillId="0" borderId="0" xfId="0" applyNumberFormat="1" applyFont="1" applyBorder="1"/>
    <xf numFmtId="1" fontId="19" fillId="0" borderId="0" xfId="0" applyNumberFormat="1" applyFont="1" applyFill="1" applyBorder="1"/>
    <xf numFmtId="0" fontId="22" fillId="20" borderId="16" xfId="0" applyFont="1" applyFill="1" applyBorder="1"/>
    <xf numFmtId="0" fontId="22" fillId="20" borderId="17" xfId="0" applyFont="1" applyFill="1" applyBorder="1"/>
    <xf numFmtId="0" fontId="21" fillId="21" borderId="16" xfId="0" applyFont="1" applyFill="1" applyBorder="1"/>
    <xf numFmtId="0" fontId="21" fillId="21" borderId="17" xfId="0" applyFont="1" applyFill="1" applyBorder="1"/>
    <xf numFmtId="0" fontId="21" fillId="22" borderId="16" xfId="0" applyFont="1" applyFill="1" applyBorder="1"/>
    <xf numFmtId="0" fontId="0" fillId="23" borderId="18" xfId="0" applyFill="1" applyBorder="1"/>
    <xf numFmtId="0" fontId="0" fillId="23" borderId="17" xfId="0" applyFill="1" applyBorder="1"/>
    <xf numFmtId="0" fontId="0" fillId="0" borderId="18" xfId="0" applyFill="1" applyBorder="1"/>
    <xf numFmtId="0" fontId="0" fillId="0" borderId="17" xfId="0" applyFill="1" applyBorder="1"/>
    <xf numFmtId="0" fontId="0" fillId="18" borderId="18" xfId="0" applyFill="1" applyBorder="1"/>
    <xf numFmtId="0" fontId="0" fillId="18" borderId="17" xfId="0" applyFill="1" applyBorder="1"/>
    <xf numFmtId="0" fontId="0" fillId="24" borderId="18" xfId="0" applyFill="1" applyBorder="1"/>
    <xf numFmtId="0" fontId="0" fillId="24" borderId="17" xfId="0" applyFill="1" applyBorder="1"/>
    <xf numFmtId="0" fontId="0" fillId="25" borderId="18" xfId="0" applyFill="1" applyBorder="1"/>
    <xf numFmtId="0" fontId="0" fillId="25" borderId="17" xfId="0" applyFill="1" applyBorder="1"/>
    <xf numFmtId="0" fontId="0" fillId="19" borderId="18" xfId="0" applyFill="1" applyBorder="1"/>
    <xf numFmtId="0" fontId="0" fillId="19" borderId="17" xfId="0" applyFill="1" applyBorder="1"/>
    <xf numFmtId="0" fontId="0" fillId="26" borderId="18" xfId="0" applyFill="1" applyBorder="1"/>
    <xf numFmtId="0" fontId="0" fillId="26" borderId="17" xfId="0" applyFill="1" applyBorder="1"/>
    <xf numFmtId="0" fontId="21" fillId="22" borderId="17" xfId="0" applyFont="1" applyFill="1" applyBorder="1"/>
    <xf numFmtId="0" fontId="0" fillId="27" borderId="18" xfId="0" applyFill="1" applyBorder="1"/>
    <xf numFmtId="0" fontId="0" fillId="27" borderId="16" xfId="0" applyFill="1" applyBorder="1"/>
    <xf numFmtId="0" fontId="19" fillId="28" borderId="12" xfId="29" applyNumberFormat="1" applyFont="1" applyFill="1" applyBorder="1" applyAlignment="1" applyProtection="1">
      <protection locked="0"/>
    </xf>
    <xf numFmtId="3" fontId="0" fillId="0" borderId="0" xfId="0" applyNumberFormat="1"/>
    <xf numFmtId="164" fontId="19" fillId="0" borderId="12" xfId="29" applyNumberFormat="1" applyFont="1" applyFill="1" applyBorder="1" applyAlignment="1" applyProtection="1">
      <protection locked="0"/>
    </xf>
    <xf numFmtId="164" fontId="19" fillId="0" borderId="19" xfId="29" applyNumberFormat="1" applyFont="1" applyFill="1" applyBorder="1" applyAlignment="1" applyProtection="1">
      <protection locked="0"/>
    </xf>
    <xf numFmtId="164" fontId="19" fillId="0" borderId="20" xfId="29" applyNumberFormat="1" applyFont="1" applyFill="1" applyBorder="1" applyAlignment="1" applyProtection="1">
      <protection locked="0"/>
    </xf>
    <xf numFmtId="0" fontId="19" fillId="28" borderId="20" xfId="29" applyNumberFormat="1" applyFont="1" applyFill="1" applyBorder="1" applyAlignment="1" applyProtection="1">
      <protection locked="0"/>
    </xf>
    <xf numFmtId="0" fontId="19" fillId="0" borderId="21" xfId="0" applyFont="1" applyFill="1" applyBorder="1"/>
    <xf numFmtId="0" fontId="0" fillId="28" borderId="18" xfId="0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30" fillId="24" borderId="0" xfId="0" applyFont="1" applyFill="1" applyBorder="1" applyAlignment="1" applyProtection="1"/>
    <xf numFmtId="0" fontId="32" fillId="0" borderId="0" xfId="0" applyFont="1" applyBorder="1" applyAlignment="1">
      <alignment horizontal="center" vertical="center" wrapText="1"/>
    </xf>
    <xf numFmtId="0" fontId="19" fillId="24" borderId="0" xfId="0" applyFont="1" applyFill="1"/>
    <xf numFmtId="0" fontId="25" fillId="24" borderId="0" xfId="0" applyFont="1" applyFill="1"/>
    <xf numFmtId="0" fontId="19" fillId="28" borderId="0" xfId="29" applyNumberFormat="1" applyFont="1" applyFill="1" applyBorder="1" applyAlignment="1" applyProtection="1">
      <protection locked="0"/>
    </xf>
    <xf numFmtId="44" fontId="19" fillId="29" borderId="22" xfId="0" applyNumberFormat="1" applyFont="1" applyFill="1" applyBorder="1" applyAlignment="1">
      <alignment horizontal="center"/>
    </xf>
    <xf numFmtId="44" fontId="19" fillId="29" borderId="18" xfId="0" applyNumberFormat="1" applyFont="1" applyFill="1" applyBorder="1" applyAlignment="1">
      <alignment horizontal="center"/>
    </xf>
    <xf numFmtId="44" fontId="19" fillId="29" borderId="23" xfId="0" applyNumberFormat="1" applyFont="1" applyFill="1" applyBorder="1" applyAlignment="1">
      <alignment horizontal="center"/>
    </xf>
    <xf numFmtId="44" fontId="19" fillId="29" borderId="24" xfId="0" applyNumberFormat="1" applyFont="1" applyFill="1" applyBorder="1" applyAlignment="1">
      <alignment horizontal="center"/>
    </xf>
    <xf numFmtId="44" fontId="19" fillId="29" borderId="20" xfId="0" applyNumberFormat="1" applyFont="1" applyFill="1" applyBorder="1" applyAlignment="1">
      <alignment horizontal="center"/>
    </xf>
    <xf numFmtId="44" fontId="19" fillId="29" borderId="12" xfId="0" applyNumberFormat="1" applyFont="1" applyFill="1" applyBorder="1" applyAlignment="1">
      <alignment horizontal="center"/>
    </xf>
    <xf numFmtId="44" fontId="19" fillId="29" borderId="25" xfId="0" applyNumberFormat="1" applyFont="1" applyFill="1" applyBorder="1" applyAlignment="1">
      <alignment horizontal="center"/>
    </xf>
    <xf numFmtId="44" fontId="19" fillId="29" borderId="15" xfId="0" applyNumberFormat="1" applyFont="1" applyFill="1" applyBorder="1" applyAlignment="1">
      <alignment horizontal="center"/>
    </xf>
    <xf numFmtId="44" fontId="19" fillId="29" borderId="0" xfId="0" applyNumberFormat="1" applyFont="1" applyFill="1" applyBorder="1" applyAlignment="1">
      <alignment horizontal="center"/>
    </xf>
    <xf numFmtId="0" fontId="19" fillId="25" borderId="12" xfId="0" applyFont="1" applyFill="1" applyBorder="1" applyAlignment="1" applyProtection="1">
      <alignment wrapText="1"/>
    </xf>
    <xf numFmtId="0" fontId="19" fillId="25" borderId="12" xfId="0" applyFont="1" applyFill="1" applyBorder="1" applyAlignment="1" applyProtection="1">
      <alignment horizontal="center" wrapText="1"/>
    </xf>
    <xf numFmtId="0" fontId="19" fillId="25" borderId="12" xfId="0" applyFont="1" applyFill="1" applyBorder="1" applyProtection="1"/>
    <xf numFmtId="44" fontId="19" fillId="25" borderId="12" xfId="0" applyNumberFormat="1" applyFont="1" applyFill="1" applyBorder="1" applyAlignment="1" applyProtection="1">
      <alignment horizontal="center"/>
    </xf>
    <xf numFmtId="44" fontId="19" fillId="30" borderId="12" xfId="0" applyNumberFormat="1" applyFont="1" applyFill="1" applyBorder="1" applyAlignment="1" applyProtection="1">
      <alignment horizontal="center"/>
    </xf>
    <xf numFmtId="0" fontId="19" fillId="30" borderId="12" xfId="0" applyFont="1" applyFill="1" applyBorder="1" applyProtection="1"/>
    <xf numFmtId="0" fontId="19" fillId="22" borderId="12" xfId="0" applyFont="1" applyFill="1" applyBorder="1" applyProtection="1"/>
    <xf numFmtId="0" fontId="19" fillId="22" borderId="12" xfId="0" applyFont="1" applyFill="1" applyBorder="1" applyAlignment="1" applyProtection="1">
      <alignment horizontal="center" wrapText="1"/>
    </xf>
    <xf numFmtId="44" fontId="19" fillId="22" borderId="12" xfId="0" applyNumberFormat="1" applyFont="1" applyFill="1" applyBorder="1" applyAlignment="1" applyProtection="1">
      <alignment horizontal="center"/>
    </xf>
    <xf numFmtId="44" fontId="19" fillId="31" borderId="12" xfId="0" applyNumberFormat="1" applyFont="1" applyFill="1" applyBorder="1" applyAlignment="1" applyProtection="1">
      <alignment horizontal="center"/>
    </xf>
    <xf numFmtId="44" fontId="19" fillId="27" borderId="12" xfId="0" applyNumberFormat="1" applyFont="1" applyFill="1" applyBorder="1" applyProtection="1"/>
    <xf numFmtId="0" fontId="19" fillId="32" borderId="12" xfId="0" applyFont="1" applyFill="1" applyBorder="1" applyProtection="1"/>
    <xf numFmtId="0" fontId="19" fillId="32" borderId="12" xfId="0" applyFont="1" applyFill="1" applyBorder="1" applyAlignment="1" applyProtection="1">
      <alignment horizontal="center"/>
    </xf>
    <xf numFmtId="44" fontId="19" fillId="32" borderId="12" xfId="0" applyNumberFormat="1" applyFont="1" applyFill="1" applyBorder="1" applyAlignment="1" applyProtection="1">
      <alignment horizontal="center"/>
    </xf>
    <xf numFmtId="0" fontId="28" fillId="29" borderId="0" xfId="0" applyFont="1" applyFill="1" applyBorder="1" applyAlignment="1" applyProtection="1">
      <alignment horizontal="center"/>
    </xf>
    <xf numFmtId="44" fontId="19" fillId="29" borderId="0" xfId="0" applyNumberFormat="1" applyFont="1" applyFill="1" applyBorder="1" applyAlignment="1" applyProtection="1">
      <alignment horizontal="center"/>
    </xf>
    <xf numFmtId="0" fontId="25" fillId="29" borderId="0" xfId="0" applyFont="1" applyFill="1"/>
    <xf numFmtId="0" fontId="19" fillId="0" borderId="15" xfId="0" applyFont="1" applyFill="1" applyBorder="1" applyProtection="1"/>
    <xf numFmtId="44" fontId="19" fillId="29" borderId="26" xfId="0" applyNumberFormat="1" applyFont="1" applyFill="1" applyBorder="1" applyProtection="1"/>
    <xf numFmtId="0" fontId="2" fillId="0" borderId="0" xfId="0" applyFont="1" applyFill="1" applyBorder="1"/>
    <xf numFmtId="0" fontId="28" fillId="29" borderId="21" xfId="0" applyFont="1" applyFill="1" applyBorder="1" applyProtection="1"/>
    <xf numFmtId="44" fontId="19" fillId="29" borderId="12" xfId="0" applyNumberFormat="1" applyFont="1" applyFill="1" applyBorder="1" applyAlignment="1" applyProtection="1"/>
    <xf numFmtId="44" fontId="25" fillId="29" borderId="12" xfId="0" applyNumberFormat="1" applyFont="1" applyFill="1" applyBorder="1" applyAlignment="1" applyProtection="1">
      <alignment horizontal="center"/>
    </xf>
    <xf numFmtId="0" fontId="31" fillId="29" borderId="0" xfId="0" applyFont="1" applyFill="1" applyBorder="1" applyAlignment="1" applyProtection="1">
      <alignment horizontal="center" vertical="center"/>
    </xf>
    <xf numFmtId="0" fontId="2" fillId="29" borderId="0" xfId="0" applyFont="1" applyFill="1" applyBorder="1" applyAlignment="1" applyProtection="1">
      <alignment horizontal="center" vertical="center"/>
    </xf>
    <xf numFmtId="0" fontId="2" fillId="29" borderId="0" xfId="0" applyFont="1" applyFill="1" applyBorder="1" applyAlignment="1" applyProtection="1">
      <alignment wrapText="1"/>
    </xf>
    <xf numFmtId="0" fontId="19" fillId="33" borderId="0" xfId="0" applyFont="1" applyFill="1" applyBorder="1"/>
    <xf numFmtId="0" fontId="19" fillId="19" borderId="12" xfId="0" applyFont="1" applyFill="1" applyBorder="1" applyAlignment="1" applyProtection="1">
      <alignment horizontal="center" wrapText="1"/>
    </xf>
    <xf numFmtId="44" fontId="19" fillId="19" borderId="12" xfId="0" applyNumberFormat="1" applyFont="1" applyFill="1" applyBorder="1" applyAlignment="1" applyProtection="1">
      <alignment horizontal="center"/>
    </xf>
    <xf numFmtId="44" fontId="19" fillId="19" borderId="12" xfId="0" applyNumberFormat="1" applyFont="1" applyFill="1" applyBorder="1" applyAlignment="1" applyProtection="1"/>
    <xf numFmtId="0" fontId="25" fillId="0" borderId="16" xfId="0" applyFont="1" applyBorder="1" applyAlignment="1">
      <alignment horizontal="center"/>
    </xf>
    <xf numFmtId="0" fontId="25" fillId="0" borderId="12" xfId="0" applyFont="1" applyBorder="1"/>
    <xf numFmtId="0" fontId="20" fillId="0" borderId="12" xfId="0" applyFont="1" applyFill="1" applyBorder="1" applyAlignment="1" applyProtection="1">
      <alignment horizontal="center"/>
    </xf>
    <xf numFmtId="0" fontId="25" fillId="0" borderId="12" xfId="0" applyFont="1" applyBorder="1" applyAlignment="1">
      <alignment horizontal="center"/>
    </xf>
    <xf numFmtId="0" fontId="2" fillId="0" borderId="0" xfId="0" applyFont="1" applyFill="1"/>
    <xf numFmtId="0" fontId="25" fillId="0" borderId="0" xfId="0" applyFont="1" applyFill="1"/>
    <xf numFmtId="0" fontId="0" fillId="22" borderId="0" xfId="0" applyFill="1"/>
    <xf numFmtId="0" fontId="25" fillId="22" borderId="0" xfId="0" applyFont="1" applyFill="1"/>
    <xf numFmtId="0" fontId="33" fillId="29" borderId="27" xfId="0" applyFont="1" applyFill="1" applyBorder="1" applyAlignment="1" applyProtection="1">
      <alignment horizontal="center" vertical="center" wrapText="1"/>
    </xf>
    <xf numFmtId="0" fontId="35" fillId="24" borderId="12" xfId="0" applyFont="1" applyFill="1" applyBorder="1" applyAlignment="1" applyProtection="1"/>
    <xf numFmtId="0" fontId="25" fillId="34" borderId="0" xfId="0" applyFont="1" applyFill="1"/>
    <xf numFmtId="0" fontId="2" fillId="19" borderId="28" xfId="0" applyFont="1" applyFill="1" applyBorder="1" applyAlignment="1" applyProtection="1">
      <alignment horizontal="center" vertical="center" wrapText="1"/>
      <protection locked="0"/>
    </xf>
    <xf numFmtId="0" fontId="0" fillId="19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19" fillId="35" borderId="18" xfId="0" applyNumberFormat="1" applyFont="1" applyFill="1" applyBorder="1" applyAlignment="1">
      <alignment horizontal="center"/>
    </xf>
    <xf numFmtId="44" fontId="19" fillId="35" borderId="12" xfId="0" applyNumberFormat="1" applyFont="1" applyFill="1" applyBorder="1" applyAlignment="1">
      <alignment horizontal="center"/>
    </xf>
    <xf numFmtId="0" fontId="28" fillId="35" borderId="21" xfId="0" applyFont="1" applyFill="1" applyBorder="1"/>
    <xf numFmtId="0" fontId="28" fillId="35" borderId="12" xfId="0" applyFont="1" applyFill="1" applyBorder="1"/>
    <xf numFmtId="44" fontId="19" fillId="35" borderId="12" xfId="0" applyNumberFormat="1" applyFont="1" applyFill="1" applyBorder="1" applyAlignment="1"/>
    <xf numFmtId="0" fontId="28" fillId="35" borderId="27" xfId="0" applyFont="1" applyFill="1" applyBorder="1"/>
    <xf numFmtId="44" fontId="19" fillId="35" borderId="20" xfId="0" applyNumberFormat="1" applyFont="1" applyFill="1" applyBorder="1" applyAlignment="1">
      <alignment horizontal="center"/>
    </xf>
    <xf numFmtId="0" fontId="28" fillId="35" borderId="29" xfId="0" applyFont="1" applyFill="1" applyBorder="1"/>
    <xf numFmtId="0" fontId="28" fillId="35" borderId="21" xfId="0" applyFont="1" applyFill="1" applyBorder="1" applyAlignment="1">
      <alignment horizontal="left"/>
    </xf>
    <xf numFmtId="0" fontId="19" fillId="35" borderId="17" xfId="0" applyFont="1" applyFill="1" applyBorder="1" applyAlignment="1">
      <alignment horizontal="left" vertical="center" wrapText="1"/>
    </xf>
    <xf numFmtId="44" fontId="19" fillId="35" borderId="16" xfId="0" applyNumberFormat="1" applyFont="1" applyFill="1" applyBorder="1" applyAlignment="1">
      <alignment vertical="center" wrapText="1"/>
    </xf>
    <xf numFmtId="0" fontId="2" fillId="35" borderId="12" xfId="0" applyFont="1" applyFill="1" applyBorder="1"/>
    <xf numFmtId="44" fontId="19" fillId="35" borderId="30" xfId="0" applyNumberFormat="1" applyFont="1" applyFill="1" applyBorder="1" applyProtection="1"/>
    <xf numFmtId="0" fontId="25" fillId="35" borderId="26" xfId="0" applyFont="1" applyFill="1" applyBorder="1"/>
    <xf numFmtId="44" fontId="19" fillId="35" borderId="18" xfId="0" applyNumberFormat="1" applyFont="1" applyFill="1" applyBorder="1" applyAlignment="1" applyProtection="1"/>
    <xf numFmtId="44" fontId="19" fillId="35" borderId="19" xfId="0" applyNumberFormat="1" applyFont="1" applyFill="1" applyBorder="1" applyProtection="1"/>
    <xf numFmtId="44" fontId="19" fillId="35" borderId="31" xfId="0" applyNumberFormat="1" applyFont="1" applyFill="1" applyBorder="1" applyProtection="1"/>
    <xf numFmtId="0" fontId="31" fillId="35" borderId="0" xfId="0" applyFont="1" applyFill="1" applyBorder="1" applyAlignment="1" applyProtection="1">
      <alignment vertical="center"/>
    </xf>
    <xf numFmtId="0" fontId="31" fillId="35" borderId="32" xfId="0" applyFont="1" applyFill="1" applyBorder="1" applyAlignment="1" applyProtection="1">
      <alignment vertical="center"/>
    </xf>
    <xf numFmtId="0" fontId="31" fillId="35" borderId="33" xfId="0" applyFont="1" applyFill="1" applyBorder="1" applyAlignment="1" applyProtection="1">
      <alignment vertical="center"/>
    </xf>
    <xf numFmtId="0" fontId="31" fillId="35" borderId="34" xfId="0" applyFont="1" applyFill="1" applyBorder="1" applyAlignment="1" applyProtection="1">
      <alignment vertical="center"/>
    </xf>
    <xf numFmtId="1" fontId="19" fillId="18" borderId="0" xfId="0" applyNumberFormat="1" applyFont="1" applyFill="1" applyBorder="1"/>
    <xf numFmtId="0" fontId="19" fillId="18" borderId="0" xfId="0" applyFont="1" applyFill="1" applyBorder="1"/>
    <xf numFmtId="0" fontId="25" fillId="18" borderId="0" xfId="0" applyFont="1" applyFill="1" applyBorder="1" applyAlignment="1">
      <alignment horizontal="center"/>
    </xf>
    <xf numFmtId="0" fontId="25" fillId="18" borderId="0" xfId="0" applyFont="1" applyFill="1"/>
    <xf numFmtId="0" fontId="39" fillId="35" borderId="12" xfId="0" applyFont="1" applyFill="1" applyBorder="1" applyAlignment="1" applyProtection="1"/>
    <xf numFmtId="0" fontId="38" fillId="36" borderId="0" xfId="0" applyFont="1" applyFill="1" applyBorder="1" applyAlignment="1" applyProtection="1">
      <alignment horizontal="center"/>
    </xf>
    <xf numFmtId="0" fontId="36" fillId="0" borderId="12" xfId="0" applyFont="1" applyFill="1" applyBorder="1"/>
    <xf numFmtId="0" fontId="40" fillId="0" borderId="12" xfId="0" applyFont="1" applyFill="1" applyBorder="1"/>
    <xf numFmtId="0" fontId="0" fillId="0" borderId="12" xfId="0" applyBorder="1"/>
    <xf numFmtId="0" fontId="2" fillId="0" borderId="0" xfId="0" applyFont="1" applyFill="1" applyAlignment="1">
      <alignment horizontal="center"/>
    </xf>
    <xf numFmtId="0" fontId="19" fillId="18" borderId="0" xfId="0" applyFont="1" applyFill="1"/>
    <xf numFmtId="0" fontId="19" fillId="0" borderId="12" xfId="0" applyFont="1" applyBorder="1" applyAlignment="1">
      <alignment horizontal="center"/>
    </xf>
    <xf numFmtId="14" fontId="0" fillId="0" borderId="0" xfId="0" applyNumberFormat="1"/>
    <xf numFmtId="0" fontId="2" fillId="0" borderId="12" xfId="0" applyFont="1" applyFill="1" applyBorder="1" applyAlignment="1">
      <alignment horizontal="center"/>
    </xf>
    <xf numFmtId="44" fontId="19" fillId="0" borderId="16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Fill="1" applyBorder="1"/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Border="1"/>
    <xf numFmtId="0" fontId="0" fillId="0" borderId="0" xfId="0" quotePrefix="1" applyBorder="1"/>
    <xf numFmtId="0" fontId="43" fillId="0" borderId="0" xfId="0" applyFont="1" applyFill="1"/>
    <xf numFmtId="166" fontId="20" fillId="0" borderId="0" xfId="31" applyNumberFormat="1" applyFont="1" applyFill="1" applyAlignment="1"/>
    <xf numFmtId="44" fontId="19" fillId="29" borderId="35" xfId="0" applyNumberFormat="1" applyFont="1" applyFill="1" applyBorder="1" applyAlignment="1">
      <alignment horizontal="center"/>
    </xf>
    <xf numFmtId="44" fontId="19" fillId="29" borderId="33" xfId="0" applyNumberFormat="1" applyFont="1" applyFill="1" applyBorder="1" applyAlignment="1">
      <alignment horizontal="center"/>
    </xf>
    <xf numFmtId="44" fontId="19" fillId="29" borderId="17" xfId="0" applyNumberFormat="1" applyFont="1" applyFill="1" applyBorder="1" applyAlignment="1">
      <alignment horizontal="center"/>
    </xf>
    <xf numFmtId="44" fontId="25" fillId="0" borderId="0" xfId="0" applyNumberFormat="1" applyFont="1" applyFill="1"/>
    <xf numFmtId="0" fontId="2" fillId="18" borderId="24" xfId="0" applyFont="1" applyFill="1" applyBorder="1" applyAlignment="1">
      <alignment horizontal="center"/>
    </xf>
    <xf numFmtId="43" fontId="2" fillId="0" borderId="12" xfId="31" applyFont="1" applyFill="1" applyBorder="1" applyAlignment="1">
      <alignment horizontal="center"/>
    </xf>
    <xf numFmtId="43" fontId="25" fillId="18" borderId="0" xfId="31" applyFont="1" applyFill="1"/>
    <xf numFmtId="44" fontId="19" fillId="0" borderId="12" xfId="0" applyNumberFormat="1" applyFont="1" applyFill="1" applyBorder="1" applyAlignment="1">
      <alignment horizontal="center"/>
    </xf>
    <xf numFmtId="43" fontId="2" fillId="0" borderId="18" xfId="31" applyFont="1" applyFill="1" applyBorder="1" applyAlignment="1">
      <alignment horizontal="center"/>
    </xf>
    <xf numFmtId="44" fontId="19" fillId="0" borderId="12" xfId="0" applyNumberFormat="1" applyFont="1" applyFill="1" applyBorder="1" applyAlignment="1"/>
    <xf numFmtId="44" fontId="19" fillId="0" borderId="25" xfId="0" applyNumberFormat="1" applyFont="1" applyFill="1" applyBorder="1" applyAlignment="1"/>
    <xf numFmtId="44" fontId="19" fillId="0" borderId="20" xfId="0" applyNumberFormat="1" applyFont="1" applyFill="1" applyBorder="1" applyAlignment="1">
      <alignment horizontal="center"/>
    </xf>
    <xf numFmtId="44" fontId="19" fillId="0" borderId="25" xfId="0" applyNumberFormat="1" applyFont="1" applyFill="1" applyBorder="1" applyAlignment="1">
      <alignment horizontal="center"/>
    </xf>
    <xf numFmtId="0" fontId="31" fillId="35" borderId="0" xfId="0" applyFont="1" applyFill="1" applyBorder="1" applyAlignment="1" applyProtection="1">
      <alignment horizontal="center" vertical="center"/>
    </xf>
    <xf numFmtId="0" fontId="19" fillId="35" borderId="0" xfId="0" applyFont="1" applyFill="1" applyBorder="1" applyAlignment="1" applyProtection="1">
      <alignment horizontal="center" vertical="center" wrapText="1"/>
    </xf>
    <xf numFmtId="44" fontId="19" fillId="35" borderId="0" xfId="0" applyNumberFormat="1" applyFont="1" applyFill="1" applyBorder="1" applyAlignment="1" applyProtection="1">
      <alignment horizontal="center" vertical="center" wrapText="1"/>
    </xf>
    <xf numFmtId="0" fontId="19" fillId="35" borderId="0" xfId="0" applyFont="1" applyFill="1"/>
    <xf numFmtId="0" fontId="25" fillId="35" borderId="0" xfId="0" applyFont="1" applyFill="1"/>
    <xf numFmtId="0" fontId="2" fillId="35" borderId="0" xfId="0" applyFont="1" applyFill="1"/>
    <xf numFmtId="0" fontId="19" fillId="35" borderId="0" xfId="0" applyFont="1" applyFill="1" applyBorder="1" applyAlignment="1">
      <alignment horizontal="center" vertical="center" wrapText="1"/>
    </xf>
    <xf numFmtId="0" fontId="2" fillId="35" borderId="0" xfId="0" applyFont="1" applyFill="1" applyBorder="1" applyAlignment="1" applyProtection="1">
      <alignment horizontal="center" vertical="center" wrapText="1"/>
    </xf>
    <xf numFmtId="0" fontId="2" fillId="35" borderId="18" xfId="0" applyFont="1" applyFill="1" applyBorder="1" applyAlignment="1">
      <alignment horizontal="center" vertical="center" textRotation="90" wrapText="1"/>
    </xf>
    <xf numFmtId="0" fontId="19" fillId="35" borderId="18" xfId="0" applyFont="1" applyFill="1" applyBorder="1" applyAlignment="1">
      <alignment horizontal="center"/>
    </xf>
    <xf numFmtId="0" fontId="19" fillId="35" borderId="17" xfId="0" applyFont="1" applyFill="1" applyBorder="1" applyAlignment="1">
      <alignment horizontal="center"/>
    </xf>
    <xf numFmtId="0" fontId="19" fillId="35" borderId="16" xfId="0" applyFont="1" applyFill="1" applyBorder="1" applyAlignment="1">
      <alignment horizontal="center"/>
    </xf>
    <xf numFmtId="0" fontId="19" fillId="35" borderId="12" xfId="0" applyFont="1" applyFill="1" applyBorder="1" applyAlignment="1">
      <alignment horizontal="center"/>
    </xf>
    <xf numFmtId="0" fontId="19" fillId="35" borderId="12" xfId="0" applyFont="1" applyFill="1" applyBorder="1"/>
    <xf numFmtId="0" fontId="20" fillId="35" borderId="0" xfId="0" applyFont="1" applyFill="1" applyBorder="1" applyAlignment="1" applyProtection="1">
      <alignment horizontal="center" vertical="center" wrapText="1"/>
    </xf>
    <xf numFmtId="44" fontId="19" fillId="35" borderId="0" xfId="0" applyNumberFormat="1" applyFont="1" applyFill="1" applyBorder="1" applyAlignment="1" applyProtection="1">
      <alignment horizontal="center" vertical="center"/>
    </xf>
    <xf numFmtId="0" fontId="19" fillId="35" borderId="0" xfId="0" applyFont="1" applyFill="1" applyBorder="1" applyAlignment="1" applyProtection="1">
      <alignment horizontal="center"/>
    </xf>
    <xf numFmtId="44" fontId="19" fillId="35" borderId="0" xfId="0" applyNumberFormat="1" applyFont="1" applyFill="1" applyBorder="1" applyProtection="1"/>
    <xf numFmtId="0" fontId="36" fillId="35" borderId="0" xfId="0" applyFont="1" applyFill="1" applyBorder="1" applyAlignment="1" applyProtection="1">
      <alignment horizontal="center" vertical="center" wrapText="1"/>
    </xf>
    <xf numFmtId="0" fontId="19" fillId="35" borderId="18" xfId="0" applyFont="1" applyFill="1" applyBorder="1" applyAlignment="1">
      <alignment horizontal="center" vertical="center" wrapText="1"/>
    </xf>
    <xf numFmtId="165" fontId="19" fillId="35" borderId="0" xfId="0" applyNumberFormat="1" applyFont="1" applyFill="1" applyBorder="1" applyAlignment="1" applyProtection="1">
      <alignment horizontal="center" vertical="center"/>
    </xf>
    <xf numFmtId="0" fontId="2" fillId="35" borderId="0" xfId="0" applyFont="1" applyFill="1" applyBorder="1" applyAlignment="1">
      <alignment horizontal="center" vertical="center" wrapText="1"/>
    </xf>
    <xf numFmtId="0" fontId="2" fillId="35" borderId="12" xfId="0" applyFont="1" applyFill="1" applyBorder="1" applyAlignment="1">
      <alignment horizontal="center" vertical="center" wrapText="1"/>
    </xf>
    <xf numFmtId="0" fontId="2" fillId="35" borderId="18" xfId="0" applyFont="1" applyFill="1" applyBorder="1" applyAlignment="1">
      <alignment horizontal="center" vertical="center" wrapText="1"/>
    </xf>
    <xf numFmtId="44" fontId="19" fillId="29" borderId="32" xfId="0" applyNumberFormat="1" applyFont="1" applyFill="1" applyBorder="1" applyAlignment="1">
      <alignment horizontal="center"/>
    </xf>
    <xf numFmtId="44" fontId="19" fillId="35" borderId="15" xfId="0" applyNumberFormat="1" applyFont="1" applyFill="1" applyBorder="1" applyAlignment="1">
      <alignment horizontal="center"/>
    </xf>
    <xf numFmtId="0" fontId="27" fillId="20" borderId="36" xfId="0" applyFont="1" applyFill="1" applyBorder="1"/>
    <xf numFmtId="44" fontId="19" fillId="20" borderId="37" xfId="0" applyNumberFormat="1" applyFont="1" applyFill="1" applyBorder="1" applyAlignment="1">
      <alignment horizontal="center"/>
    </xf>
    <xf numFmtId="0" fontId="2" fillId="20" borderId="12" xfId="0" applyFont="1" applyFill="1" applyBorder="1" applyAlignment="1" applyProtection="1">
      <alignment horizontal="center" vertical="center" wrapText="1"/>
    </xf>
    <xf numFmtId="0" fontId="2" fillId="20" borderId="12" xfId="0" applyFont="1" applyFill="1" applyBorder="1" applyAlignment="1" applyProtection="1">
      <alignment horizontal="center" vertical="center"/>
    </xf>
    <xf numFmtId="0" fontId="1" fillId="20" borderId="38" xfId="0" applyFont="1" applyFill="1" applyBorder="1" applyProtection="1"/>
    <xf numFmtId="0" fontId="1" fillId="20" borderId="39" xfId="0" applyFont="1" applyFill="1" applyBorder="1" applyProtection="1"/>
    <xf numFmtId="0" fontId="1" fillId="20" borderId="39" xfId="0" applyFont="1" applyFill="1" applyBorder="1" applyAlignment="1" applyProtection="1">
      <alignment horizontal="center"/>
    </xf>
    <xf numFmtId="14" fontId="45" fillId="20" borderId="40" xfId="0" applyNumberFormat="1" applyFont="1" applyFill="1" applyBorder="1" applyProtection="1"/>
    <xf numFmtId="0" fontId="45" fillId="20" borderId="0" xfId="0" applyFont="1" applyFill="1" applyBorder="1" applyProtection="1"/>
    <xf numFmtId="0" fontId="45" fillId="20" borderId="0" xfId="0" applyFont="1" applyFill="1" applyBorder="1" applyAlignment="1" applyProtection="1">
      <alignment horizontal="center"/>
    </xf>
    <xf numFmtId="0" fontId="46" fillId="20" borderId="26" xfId="0" applyFont="1" applyFill="1" applyBorder="1" applyAlignment="1" applyProtection="1">
      <alignment horizontal="center"/>
    </xf>
    <xf numFmtId="0" fontId="46" fillId="20" borderId="40" xfId="0" applyFont="1" applyFill="1" applyBorder="1" applyProtection="1"/>
    <xf numFmtId="0" fontId="46" fillId="20" borderId="0" xfId="0" applyFont="1" applyFill="1" applyBorder="1" applyProtection="1"/>
    <xf numFmtId="0" fontId="46" fillId="20" borderId="0" xfId="0" applyFont="1" applyFill="1" applyBorder="1" applyAlignment="1" applyProtection="1"/>
    <xf numFmtId="0" fontId="46" fillId="20" borderId="0" xfId="0" applyFont="1" applyFill="1" applyBorder="1" applyAlignment="1" applyProtection="1">
      <alignment horizontal="center"/>
    </xf>
    <xf numFmtId="0" fontId="46" fillId="20" borderId="26" xfId="0" applyFont="1" applyFill="1" applyBorder="1" applyProtection="1"/>
    <xf numFmtId="0" fontId="49" fillId="20" borderId="0" xfId="0" applyFont="1" applyFill="1"/>
    <xf numFmtId="0" fontId="49" fillId="20" borderId="26" xfId="0" applyFont="1" applyFill="1" applyBorder="1" applyProtection="1"/>
    <xf numFmtId="0" fontId="45" fillId="20" borderId="40" xfId="0" applyFont="1" applyFill="1" applyBorder="1" applyAlignment="1" applyProtection="1">
      <alignment vertical="center"/>
    </xf>
    <xf numFmtId="0" fontId="52" fillId="20" borderId="41" xfId="0" applyFont="1" applyFill="1" applyBorder="1" applyProtection="1"/>
    <xf numFmtId="0" fontId="52" fillId="20" borderId="42" xfId="0" applyFont="1" applyFill="1" applyBorder="1" applyProtection="1"/>
    <xf numFmtId="0" fontId="52" fillId="20" borderId="43" xfId="0" applyFont="1" applyFill="1" applyBorder="1" applyProtection="1"/>
    <xf numFmtId="0" fontId="34" fillId="0" borderId="41" xfId="0" applyFont="1" applyFill="1" applyBorder="1" applyProtection="1"/>
    <xf numFmtId="0" fontId="25" fillId="0" borderId="42" xfId="0" applyFont="1" applyFill="1" applyBorder="1" applyProtection="1"/>
    <xf numFmtId="0" fontId="34" fillId="0" borderId="0" xfId="0" applyFont="1" applyFill="1"/>
    <xf numFmtId="0" fontId="23" fillId="20" borderId="0" xfId="0" applyFont="1" applyFill="1" applyBorder="1" applyAlignment="1" applyProtection="1"/>
    <xf numFmtId="0" fontId="53" fillId="20" borderId="28" xfId="0" applyFont="1" applyFill="1" applyBorder="1" applyAlignment="1"/>
    <xf numFmtId="0" fontId="53" fillId="20" borderId="37" xfId="0" applyFont="1" applyFill="1" applyBorder="1" applyAlignment="1"/>
    <xf numFmtId="0" fontId="53" fillId="20" borderId="44" xfId="0" applyFont="1" applyFill="1" applyBorder="1" applyAlignment="1"/>
    <xf numFmtId="0" fontId="25" fillId="36" borderId="0" xfId="0" applyFont="1" applyFill="1"/>
    <xf numFmtId="0" fontId="48" fillId="20" borderId="0" xfId="0" applyFont="1" applyFill="1" applyBorder="1" applyAlignment="1" applyProtection="1">
      <alignment horizontal="left"/>
    </xf>
    <xf numFmtId="0" fontId="48" fillId="20" borderId="26" xfId="0" applyFont="1" applyFill="1" applyBorder="1" applyAlignment="1" applyProtection="1">
      <alignment horizontal="left"/>
    </xf>
    <xf numFmtId="0" fontId="25" fillId="0" borderId="17" xfId="0" applyFont="1" applyBorder="1" applyAlignment="1">
      <alignment horizontal="center"/>
    </xf>
    <xf numFmtId="49" fontId="19" fillId="0" borderId="0" xfId="0" applyNumberFormat="1" applyFont="1" applyFill="1" applyBorder="1" applyAlignment="1">
      <alignment horizontal="left"/>
    </xf>
    <xf numFmtId="0" fontId="19" fillId="19" borderId="18" xfId="0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19" fillId="19" borderId="16" xfId="0" applyFont="1" applyFill="1" applyBorder="1" applyAlignment="1">
      <alignment horizontal="center"/>
    </xf>
    <xf numFmtId="0" fontId="2" fillId="19" borderId="12" xfId="0" applyFont="1" applyFill="1" applyBorder="1"/>
    <xf numFmtId="0" fontId="25" fillId="0" borderId="17" xfId="0" applyFont="1" applyFill="1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6" xfId="0" applyFont="1" applyFill="1" applyBorder="1" applyAlignment="1">
      <alignment horizontal="center"/>
    </xf>
    <xf numFmtId="0" fontId="2" fillId="37" borderId="12" xfId="0" applyFont="1" applyFill="1" applyBorder="1"/>
    <xf numFmtId="0" fontId="19" fillId="38" borderId="18" xfId="0" applyFont="1" applyFill="1" applyBorder="1" applyAlignment="1">
      <alignment horizontal="center"/>
    </xf>
    <xf numFmtId="0" fontId="19" fillId="38" borderId="17" xfId="0" applyFont="1" applyFill="1" applyBorder="1" applyAlignment="1">
      <alignment horizontal="center"/>
    </xf>
    <xf numFmtId="0" fontId="19" fillId="38" borderId="16" xfId="0" applyFont="1" applyFill="1" applyBorder="1" applyAlignment="1">
      <alignment horizontal="center"/>
    </xf>
    <xf numFmtId="0" fontId="2" fillId="38" borderId="12" xfId="0" applyFont="1" applyFill="1" applyBorder="1"/>
    <xf numFmtId="0" fontId="19" fillId="26" borderId="16" xfId="0" applyFont="1" applyFill="1" applyBorder="1" applyAlignment="1">
      <alignment horizontal="center"/>
    </xf>
    <xf numFmtId="0" fontId="2" fillId="26" borderId="12" xfId="0" applyFont="1" applyFill="1" applyBorder="1"/>
    <xf numFmtId="0" fontId="33" fillId="24" borderId="0" xfId="0" applyFont="1" applyFill="1" applyBorder="1" applyAlignment="1" applyProtection="1">
      <alignment horizontal="left"/>
    </xf>
    <xf numFmtId="0" fontId="41" fillId="0" borderId="0" xfId="0" applyFont="1" applyFill="1" applyAlignment="1">
      <alignment horizontal="center" vertical="justify"/>
    </xf>
    <xf numFmtId="0" fontId="53" fillId="20" borderId="37" xfId="0" applyFont="1" applyFill="1" applyBorder="1" applyAlignment="1">
      <alignment horizont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33" fillId="24" borderId="0" xfId="0" applyFont="1" applyFill="1" applyBorder="1" applyAlignment="1" applyProtection="1">
      <alignment vertical="center"/>
    </xf>
    <xf numFmtId="0" fontId="28" fillId="19" borderId="21" xfId="0" applyFont="1" applyFill="1" applyBorder="1"/>
    <xf numFmtId="0" fontId="28" fillId="19" borderId="45" xfId="0" applyFont="1" applyFill="1" applyBorder="1"/>
    <xf numFmtId="0" fontId="28" fillId="19" borderId="27" xfId="0" applyFont="1" applyFill="1" applyBorder="1"/>
    <xf numFmtId="44" fontId="19" fillId="0" borderId="0" xfId="0" applyNumberFormat="1" applyFont="1" applyFill="1" applyBorder="1" applyAlignment="1">
      <alignment horizontal="center"/>
    </xf>
    <xf numFmtId="0" fontId="28" fillId="19" borderId="46" xfId="0" applyFont="1" applyFill="1" applyBorder="1"/>
    <xf numFmtId="0" fontId="28" fillId="0" borderId="27" xfId="0" applyFont="1" applyFill="1" applyBorder="1"/>
    <xf numFmtId="0" fontId="28" fillId="19" borderId="29" xfId="0" applyFont="1" applyFill="1" applyBorder="1"/>
    <xf numFmtId="44" fontId="19" fillId="35" borderId="16" xfId="0" applyNumberFormat="1" applyFont="1" applyFill="1" applyBorder="1" applyAlignment="1">
      <alignment horizontal="center" vertical="center" wrapText="1"/>
    </xf>
    <xf numFmtId="0" fontId="0" fillId="24" borderId="0" xfId="0" applyFont="1" applyFill="1"/>
    <xf numFmtId="0" fontId="25" fillId="0" borderId="0" xfId="0" applyFont="1" applyBorder="1"/>
    <xf numFmtId="44" fontId="19" fillId="0" borderId="21" xfId="32" applyFont="1" applyFill="1" applyBorder="1"/>
    <xf numFmtId="0" fontId="2" fillId="39" borderId="12" xfId="0" applyFont="1" applyFill="1" applyBorder="1"/>
    <xf numFmtId="0" fontId="25" fillId="39" borderId="0" xfId="0" applyFont="1" applyFill="1" applyBorder="1"/>
    <xf numFmtId="0" fontId="19" fillId="39" borderId="17" xfId="0" applyFont="1" applyFill="1" applyBorder="1" applyAlignment="1">
      <alignment horizontal="left" vertical="center" wrapText="1"/>
    </xf>
    <xf numFmtId="0" fontId="25" fillId="39" borderId="18" xfId="0" applyFont="1" applyFill="1" applyBorder="1"/>
    <xf numFmtId="44" fontId="19" fillId="39" borderId="16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horizontal="left" vertical="center" wrapText="1"/>
    </xf>
    <xf numFmtId="44" fontId="19" fillId="35" borderId="17" xfId="0" applyNumberFormat="1" applyFont="1" applyFill="1" applyBorder="1" applyAlignment="1">
      <alignment horizontal="center" vertical="center" wrapText="1"/>
    </xf>
    <xf numFmtId="0" fontId="0" fillId="0" borderId="0" xfId="0" applyFont="1"/>
    <xf numFmtId="44" fontId="0" fillId="0" borderId="0" xfId="0" applyNumberFormat="1" applyFont="1"/>
    <xf numFmtId="44" fontId="19" fillId="25" borderId="12" xfId="32" applyFont="1" applyFill="1" applyBorder="1" applyAlignment="1" applyProtection="1">
      <alignment horizontal="center" wrapText="1"/>
    </xf>
    <xf numFmtId="0" fontId="0" fillId="19" borderId="0" xfId="0" applyFont="1" applyFill="1"/>
    <xf numFmtId="44" fontId="25" fillId="0" borderId="0" xfId="0" applyNumberFormat="1" applyFont="1"/>
    <xf numFmtId="0" fontId="2" fillId="20" borderId="16" xfId="0" applyFont="1" applyFill="1" applyBorder="1" applyAlignment="1" applyProtection="1">
      <alignment horizontal="center" vertical="center" wrapText="1"/>
    </xf>
    <xf numFmtId="0" fontId="2" fillId="20" borderId="18" xfId="0" applyFont="1" applyFill="1" applyBorder="1" applyAlignment="1" applyProtection="1">
      <alignment horizontal="center" vertical="center" wrapText="1"/>
    </xf>
    <xf numFmtId="0" fontId="2" fillId="20" borderId="22" xfId="0" applyFont="1" applyFill="1" applyBorder="1" applyAlignment="1" applyProtection="1">
      <alignment horizontal="center" vertical="center" wrapText="1"/>
    </xf>
    <xf numFmtId="0" fontId="2" fillId="20" borderId="17" xfId="0" applyFont="1" applyFill="1" applyBorder="1" applyAlignment="1" applyProtection="1">
      <alignment horizontal="center" vertical="center" wrapText="1"/>
    </xf>
    <xf numFmtId="0" fontId="2" fillId="20" borderId="15" xfId="0" applyFont="1" applyFill="1" applyBorder="1" applyAlignment="1" applyProtection="1">
      <alignment horizontal="center" vertical="center" wrapText="1"/>
    </xf>
    <xf numFmtId="0" fontId="2" fillId="35" borderId="0" xfId="0" applyFont="1" applyFill="1" applyBorder="1" applyAlignment="1">
      <alignment horizontal="center" vertical="center" textRotation="90" wrapText="1"/>
    </xf>
    <xf numFmtId="0" fontId="2" fillId="35" borderId="0" xfId="0" applyFont="1" applyFill="1" applyBorder="1"/>
    <xf numFmtId="0" fontId="2" fillId="19" borderId="0" xfId="0" applyFont="1" applyFill="1" applyBorder="1"/>
    <xf numFmtId="0" fontId="2" fillId="37" borderId="0" xfId="0" applyFont="1" applyFill="1" applyBorder="1"/>
    <xf numFmtId="0" fontId="2" fillId="38" borderId="0" xfId="0" applyFont="1" applyFill="1" applyBorder="1"/>
    <xf numFmtId="0" fontId="2" fillId="26" borderId="0" xfId="0" applyFont="1" applyFill="1" applyBorder="1"/>
    <xf numFmtId="0" fontId="27" fillId="39" borderId="47" xfId="0" applyFont="1" applyFill="1" applyBorder="1"/>
    <xf numFmtId="44" fontId="19" fillId="39" borderId="42" xfId="0" applyNumberFormat="1" applyFont="1" applyFill="1" applyBorder="1" applyAlignment="1">
      <alignment horizontal="center"/>
    </xf>
    <xf numFmtId="1" fontId="19" fillId="39" borderId="42" xfId="0" applyNumberFormat="1" applyFont="1" applyFill="1" applyBorder="1" applyProtection="1"/>
    <xf numFmtId="0" fontId="2" fillId="39" borderId="15" xfId="0" applyFont="1" applyFill="1" applyBorder="1"/>
    <xf numFmtId="44" fontId="54" fillId="0" borderId="37" xfId="0" applyNumberFormat="1" applyFont="1" applyFill="1" applyBorder="1" applyAlignment="1">
      <alignment horizontal="center"/>
    </xf>
    <xf numFmtId="0" fontId="51" fillId="20" borderId="40" xfId="0" applyFont="1" applyFill="1" applyBorder="1" applyAlignment="1" applyProtection="1">
      <alignment horizontal="center"/>
    </xf>
    <xf numFmtId="0" fontId="51" fillId="20" borderId="0" xfId="0" applyFont="1" applyFill="1" applyBorder="1" applyAlignment="1" applyProtection="1">
      <alignment horizontal="center"/>
    </xf>
    <xf numFmtId="0" fontId="51" fillId="20" borderId="26" xfId="0" applyFont="1" applyFill="1" applyBorder="1" applyAlignment="1" applyProtection="1">
      <alignment horizontal="center"/>
    </xf>
    <xf numFmtId="0" fontId="2" fillId="19" borderId="28" xfId="0" applyFont="1" applyFill="1" applyBorder="1" applyAlignment="1" applyProtection="1">
      <alignment vertical="center" wrapText="1"/>
      <protection locked="0"/>
    </xf>
    <xf numFmtId="0" fontId="2" fillId="19" borderId="44" xfId="0" applyFont="1" applyFill="1" applyBorder="1" applyAlignment="1" applyProtection="1">
      <alignment vertical="center" wrapText="1"/>
      <protection locked="0"/>
    </xf>
    <xf numFmtId="0" fontId="47" fillId="20" borderId="40" xfId="0" applyFont="1" applyFill="1" applyBorder="1" applyAlignment="1" applyProtection="1">
      <alignment horizontal="center"/>
    </xf>
    <xf numFmtId="0" fontId="47" fillId="20" borderId="0" xfId="0" applyFont="1" applyFill="1" applyBorder="1" applyAlignment="1" applyProtection="1">
      <alignment horizontal="center"/>
    </xf>
    <xf numFmtId="0" fontId="48" fillId="20" borderId="40" xfId="0" applyFont="1" applyFill="1" applyBorder="1" applyAlignment="1" applyProtection="1">
      <alignment horizontal="left"/>
    </xf>
    <xf numFmtId="0" fontId="27" fillId="20" borderId="48" xfId="0" applyFont="1" applyFill="1" applyBorder="1"/>
    <xf numFmtId="0" fontId="0" fillId="28" borderId="35" xfId="0" applyFill="1" applyBorder="1" applyAlignment="1">
      <alignment horizontal="center"/>
    </xf>
    <xf numFmtId="44" fontId="55" fillId="24" borderId="49" xfId="0" applyNumberFormat="1" applyFont="1" applyFill="1" applyBorder="1" applyProtection="1"/>
    <xf numFmtId="44" fontId="55" fillId="20" borderId="37" xfId="0" applyNumberFormat="1" applyFont="1" applyFill="1" applyBorder="1" applyAlignment="1"/>
    <xf numFmtId="44" fontId="19" fillId="35" borderId="18" xfId="0" applyNumberFormat="1" applyFont="1" applyFill="1" applyBorder="1" applyAlignment="1">
      <alignment vertical="center" wrapText="1"/>
    </xf>
    <xf numFmtId="0" fontId="33" fillId="24" borderId="0" xfId="0" applyFont="1" applyFill="1" applyBorder="1" applyAlignment="1" applyProtection="1">
      <alignment horizontal="center" vertical="center"/>
    </xf>
    <xf numFmtId="164" fontId="19" fillId="0" borderId="19" xfId="29" applyNumberFormat="1" applyFont="1" applyFill="1" applyBorder="1" applyAlignment="1" applyProtection="1">
      <alignment horizontal="left"/>
      <protection locked="0"/>
    </xf>
    <xf numFmtId="0" fontId="9" fillId="7" borderId="18" xfId="33" applyBorder="1" applyAlignment="1">
      <alignment horizontal="center"/>
    </xf>
    <xf numFmtId="0" fontId="2" fillId="0" borderId="0" xfId="0" applyFont="1"/>
    <xf numFmtId="0" fontId="31" fillId="35" borderId="33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center" vertical="center"/>
    </xf>
    <xf numFmtId="0" fontId="19" fillId="25" borderId="12" xfId="0" applyFont="1" applyFill="1" applyBorder="1" applyAlignment="1" applyProtection="1">
      <alignment horizontal="center" vertical="center" wrapText="1"/>
    </xf>
    <xf numFmtId="44" fontId="19" fillId="25" borderId="12" xfId="0" applyNumberFormat="1" applyFont="1" applyFill="1" applyBorder="1" applyAlignment="1" applyProtection="1">
      <alignment horizontal="center" vertical="center"/>
    </xf>
    <xf numFmtId="44" fontId="19" fillId="30" borderId="12" xfId="0" applyNumberFormat="1" applyFont="1" applyFill="1" applyBorder="1" applyAlignment="1" applyProtection="1">
      <alignment horizontal="center" vertical="center"/>
    </xf>
    <xf numFmtId="0" fontId="19" fillId="25" borderId="17" xfId="0" applyNumberFormat="1" applyFont="1" applyFill="1" applyBorder="1" applyAlignment="1" applyProtection="1">
      <alignment horizontal="center" vertical="center"/>
    </xf>
    <xf numFmtId="0" fontId="19" fillId="22" borderId="12" xfId="0" applyFont="1" applyFill="1" applyBorder="1" applyAlignment="1" applyProtection="1">
      <alignment horizontal="center" vertical="center" wrapText="1"/>
    </xf>
    <xf numFmtId="44" fontId="19" fillId="22" borderId="12" xfId="0" applyNumberFormat="1" applyFont="1" applyFill="1" applyBorder="1" applyAlignment="1" applyProtection="1">
      <alignment horizontal="center" vertical="center"/>
    </xf>
    <xf numFmtId="44" fontId="19" fillId="31" borderId="12" xfId="0" applyNumberFormat="1" applyFont="1" applyFill="1" applyBorder="1" applyAlignment="1" applyProtection="1">
      <alignment horizontal="center" vertical="center"/>
    </xf>
    <xf numFmtId="0" fontId="19" fillId="32" borderId="12" xfId="0" applyFont="1" applyFill="1" applyBorder="1" applyAlignment="1" applyProtection="1">
      <alignment horizontal="center" vertical="center"/>
    </xf>
    <xf numFmtId="44" fontId="19" fillId="32" borderId="12" xfId="0" applyNumberFormat="1" applyFont="1" applyFill="1" applyBorder="1" applyAlignment="1" applyProtection="1">
      <alignment horizontal="center" vertical="center"/>
    </xf>
    <xf numFmtId="1" fontId="20" fillId="20" borderId="12" xfId="0" applyNumberFormat="1" applyFont="1" applyFill="1" applyBorder="1" applyAlignment="1" applyProtection="1">
      <alignment horizontal="center" vertical="center"/>
      <protection locked="0"/>
    </xf>
    <xf numFmtId="1" fontId="20" fillId="20" borderId="15" xfId="0" applyNumberFormat="1" applyFont="1" applyFill="1" applyBorder="1" applyAlignment="1" applyProtection="1">
      <alignment horizontal="center" vertical="center"/>
      <protection locked="0"/>
    </xf>
    <xf numFmtId="1" fontId="19" fillId="20" borderId="37" xfId="0" applyNumberFormat="1" applyFont="1" applyFill="1" applyBorder="1" applyAlignment="1" applyProtection="1">
      <alignment horizontal="center" vertical="center"/>
    </xf>
    <xf numFmtId="1" fontId="20" fillId="20" borderId="20" xfId="0" applyNumberFormat="1" applyFont="1" applyFill="1" applyBorder="1" applyAlignment="1" applyProtection="1">
      <alignment horizontal="center" vertical="center"/>
      <protection locked="0"/>
    </xf>
    <xf numFmtId="1" fontId="20" fillId="20" borderId="0" xfId="0" applyNumberFormat="1" applyFont="1" applyFill="1" applyBorder="1" applyAlignment="1" applyProtection="1">
      <alignment horizontal="center" vertical="center"/>
      <protection locked="0"/>
    </xf>
    <xf numFmtId="1" fontId="20" fillId="20" borderId="25" xfId="0" applyNumberFormat="1" applyFont="1" applyFill="1" applyBorder="1" applyAlignment="1" applyProtection="1">
      <alignment horizontal="center" vertical="center"/>
      <protection locked="0"/>
    </xf>
    <xf numFmtId="1" fontId="19" fillId="29" borderId="12" xfId="0" applyNumberFormat="1" applyFont="1" applyFill="1" applyBorder="1" applyAlignment="1" applyProtection="1">
      <alignment horizontal="center" vertical="center"/>
    </xf>
    <xf numFmtId="0" fontId="25" fillId="0" borderId="42" xfId="0" applyFont="1" applyFill="1" applyBorder="1" applyAlignment="1" applyProtection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43" fontId="20" fillId="0" borderId="0" xfId="31" applyNumberFormat="1" applyFont="1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35" borderId="0" xfId="0" applyFont="1" applyFill="1" applyBorder="1" applyAlignment="1" applyProtection="1">
      <alignment horizontal="center" vertical="center"/>
    </xf>
    <xf numFmtId="0" fontId="27" fillId="20" borderId="36" xfId="0" applyFont="1" applyFill="1" applyBorder="1" applyAlignment="1">
      <alignment horizontal="center" vertical="center"/>
    </xf>
    <xf numFmtId="1" fontId="2" fillId="40" borderId="18" xfId="0" applyNumberFormat="1" applyFont="1" applyFill="1" applyBorder="1" applyAlignment="1" applyProtection="1">
      <alignment horizontal="center" vertical="center"/>
    </xf>
    <xf numFmtId="1" fontId="2" fillId="0" borderId="18" xfId="0" applyNumberFormat="1" applyFont="1" applyFill="1" applyBorder="1" applyAlignment="1" applyProtection="1">
      <alignment horizontal="center" vertical="center"/>
      <protection locked="0"/>
    </xf>
    <xf numFmtId="1" fontId="19" fillId="29" borderId="0" xfId="0" applyNumberFormat="1" applyFont="1" applyFill="1" applyBorder="1" applyAlignment="1" applyProtection="1">
      <alignment horizontal="center" vertical="center"/>
    </xf>
    <xf numFmtId="0" fontId="1" fillId="20" borderId="39" xfId="0" applyFont="1" applyFill="1" applyBorder="1" applyAlignment="1" applyProtection="1">
      <alignment horizontal="center" vertical="center"/>
    </xf>
    <xf numFmtId="0" fontId="46" fillId="20" borderId="0" xfId="0" applyFont="1" applyFill="1" applyBorder="1" applyAlignment="1" applyProtection="1">
      <alignment horizontal="center" vertical="center"/>
    </xf>
    <xf numFmtId="0" fontId="48" fillId="20" borderId="0" xfId="0" applyFont="1" applyFill="1" applyBorder="1" applyAlignment="1" applyProtection="1">
      <alignment horizontal="center" vertical="center"/>
    </xf>
    <xf numFmtId="0" fontId="49" fillId="20" borderId="0" xfId="0" applyFont="1" applyFill="1" applyAlignment="1">
      <alignment horizontal="center" vertical="center"/>
    </xf>
    <xf numFmtId="0" fontId="51" fillId="20" borderId="0" xfId="0" applyFont="1" applyFill="1" applyBorder="1" applyAlignment="1" applyProtection="1">
      <alignment horizontal="center" vertical="center"/>
    </xf>
    <xf numFmtId="0" fontId="52" fillId="20" borderId="42" xfId="0" applyFont="1" applyFill="1" applyBorder="1" applyAlignment="1" applyProtection="1">
      <alignment horizontal="center" vertical="center"/>
    </xf>
    <xf numFmtId="0" fontId="53" fillId="20" borderId="28" xfId="0" applyFont="1" applyFill="1" applyBorder="1" applyAlignment="1">
      <alignment horizontal="center" vertical="center"/>
    </xf>
    <xf numFmtId="44" fontId="0" fillId="0" borderId="0" xfId="32" applyFont="1"/>
    <xf numFmtId="1" fontId="23" fillId="0" borderId="0" xfId="0" applyNumberFormat="1" applyFont="1" applyFill="1" applyAlignment="1">
      <alignment horizontal="center"/>
    </xf>
    <xf numFmtId="0" fontId="28" fillId="0" borderId="12" xfId="0" applyFont="1" applyFill="1" applyBorder="1" applyAlignment="1" applyProtection="1">
      <alignment horizontal="center"/>
      <protection locked="0"/>
    </xf>
    <xf numFmtId="22" fontId="45" fillId="20" borderId="0" xfId="0" applyNumberFormat="1" applyFont="1" applyFill="1" applyBorder="1" applyAlignment="1" applyProtection="1">
      <alignment horizontal="left"/>
    </xf>
    <xf numFmtId="0" fontId="28" fillId="27" borderId="60" xfId="0" applyFont="1" applyFill="1" applyBorder="1" applyAlignment="1">
      <alignment horizontal="center"/>
    </xf>
    <xf numFmtId="0" fontId="28" fillId="27" borderId="55" xfId="0" applyFont="1" applyFill="1" applyBorder="1" applyAlignment="1">
      <alignment horizontal="center"/>
    </xf>
    <xf numFmtId="0" fontId="28" fillId="27" borderId="56" xfId="0" applyFont="1" applyFill="1" applyBorder="1" applyAlignment="1">
      <alignment horizontal="center"/>
    </xf>
    <xf numFmtId="0" fontId="28" fillId="35" borderId="12" xfId="0" applyFont="1" applyFill="1" applyBorder="1" applyAlignment="1" applyProtection="1">
      <alignment horizontal="left"/>
      <protection locked="0"/>
    </xf>
    <xf numFmtId="44" fontId="55" fillId="20" borderId="37" xfId="0" applyNumberFormat="1" applyFont="1" applyFill="1" applyBorder="1" applyAlignment="1">
      <alignment horizontal="center"/>
    </xf>
    <xf numFmtId="44" fontId="55" fillId="20" borderId="44" xfId="0" applyNumberFormat="1" applyFont="1" applyFill="1" applyBorder="1" applyAlignment="1">
      <alignment horizontal="center"/>
    </xf>
    <xf numFmtId="44" fontId="25" fillId="35" borderId="12" xfId="0" applyNumberFormat="1" applyFont="1" applyFill="1" applyBorder="1" applyAlignment="1">
      <alignment horizontal="center"/>
    </xf>
    <xf numFmtId="44" fontId="25" fillId="35" borderId="18" xfId="0" applyNumberFormat="1" applyFont="1" applyFill="1" applyBorder="1" applyAlignment="1">
      <alignment horizontal="center"/>
    </xf>
    <xf numFmtId="0" fontId="31" fillId="35" borderId="58" xfId="0" applyFont="1" applyFill="1" applyBorder="1" applyAlignment="1" applyProtection="1">
      <alignment horizontal="center" vertical="center"/>
    </xf>
    <xf numFmtId="0" fontId="31" fillId="35" borderId="52" xfId="0" applyFont="1" applyFill="1" applyBorder="1" applyAlignment="1" applyProtection="1">
      <alignment horizontal="center" vertical="center"/>
    </xf>
    <xf numFmtId="0" fontId="31" fillId="35" borderId="57" xfId="0" applyFont="1" applyFill="1" applyBorder="1" applyAlignment="1" applyProtection="1">
      <alignment horizontal="center" vertical="center"/>
    </xf>
    <xf numFmtId="0" fontId="31" fillId="35" borderId="40" xfId="0" applyFont="1" applyFill="1" applyBorder="1" applyAlignment="1" applyProtection="1">
      <alignment horizontal="center" vertical="center"/>
    </xf>
    <xf numFmtId="0" fontId="31" fillId="35" borderId="0" xfId="0" applyFont="1" applyFill="1" applyBorder="1" applyAlignment="1" applyProtection="1">
      <alignment horizontal="center" vertical="center"/>
    </xf>
    <xf numFmtId="0" fontId="31" fillId="35" borderId="32" xfId="0" applyFont="1" applyFill="1" applyBorder="1" applyAlignment="1" applyProtection="1">
      <alignment horizontal="center" vertical="center"/>
    </xf>
    <xf numFmtId="0" fontId="29" fillId="19" borderId="35" xfId="0" applyFont="1" applyFill="1" applyBorder="1" applyAlignment="1" applyProtection="1">
      <alignment horizontal="center" vertical="center"/>
      <protection locked="0"/>
    </xf>
    <xf numFmtId="0" fontId="29" fillId="19" borderId="0" xfId="0" applyFont="1" applyFill="1" applyBorder="1" applyAlignment="1" applyProtection="1">
      <alignment horizontal="center" vertical="center"/>
      <protection locked="0"/>
    </xf>
    <xf numFmtId="0" fontId="29" fillId="19" borderId="32" xfId="0" applyFont="1" applyFill="1" applyBorder="1" applyAlignment="1" applyProtection="1">
      <alignment horizontal="center" vertical="center"/>
      <protection locked="0"/>
    </xf>
    <xf numFmtId="0" fontId="38" fillId="36" borderId="0" xfId="0" applyFont="1" applyFill="1" applyBorder="1" applyAlignment="1" applyProtection="1">
      <alignment horizontal="center"/>
    </xf>
    <xf numFmtId="44" fontId="19" fillId="0" borderId="0" xfId="0" applyNumberFormat="1" applyFont="1" applyFill="1" applyBorder="1" applyAlignment="1" applyProtection="1">
      <alignment horizontal="center"/>
    </xf>
    <xf numFmtId="44" fontId="25" fillId="35" borderId="20" xfId="0" applyNumberFormat="1" applyFont="1" applyFill="1" applyBorder="1" applyAlignment="1">
      <alignment horizontal="center"/>
    </xf>
    <xf numFmtId="44" fontId="25" fillId="35" borderId="22" xfId="0" applyNumberFormat="1" applyFont="1" applyFill="1" applyBorder="1" applyAlignment="1">
      <alignment horizontal="center"/>
    </xf>
    <xf numFmtId="0" fontId="33" fillId="24" borderId="0" xfId="0" applyFont="1" applyFill="1" applyBorder="1" applyAlignment="1" applyProtection="1">
      <alignment horizontal="center" vertical="center"/>
    </xf>
    <xf numFmtId="0" fontId="33" fillId="24" borderId="32" xfId="0" applyFont="1" applyFill="1" applyBorder="1" applyAlignment="1" applyProtection="1">
      <alignment horizontal="center" vertical="center"/>
    </xf>
    <xf numFmtId="44" fontId="19" fillId="22" borderId="12" xfId="0" applyNumberFormat="1" applyFont="1" applyFill="1" applyBorder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9" fillId="27" borderId="12" xfId="0" applyFont="1" applyFill="1" applyBorder="1" applyAlignment="1" applyProtection="1">
      <alignment horizontal="center"/>
    </xf>
    <xf numFmtId="44" fontId="36" fillId="35" borderId="22" xfId="0" applyNumberFormat="1" applyFont="1" applyFill="1" applyBorder="1" applyAlignment="1" applyProtection="1">
      <alignment vertical="center"/>
      <protection locked="0"/>
    </xf>
    <xf numFmtId="44" fontId="36" fillId="35" borderId="33" xfId="0" applyNumberFormat="1" applyFont="1" applyFill="1" applyBorder="1" applyAlignment="1" applyProtection="1">
      <alignment vertical="center"/>
      <protection locked="0"/>
    </xf>
    <xf numFmtId="44" fontId="36" fillId="35" borderId="34" xfId="0" applyNumberFormat="1" applyFont="1" applyFill="1" applyBorder="1" applyAlignment="1" applyProtection="1">
      <alignment vertical="center"/>
      <protection locked="0"/>
    </xf>
    <xf numFmtId="0" fontId="19" fillId="35" borderId="18" xfId="0" applyFont="1" applyFill="1" applyBorder="1" applyAlignment="1">
      <alignment horizontal="left" vertical="center" wrapText="1"/>
    </xf>
    <xf numFmtId="0" fontId="19" fillId="35" borderId="17" xfId="0" applyFont="1" applyFill="1" applyBorder="1" applyAlignment="1">
      <alignment horizontal="left" vertical="center" wrapText="1"/>
    </xf>
    <xf numFmtId="0" fontId="19" fillId="35" borderId="12" xfId="0" applyFont="1" applyFill="1" applyBorder="1" applyAlignment="1" applyProtection="1">
      <alignment horizontal="left" vertical="center" wrapText="1"/>
      <protection locked="0"/>
    </xf>
    <xf numFmtId="0" fontId="33" fillId="24" borderId="35" xfId="0" applyFont="1" applyFill="1" applyBorder="1" applyAlignment="1" applyProtection="1">
      <alignment horizontal="right" vertical="center"/>
    </xf>
    <xf numFmtId="0" fontId="33" fillId="24" borderId="0" xfId="0" applyFont="1" applyFill="1" applyBorder="1" applyAlignment="1" applyProtection="1">
      <alignment horizontal="right" vertical="center"/>
    </xf>
    <xf numFmtId="0" fontId="33" fillId="24" borderId="32" xfId="0" applyFont="1" applyFill="1" applyBorder="1" applyAlignment="1" applyProtection="1">
      <alignment horizontal="right" vertical="center"/>
    </xf>
    <xf numFmtId="44" fontId="19" fillId="31" borderId="12" xfId="0" applyNumberFormat="1" applyFont="1" applyFill="1" applyBorder="1" applyAlignment="1" applyProtection="1">
      <alignment horizontal="center"/>
    </xf>
    <xf numFmtId="0" fontId="19" fillId="27" borderId="15" xfId="0" applyFont="1" applyFill="1" applyBorder="1" applyAlignment="1" applyProtection="1">
      <alignment horizontal="center"/>
    </xf>
    <xf numFmtId="0" fontId="19" fillId="32" borderId="12" xfId="0" applyFont="1" applyFill="1" applyBorder="1" applyAlignment="1" applyProtection="1">
      <alignment horizontal="center"/>
    </xf>
    <xf numFmtId="0" fontId="28" fillId="35" borderId="18" xfId="0" applyFont="1" applyFill="1" applyBorder="1" applyAlignment="1" applyProtection="1">
      <alignment horizontal="left"/>
      <protection locked="0"/>
    </xf>
    <xf numFmtId="0" fontId="28" fillId="35" borderId="17" xfId="0" applyFont="1" applyFill="1" applyBorder="1" applyAlignment="1" applyProtection="1">
      <alignment horizontal="left"/>
      <protection locked="0"/>
    </xf>
    <xf numFmtId="0" fontId="28" fillId="35" borderId="16" xfId="0" applyFont="1" applyFill="1" applyBorder="1" applyAlignment="1" applyProtection="1">
      <alignment horizontal="left"/>
      <protection locked="0"/>
    </xf>
    <xf numFmtId="0" fontId="27" fillId="27" borderId="60" xfId="0" applyFont="1" applyFill="1" applyBorder="1" applyAlignment="1">
      <alignment horizontal="left"/>
    </xf>
    <xf numFmtId="0" fontId="27" fillId="27" borderId="55" xfId="0" applyFont="1" applyFill="1" applyBorder="1" applyAlignment="1">
      <alignment horizontal="left"/>
    </xf>
    <xf numFmtId="0" fontId="27" fillId="27" borderId="56" xfId="0" applyFont="1" applyFill="1" applyBorder="1" applyAlignment="1">
      <alignment horizontal="left"/>
    </xf>
    <xf numFmtId="44" fontId="25" fillId="35" borderId="25" xfId="0" applyNumberFormat="1" applyFont="1" applyFill="1" applyBorder="1" applyAlignment="1">
      <alignment horizontal="center"/>
    </xf>
    <xf numFmtId="44" fontId="25" fillId="35" borderId="59" xfId="0" applyNumberFormat="1" applyFont="1" applyFill="1" applyBorder="1" applyAlignment="1">
      <alignment horizontal="center"/>
    </xf>
    <xf numFmtId="0" fontId="28" fillId="35" borderId="58" xfId="0" applyFont="1" applyFill="1" applyBorder="1" applyAlignment="1">
      <alignment horizontal="left"/>
    </xf>
    <xf numFmtId="0" fontId="28" fillId="35" borderId="52" xfId="0" applyFont="1" applyFill="1" applyBorder="1" applyAlignment="1">
      <alignment horizontal="left"/>
    </xf>
    <xf numFmtId="0" fontId="28" fillId="35" borderId="57" xfId="0" applyFont="1" applyFill="1" applyBorder="1" applyAlignment="1">
      <alignment horizontal="left"/>
    </xf>
    <xf numFmtId="0" fontId="27" fillId="39" borderId="41" xfId="0" applyFont="1" applyFill="1" applyBorder="1" applyAlignment="1">
      <alignment horizontal="left"/>
    </xf>
    <xf numFmtId="0" fontId="27" fillId="39" borderId="42" xfId="0" applyFont="1" applyFill="1" applyBorder="1" applyAlignment="1">
      <alignment horizontal="left"/>
    </xf>
    <xf numFmtId="0" fontId="27" fillId="39" borderId="43" xfId="0" applyFont="1" applyFill="1" applyBorder="1" applyAlignment="1">
      <alignment horizontal="left"/>
    </xf>
    <xf numFmtId="0" fontId="56" fillId="18" borderId="41" xfId="0" applyFont="1" applyFill="1" applyBorder="1" applyAlignment="1">
      <alignment horizontal="center"/>
    </xf>
    <xf numFmtId="0" fontId="56" fillId="18" borderId="42" xfId="0" applyFont="1" applyFill="1" applyBorder="1" applyAlignment="1">
      <alignment horizontal="center"/>
    </xf>
    <xf numFmtId="0" fontId="56" fillId="18" borderId="43" xfId="0" applyFont="1" applyFill="1" applyBorder="1" applyAlignment="1">
      <alignment horizontal="center"/>
    </xf>
    <xf numFmtId="44" fontId="36" fillId="35" borderId="23" xfId="0" applyNumberFormat="1" applyFont="1" applyFill="1" applyBorder="1" applyAlignment="1" applyProtection="1">
      <alignment vertical="center"/>
      <protection locked="0"/>
    </xf>
    <xf numFmtId="44" fontId="36" fillId="35" borderId="52" xfId="0" applyNumberFormat="1" applyFont="1" applyFill="1" applyBorder="1" applyAlignment="1" applyProtection="1">
      <alignment vertical="center"/>
      <protection locked="0"/>
    </xf>
    <xf numFmtId="44" fontId="36" fillId="35" borderId="57" xfId="0" applyNumberFormat="1" applyFont="1" applyFill="1" applyBorder="1" applyAlignment="1" applyProtection="1">
      <alignment vertical="center"/>
      <protection locked="0"/>
    </xf>
    <xf numFmtId="0" fontId="2" fillId="35" borderId="18" xfId="0" applyFont="1" applyFill="1" applyBorder="1" applyAlignment="1">
      <alignment horizontal="left" vertical="center" wrapText="1"/>
    </xf>
    <xf numFmtId="0" fontId="2" fillId="35" borderId="17" xfId="0" applyFont="1" applyFill="1" applyBorder="1" applyAlignment="1">
      <alignment horizontal="left" vertical="center" wrapText="1"/>
    </xf>
    <xf numFmtId="0" fontId="25" fillId="0" borderId="12" xfId="0" applyFont="1" applyBorder="1" applyAlignment="1" applyProtection="1">
      <alignment horizontal="left"/>
      <protection locked="0"/>
    </xf>
    <xf numFmtId="44" fontId="19" fillId="35" borderId="12" xfId="0" applyNumberFormat="1" applyFont="1" applyFill="1" applyBorder="1" applyAlignment="1">
      <alignment horizontal="center"/>
    </xf>
    <xf numFmtId="44" fontId="19" fillId="35" borderId="18" xfId="0" applyNumberFormat="1" applyFont="1" applyFill="1" applyBorder="1" applyAlignment="1">
      <alignment horizontal="center"/>
    </xf>
    <xf numFmtId="0" fontId="2" fillId="20" borderId="12" xfId="0" applyFont="1" applyFill="1" applyBorder="1" applyAlignment="1" applyProtection="1">
      <alignment horizontal="center" vertical="center" wrapText="1"/>
    </xf>
    <xf numFmtId="44" fontId="44" fillId="39" borderId="42" xfId="0" applyNumberFormat="1" applyFont="1" applyFill="1" applyBorder="1" applyAlignment="1">
      <alignment horizontal="center"/>
    </xf>
    <xf numFmtId="44" fontId="44" fillId="39" borderId="44" xfId="0" applyNumberFormat="1" applyFont="1" applyFill="1" applyBorder="1" applyAlignment="1">
      <alignment horizontal="center"/>
    </xf>
    <xf numFmtId="0" fontId="25" fillId="0" borderId="12" xfId="0" applyFont="1" applyFill="1" applyBorder="1" applyAlignment="1" applyProtection="1">
      <alignment horizontal="left"/>
      <protection locked="0"/>
    </xf>
    <xf numFmtId="44" fontId="19" fillId="35" borderId="15" xfId="0" applyNumberFormat="1" applyFont="1" applyFill="1" applyBorder="1" applyAlignment="1">
      <alignment horizontal="center"/>
    </xf>
    <xf numFmtId="44" fontId="19" fillId="35" borderId="23" xfId="0" applyNumberFormat="1" applyFont="1" applyFill="1" applyBorder="1" applyAlignment="1">
      <alignment horizontal="center"/>
    </xf>
    <xf numFmtId="44" fontId="19" fillId="35" borderId="16" xfId="0" applyNumberFormat="1" applyFont="1" applyFill="1" applyBorder="1" applyAlignment="1">
      <alignment horizontal="center"/>
    </xf>
    <xf numFmtId="44" fontId="19" fillId="19" borderId="12" xfId="0" applyNumberFormat="1" applyFont="1" applyFill="1" applyBorder="1" applyAlignment="1" applyProtection="1">
      <alignment horizontal="center" vertical="center" wrapText="1"/>
    </xf>
    <xf numFmtId="0" fontId="19" fillId="37" borderId="18" xfId="0" applyFont="1" applyFill="1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19" fillId="37" borderId="16" xfId="0" applyFont="1" applyFill="1" applyBorder="1" applyAlignment="1">
      <alignment horizontal="center"/>
    </xf>
    <xf numFmtId="0" fontId="2" fillId="35" borderId="12" xfId="0" applyFont="1" applyFill="1" applyBorder="1" applyAlignment="1">
      <alignment horizontal="center" vertical="center" textRotation="90" wrapText="1"/>
    </xf>
    <xf numFmtId="0" fontId="2" fillId="35" borderId="15" xfId="0" applyFont="1" applyFill="1" applyBorder="1" applyAlignment="1">
      <alignment horizontal="center" vertical="center" textRotation="90" wrapText="1"/>
    </xf>
    <xf numFmtId="0" fontId="2" fillId="35" borderId="24" xfId="0" applyFont="1" applyFill="1" applyBorder="1" applyAlignment="1">
      <alignment horizontal="center" vertical="center" textRotation="90" wrapText="1"/>
    </xf>
    <xf numFmtId="0" fontId="2" fillId="35" borderId="20" xfId="0" applyFont="1" applyFill="1" applyBorder="1" applyAlignment="1">
      <alignment horizontal="center" vertical="center" textRotation="90" wrapText="1"/>
    </xf>
    <xf numFmtId="44" fontId="19" fillId="32" borderId="12" xfId="0" applyNumberFormat="1" applyFont="1" applyFill="1" applyBorder="1" applyAlignment="1" applyProtection="1">
      <alignment horizontal="center"/>
    </xf>
    <xf numFmtId="44" fontId="19" fillId="0" borderId="15" xfId="0" applyNumberFormat="1" applyFont="1" applyFill="1" applyBorder="1" applyAlignment="1" applyProtection="1">
      <alignment horizontal="center" vertical="center"/>
    </xf>
    <xf numFmtId="0" fontId="25" fillId="0" borderId="12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44" fontId="19" fillId="35" borderId="18" xfId="0" applyNumberFormat="1" applyFont="1" applyFill="1" applyBorder="1" applyAlignment="1">
      <alignment horizontal="center" vertical="center" wrapText="1"/>
    </xf>
    <xf numFmtId="44" fontId="19" fillId="35" borderId="16" xfId="0" applyNumberFormat="1" applyFont="1" applyFill="1" applyBorder="1" applyAlignment="1">
      <alignment horizontal="center" vertical="center" wrapText="1"/>
    </xf>
    <xf numFmtId="165" fontId="36" fillId="35" borderId="18" xfId="0" applyNumberFormat="1" applyFont="1" applyFill="1" applyBorder="1" applyAlignment="1" applyProtection="1">
      <alignment horizontal="center" vertical="center"/>
      <protection locked="0"/>
    </xf>
    <xf numFmtId="165" fontId="36" fillId="35" borderId="17" xfId="0" applyNumberFormat="1" applyFont="1" applyFill="1" applyBorder="1" applyAlignment="1" applyProtection="1">
      <alignment horizontal="center" vertical="center"/>
      <protection locked="0"/>
    </xf>
    <xf numFmtId="165" fontId="36" fillId="35" borderId="16" xfId="0" applyNumberFormat="1" applyFont="1" applyFill="1" applyBorder="1" applyAlignment="1" applyProtection="1">
      <alignment horizontal="center" vertical="center"/>
      <protection locked="0"/>
    </xf>
    <xf numFmtId="0" fontId="25" fillId="0" borderId="18" xfId="0" applyFont="1" applyFill="1" applyBorder="1" applyAlignment="1">
      <alignment horizontal="center"/>
    </xf>
    <xf numFmtId="0" fontId="25" fillId="0" borderId="16" xfId="0" applyFont="1" applyFill="1" applyBorder="1" applyAlignment="1">
      <alignment horizontal="center"/>
    </xf>
    <xf numFmtId="0" fontId="19" fillId="26" borderId="18" xfId="0" applyFont="1" applyFill="1" applyBorder="1" applyAlignment="1">
      <alignment horizontal="center"/>
    </xf>
    <xf numFmtId="0" fontId="19" fillId="26" borderId="17" xfId="0" applyFont="1" applyFill="1" applyBorder="1" applyAlignment="1">
      <alignment horizontal="center"/>
    </xf>
    <xf numFmtId="0" fontId="19" fillId="26" borderId="16" xfId="0" applyFont="1" applyFill="1" applyBorder="1" applyAlignment="1">
      <alignment horizontal="center"/>
    </xf>
    <xf numFmtId="0" fontId="19" fillId="19" borderId="18" xfId="0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19" fillId="19" borderId="16" xfId="0" applyFont="1" applyFill="1" applyBorder="1" applyAlignment="1">
      <alignment horizontal="center"/>
    </xf>
    <xf numFmtId="44" fontId="36" fillId="35" borderId="12" xfId="0" applyNumberFormat="1" applyFont="1" applyFill="1" applyBorder="1" applyAlignment="1" applyProtection="1">
      <alignment vertical="top" wrapText="1"/>
      <protection locked="0"/>
    </xf>
    <xf numFmtId="0" fontId="19" fillId="19" borderId="12" xfId="0" applyFont="1" applyFill="1" applyBorder="1" applyAlignment="1" applyProtection="1">
      <alignment horizontal="center" vertical="center" wrapText="1"/>
    </xf>
    <xf numFmtId="44" fontId="19" fillId="35" borderId="18" xfId="0" applyNumberFormat="1" applyFont="1" applyFill="1" applyBorder="1" applyAlignment="1" applyProtection="1">
      <alignment horizontal="center"/>
    </xf>
    <xf numFmtId="44" fontId="19" fillId="35" borderId="16" xfId="0" applyNumberFormat="1" applyFont="1" applyFill="1" applyBorder="1" applyAlignment="1" applyProtection="1">
      <alignment horizontal="center"/>
    </xf>
    <xf numFmtId="0" fontId="28" fillId="35" borderId="55" xfId="0" applyFont="1" applyFill="1" applyBorder="1" applyAlignment="1" applyProtection="1">
      <alignment horizontal="left"/>
      <protection locked="0"/>
    </xf>
    <xf numFmtId="0" fontId="28" fillId="35" borderId="56" xfId="0" applyFont="1" applyFill="1" applyBorder="1" applyAlignment="1" applyProtection="1">
      <alignment horizontal="left"/>
      <protection locked="0"/>
    </xf>
    <xf numFmtId="0" fontId="20" fillId="35" borderId="0" xfId="0" applyFont="1" applyFill="1" applyBorder="1" applyAlignment="1" applyProtection="1">
      <alignment horizontal="center" vertical="center" wrapText="1"/>
    </xf>
    <xf numFmtId="44" fontId="36" fillId="35" borderId="35" xfId="0" applyNumberFormat="1" applyFont="1" applyFill="1" applyBorder="1" applyAlignment="1" applyProtection="1">
      <alignment vertical="center"/>
      <protection locked="0"/>
    </xf>
    <xf numFmtId="44" fontId="36" fillId="35" borderId="0" xfId="0" applyNumberFormat="1" applyFont="1" applyFill="1" applyBorder="1" applyAlignment="1" applyProtection="1">
      <alignment vertical="center"/>
      <protection locked="0"/>
    </xf>
    <xf numFmtId="44" fontId="36" fillId="35" borderId="32" xfId="0" applyNumberFormat="1" applyFont="1" applyFill="1" applyBorder="1" applyAlignment="1" applyProtection="1">
      <alignment vertical="center"/>
      <protection locked="0"/>
    </xf>
    <xf numFmtId="0" fontId="19" fillId="38" borderId="18" xfId="0" applyFont="1" applyFill="1" applyBorder="1" applyAlignment="1">
      <alignment horizontal="center"/>
    </xf>
    <xf numFmtId="0" fontId="19" fillId="38" borderId="17" xfId="0" applyFont="1" applyFill="1" applyBorder="1" applyAlignment="1">
      <alignment horizontal="center"/>
    </xf>
    <xf numFmtId="0" fontId="51" fillId="20" borderId="40" xfId="0" applyFont="1" applyFill="1" applyBorder="1" applyAlignment="1" applyProtection="1">
      <alignment horizontal="center"/>
    </xf>
    <xf numFmtId="0" fontId="51" fillId="20" borderId="0" xfId="0" applyFont="1" applyFill="1" applyBorder="1" applyAlignment="1" applyProtection="1">
      <alignment horizontal="center"/>
    </xf>
    <xf numFmtId="0" fontId="51" fillId="20" borderId="26" xfId="0" applyFont="1" applyFill="1" applyBorder="1" applyAlignment="1" applyProtection="1">
      <alignment horizontal="center"/>
    </xf>
    <xf numFmtId="49" fontId="50" fillId="0" borderId="37" xfId="0" applyNumberFormat="1" applyFont="1" applyFill="1" applyBorder="1" applyAlignment="1" applyProtection="1">
      <alignment horizontal="center" vertical="center"/>
      <protection locked="0"/>
    </xf>
    <xf numFmtId="49" fontId="50" fillId="0" borderId="44" xfId="0" applyNumberFormat="1" applyFont="1" applyFill="1" applyBorder="1" applyAlignment="1" applyProtection="1">
      <alignment horizontal="center" vertical="center"/>
      <protection locked="0"/>
    </xf>
    <xf numFmtId="0" fontId="32" fillId="0" borderId="52" xfId="0" applyFont="1" applyFill="1" applyBorder="1" applyAlignment="1">
      <alignment horizontal="center" vertical="center" textRotation="180"/>
    </xf>
    <xf numFmtId="0" fontId="32" fillId="0" borderId="0" xfId="0" applyFont="1" applyFill="1" applyBorder="1" applyAlignment="1">
      <alignment horizontal="center" vertical="center" textRotation="180"/>
    </xf>
    <xf numFmtId="44" fontId="37" fillId="0" borderId="23" xfId="0" applyNumberFormat="1" applyFont="1" applyFill="1" applyBorder="1" applyAlignment="1" applyProtection="1">
      <alignment horizontal="center"/>
    </xf>
    <xf numFmtId="44" fontId="37" fillId="0" borderId="52" xfId="0" applyNumberFormat="1" applyFont="1" applyFill="1" applyBorder="1" applyAlignment="1" applyProtection="1">
      <alignment horizontal="center"/>
    </xf>
    <xf numFmtId="44" fontId="37" fillId="0" borderId="53" xfId="0" applyNumberFormat="1" applyFont="1" applyFill="1" applyBorder="1" applyAlignment="1" applyProtection="1">
      <alignment horizontal="center"/>
    </xf>
    <xf numFmtId="44" fontId="37" fillId="0" borderId="22" xfId="0" applyNumberFormat="1" applyFont="1" applyFill="1" applyBorder="1" applyAlignment="1" applyProtection="1">
      <alignment horizontal="center"/>
    </xf>
    <xf numFmtId="44" fontId="37" fillId="0" borderId="33" xfId="0" applyNumberFormat="1" applyFont="1" applyFill="1" applyBorder="1" applyAlignment="1" applyProtection="1">
      <alignment horizontal="center"/>
    </xf>
    <xf numFmtId="44" fontId="37" fillId="0" borderId="54" xfId="0" applyNumberFormat="1" applyFont="1" applyFill="1" applyBorder="1" applyAlignment="1" applyProtection="1">
      <alignment horizontal="center"/>
    </xf>
    <xf numFmtId="0" fontId="20" fillId="0" borderId="18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16" xfId="0" applyFont="1" applyFill="1" applyBorder="1" applyAlignment="1">
      <alignment horizontal="center"/>
    </xf>
    <xf numFmtId="1" fontId="23" fillId="0" borderId="0" xfId="0" applyNumberFormat="1" applyFont="1" applyFill="1" applyBorder="1" applyAlignment="1">
      <alignment horizontal="center"/>
    </xf>
    <xf numFmtId="0" fontId="2" fillId="0" borderId="35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9" fillId="0" borderId="18" xfId="0" applyFont="1" applyFill="1" applyBorder="1" applyAlignment="1" applyProtection="1">
      <alignment horizontal="center"/>
      <protection locked="0"/>
    </xf>
    <xf numFmtId="0" fontId="29" fillId="0" borderId="17" xfId="0" applyFont="1" applyFill="1" applyBorder="1" applyAlignment="1" applyProtection="1">
      <alignment horizontal="center"/>
      <protection locked="0"/>
    </xf>
    <xf numFmtId="0" fontId="29" fillId="0" borderId="16" xfId="0" applyFont="1" applyFill="1" applyBorder="1" applyAlignment="1" applyProtection="1">
      <alignment horizontal="center"/>
      <protection locked="0"/>
    </xf>
    <xf numFmtId="0" fontId="26" fillId="0" borderId="21" xfId="0" applyFont="1" applyBorder="1" applyAlignment="1" applyProtection="1">
      <alignment horizontal="center" vertical="center" wrapText="1"/>
      <protection locked="0"/>
    </xf>
    <xf numFmtId="0" fontId="26" fillId="0" borderId="21" xfId="0" applyFont="1" applyBorder="1" applyAlignment="1" applyProtection="1">
      <alignment horizontal="center"/>
      <protection locked="0"/>
    </xf>
    <xf numFmtId="0" fontId="28" fillId="35" borderId="0" xfId="0" applyFont="1" applyFill="1" applyBorder="1" applyAlignment="1">
      <alignment horizontal="left"/>
    </xf>
    <xf numFmtId="0" fontId="42" fillId="0" borderId="35" xfId="0" applyFont="1" applyFill="1" applyBorder="1" applyAlignment="1">
      <alignment horizontal="center"/>
    </xf>
    <xf numFmtId="0" fontId="42" fillId="0" borderId="0" xfId="0" applyFont="1" applyFill="1" applyAlignment="1">
      <alignment horizontal="center"/>
    </xf>
    <xf numFmtId="0" fontId="53" fillId="20" borderId="28" xfId="0" applyFont="1" applyFill="1" applyBorder="1" applyAlignment="1">
      <alignment horizontal="center"/>
    </xf>
    <xf numFmtId="0" fontId="53" fillId="20" borderId="37" xfId="0" applyFont="1" applyFill="1" applyBorder="1" applyAlignment="1">
      <alignment horizontal="center"/>
    </xf>
    <xf numFmtId="1" fontId="20" fillId="0" borderId="18" xfId="0" applyNumberFormat="1" applyFont="1" applyFill="1" applyBorder="1" applyAlignment="1">
      <alignment horizontal="center"/>
    </xf>
    <xf numFmtId="0" fontId="36" fillId="0" borderId="35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53" fillId="20" borderId="50" xfId="0" applyFont="1" applyFill="1" applyBorder="1" applyAlignment="1">
      <alignment horizontal="center"/>
    </xf>
    <xf numFmtId="0" fontId="2" fillId="20" borderId="51" xfId="0" applyFont="1" applyFill="1" applyBorder="1" applyAlignment="1" applyProtection="1">
      <alignment horizontal="center" vertical="center"/>
    </xf>
    <xf numFmtId="0" fontId="2" fillId="20" borderId="17" xfId="0" applyFont="1" applyFill="1" applyBorder="1" applyAlignment="1" applyProtection="1">
      <alignment horizontal="center" vertical="center"/>
    </xf>
    <xf numFmtId="0" fontId="2" fillId="20" borderId="16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5" fillId="0" borderId="17" xfId="0" applyFont="1" applyFill="1" applyBorder="1" applyAlignment="1">
      <alignment horizontal="center"/>
    </xf>
    <xf numFmtId="0" fontId="19" fillId="35" borderId="18" xfId="0" applyFont="1" applyFill="1" applyBorder="1" applyAlignment="1">
      <alignment horizontal="center"/>
    </xf>
    <xf numFmtId="0" fontId="19" fillId="35" borderId="17" xfId="0" applyFont="1" applyFill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19" fillId="35" borderId="16" xfId="0" applyFont="1" applyFill="1" applyBorder="1" applyAlignment="1">
      <alignment horizontal="center"/>
    </xf>
    <xf numFmtId="0" fontId="2" fillId="19" borderId="28" xfId="0" applyFont="1" applyFill="1" applyBorder="1" applyAlignment="1" applyProtection="1">
      <alignment horizontal="center" vertical="center" wrapText="1"/>
      <protection locked="0"/>
    </xf>
    <xf numFmtId="0" fontId="2" fillId="19" borderId="44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6" xfId="0" applyBorder="1" applyAlignment="1">
      <alignment horizontal="left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Milliers" xfId="31" builtinId="3"/>
    <cellStyle name="Monétaire" xfId="32" builtinId="4"/>
    <cellStyle name="Neutre" xfId="33" builtinId="28" customBuiltin="1"/>
    <cellStyle name="Normal" xfId="0" builtinId="0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2">
    <dxf>
      <font>
        <condense val="0"/>
        <extend val="0"/>
        <color indexed="13"/>
      </font>
      <fill>
        <patternFill>
          <bgColor indexed="10"/>
        </patternFill>
      </fill>
    </dxf>
    <dxf>
      <font>
        <b/>
        <i val="0"/>
        <condense val="0"/>
        <extend val="0"/>
        <color auto="1"/>
      </font>
      <fill>
        <patternFill>
          <bgColor indexed="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Verre givré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C8828"/>
  <sheetViews>
    <sheetView showZeros="0" defaultGridColor="0" colorId="22" zoomScale="55" zoomScaleNormal="100" zoomScaleSheetLayoutView="80" workbookViewId="0">
      <pane ySplit="20" topLeftCell="A21" activePane="bottomLeft" state="frozen"/>
      <selection pane="bottomLeft" activeCell="B1" sqref="B1:D1"/>
    </sheetView>
  </sheetViews>
  <sheetFormatPr baseColWidth="10" defaultColWidth="11.44140625" defaultRowHeight="13.2" outlineLevelRow="1" outlineLevelCol="1"/>
  <cols>
    <col min="1" max="1" width="52.6640625" style="17" customWidth="1"/>
    <col min="2" max="2" width="13.33203125" style="17" customWidth="1"/>
    <col min="3" max="3" width="14.44140625" style="328" customWidth="1"/>
    <col min="4" max="4" width="11" style="17" customWidth="1"/>
    <col min="5" max="5" width="10.44140625" style="17" customWidth="1"/>
    <col min="6" max="6" width="1" style="17" customWidth="1"/>
    <col min="7" max="7" width="15.33203125" style="17" hidden="1" customWidth="1"/>
    <col min="8" max="8" width="14" style="17" customWidth="1"/>
    <col min="9" max="9" width="10.88671875" style="17" customWidth="1"/>
    <col min="10" max="10" width="12.109375" style="17" customWidth="1"/>
    <col min="11" max="11" width="14.44140625" style="17" customWidth="1"/>
    <col min="12" max="12" width="9.88671875" style="17" customWidth="1"/>
    <col min="13" max="13" width="12.5546875" style="328" customWidth="1"/>
    <col min="14" max="14" width="12.5546875" style="17" customWidth="1"/>
    <col min="15" max="15" width="9.5546875" style="83" hidden="1" customWidth="1"/>
    <col min="16" max="16" width="12" style="83" hidden="1" customWidth="1"/>
    <col min="17" max="18" width="11.44140625" style="17" hidden="1" customWidth="1" outlineLevel="1"/>
    <col min="19" max="20" width="6.5546875" style="17" hidden="1" customWidth="1" outlineLevel="1"/>
    <col min="21" max="29" width="6.33203125" style="17" hidden="1" customWidth="1" outlineLevel="1"/>
    <col min="30" max="36" width="4.44140625" style="17" hidden="1" customWidth="1" outlineLevel="1"/>
    <col min="37" max="37" width="6.6640625" style="17" hidden="1" customWidth="1" outlineLevel="1"/>
    <col min="38" max="40" width="3.6640625" style="17" hidden="1" customWidth="1" outlineLevel="1"/>
    <col min="41" max="41" width="2.44140625" style="17" hidden="1" customWidth="1" outlineLevel="1"/>
    <col min="42" max="43" width="3.109375" style="17" hidden="1" customWidth="1" outlineLevel="1"/>
    <col min="44" max="44" width="3" style="17" hidden="1" customWidth="1" outlineLevel="1"/>
    <col min="45" max="48" width="4" style="17" hidden="1" customWidth="1" outlineLevel="1"/>
    <col min="49" max="49" width="3.109375" style="17" hidden="1" customWidth="1" outlineLevel="1"/>
    <col min="50" max="50" width="4.6640625" style="17" hidden="1" customWidth="1" outlineLevel="1"/>
    <col min="51" max="51" width="5.6640625" style="17" hidden="1" customWidth="1" outlineLevel="1"/>
    <col min="52" max="52" width="8.33203125" style="17" hidden="1" customWidth="1" outlineLevel="1"/>
    <col min="53" max="53" width="4.6640625" style="17" hidden="1" customWidth="1" outlineLevel="1"/>
    <col min="54" max="54" width="4.5546875" style="17" hidden="1" customWidth="1" outlineLevel="1"/>
    <col min="55" max="56" width="4.109375" style="17" hidden="1" customWidth="1" outlineLevel="1"/>
    <col min="57" max="57" width="4.33203125" style="17" hidden="1" customWidth="1" outlineLevel="1"/>
    <col min="58" max="58" width="4.109375" style="17" hidden="1" customWidth="1" outlineLevel="1"/>
    <col min="59" max="60" width="4.5546875" style="17" hidden="1" customWidth="1" outlineLevel="1"/>
    <col min="61" max="61" width="5.5546875" style="17" hidden="1" customWidth="1" outlineLevel="1"/>
    <col min="62" max="62" width="5.44140625" style="17" hidden="1" customWidth="1" outlineLevel="1"/>
    <col min="63" max="64" width="11.44140625" style="17" hidden="1" customWidth="1" outlineLevel="1"/>
    <col min="65" max="65" width="8.109375" style="17" hidden="1" customWidth="1" outlineLevel="1"/>
    <col min="66" max="66" width="31.88671875" style="17" hidden="1" customWidth="1" outlineLevel="1"/>
    <col min="67" max="67" width="10.88671875" style="17" hidden="1" customWidth="1" outlineLevel="1"/>
    <col min="68" max="68" width="44" style="17" hidden="1" customWidth="1" outlineLevel="1"/>
    <col min="69" max="69" width="38.109375" style="17" hidden="1" customWidth="1" outlineLevel="1"/>
    <col min="70" max="70" width="11.44140625" style="17" collapsed="1"/>
    <col min="71" max="16384" width="11.44140625" style="17"/>
  </cols>
  <sheetData>
    <row r="1" spans="1:62" ht="24" customHeight="1">
      <c r="A1" s="247" t="s">
        <v>1336</v>
      </c>
      <c r="B1" s="359" t="s">
        <v>1321</v>
      </c>
      <c r="C1" s="360"/>
      <c r="D1" s="361"/>
      <c r="E1" s="53"/>
      <c r="F1" s="53"/>
      <c r="G1" s="53"/>
      <c r="H1" s="243"/>
      <c r="I1" s="243"/>
      <c r="J1" s="243"/>
      <c r="K1" s="243"/>
      <c r="L1" s="243"/>
      <c r="M1" s="300"/>
      <c r="N1" s="243"/>
      <c r="O1" s="243"/>
      <c r="P1" s="243"/>
    </row>
    <row r="2" spans="1:62" ht="23.25" customHeight="1">
      <c r="A2" s="247" t="s">
        <v>1335</v>
      </c>
      <c r="B2" s="366" t="s">
        <v>1046</v>
      </c>
      <c r="C2" s="367"/>
      <c r="D2" s="246" t="s">
        <v>443</v>
      </c>
      <c r="E2" s="366" t="s">
        <v>1333</v>
      </c>
      <c r="F2" s="366"/>
      <c r="G2" s="366"/>
      <c r="H2" s="366"/>
      <c r="I2" s="367"/>
      <c r="J2" s="246" t="s">
        <v>443</v>
      </c>
      <c r="K2" s="377" t="s">
        <v>1331</v>
      </c>
      <c r="L2" s="378"/>
      <c r="M2" s="379"/>
      <c r="N2" s="246" t="s">
        <v>1047</v>
      </c>
      <c r="O2" s="243"/>
      <c r="P2" s="243"/>
    </row>
    <row r="3" spans="1:62" ht="1.5" customHeight="1">
      <c r="A3" s="53"/>
      <c r="B3" s="53"/>
      <c r="C3" s="305"/>
      <c r="D3" s="53"/>
      <c r="E3" s="53"/>
      <c r="F3" s="53"/>
      <c r="G3" s="53"/>
      <c r="H3" s="53"/>
      <c r="I3" s="53"/>
      <c r="J3" s="53"/>
      <c r="K3" s="53"/>
      <c r="L3" s="53"/>
      <c r="M3" s="305"/>
      <c r="N3" s="53"/>
      <c r="O3" s="53"/>
      <c r="P3" s="53"/>
    </row>
    <row r="4" spans="1:62" ht="16.5" hidden="1" customHeight="1">
      <c r="A4" s="67"/>
      <c r="B4" s="68" t="s">
        <v>1059</v>
      </c>
      <c r="C4" s="306" t="s">
        <v>1934</v>
      </c>
      <c r="D4" s="68" t="s">
        <v>1060</v>
      </c>
      <c r="E4" s="68" t="s">
        <v>1377</v>
      </c>
      <c r="F4" s="68"/>
      <c r="G4" s="68"/>
      <c r="H4" s="68" t="s">
        <v>1628</v>
      </c>
      <c r="I4" s="68" t="s">
        <v>1246</v>
      </c>
      <c r="J4" s="68" t="s">
        <v>1850</v>
      </c>
      <c r="K4" s="68" t="s">
        <v>318</v>
      </c>
      <c r="L4" s="68" t="s">
        <v>319</v>
      </c>
      <c r="M4" s="306" t="s">
        <v>321</v>
      </c>
      <c r="N4" s="68" t="s">
        <v>322</v>
      </c>
      <c r="O4" s="68" t="s">
        <v>1621</v>
      </c>
      <c r="P4" s="68" t="s">
        <v>326</v>
      </c>
    </row>
    <row r="5" spans="1:62" ht="16.5" hidden="1" customHeight="1">
      <c r="A5" s="69" t="s">
        <v>1057</v>
      </c>
      <c r="B5" s="70">
        <f ca="1">IF(HLOOKUP($B$1,FACADE_CUISINE,2,FALSE)=0,"ND",HLOOKUP($B$1,FACADE_CUISINE,2,FALSE))</f>
        <v>32.5</v>
      </c>
      <c r="C5" s="307">
        <f ca="1">IF(HLOOKUP($B$1,FACADE_CUISINE,3,FALSE)=0,"ND",HLOOKUP($B$1,FACADE_CUISINE,3,FALSE))</f>
        <v>38</v>
      </c>
      <c r="D5" s="70">
        <f ca="1">IF(HLOOKUP($B$1,FACADE_CUISINE,4,FALSE)=0,"ND",HLOOKUP($B$1,FACADE_CUISINE,4,FALSE))</f>
        <v>42.5</v>
      </c>
      <c r="E5" s="70">
        <f ca="1">IF(HLOOKUP($B$1,FACADE_CUISINE,17,FALSE)=0,"ND",HLOOKUP($B$1,FACADE_CUISINE,17,FALSE))</f>
        <v>66.5</v>
      </c>
      <c r="F5" s="70"/>
      <c r="G5" s="70"/>
      <c r="H5" s="70">
        <f ca="1">IF(HLOOKUP($B$1,FACADE_CUISINE,5,FALSE)=0,"ND",HLOOKUP($B$1,FACADE_CUISINE,5,FALSE))</f>
        <v>46</v>
      </c>
      <c r="I5" s="70">
        <f ca="1">IF(HLOOKUP($B$1,FACADE_CUISINE,22,FALSE)=0,"ND",HLOOKUP($B$1,FACADE_CUISINE,22,FALSE))</f>
        <v>35.5</v>
      </c>
      <c r="J5" s="70">
        <f ca="1">IF(HLOOKUP($B$1,FACADE_CUISINE,6,FALSE)=0,"ND",HLOOKUP($B$1,FACADE_CUISINE,6,FALSE))</f>
        <v>30.5</v>
      </c>
      <c r="K5" s="70">
        <f ca="1">IF(HLOOKUP($B$1,FACADE_CUISINE,11,FALSE)=0,"ND",HLOOKUP($B$1,FACADE_CUISINE,11,FALSE))</f>
        <v>65</v>
      </c>
      <c r="L5" s="70">
        <f ca="1">IF(HLOOKUP($B$1,FACADE_CUISINE,12,FALSE)=0,"ND",HLOOKUP($B$1,FACADE_CUISINE,12,FALSE))</f>
        <v>74.5</v>
      </c>
      <c r="M5" s="307">
        <f ca="1">IF(HLOOKUP($B$1,FACADE_CUISINE,13,FALSE)=0,"ND",HLOOKUP($B$1,FACADE_CUISINE,13,FALSE))</f>
        <v>21.5</v>
      </c>
      <c r="N5" s="70">
        <f ca="1">IF(HLOOKUP($B$1,FACADE_CUISINE,14,FALSE)=0,"ND",HLOOKUP($B$1,FACADE_CUISINE,14,FALSE))</f>
        <v>30.5</v>
      </c>
      <c r="O5" s="268">
        <f ca="1">IF(HLOOKUP($B$1,FACADE_CUISINE,15,FALSE)=0,"ND",HLOOKUP($B$1,FACADE_CUISINE,15,FALSE))</f>
        <v>62</v>
      </c>
      <c r="P5" s="268">
        <f ca="1">IF(HLOOKUP($B$1,FACADE_CUISINE,16,FALSE)=0,"ND",HLOOKUP($B$1,FACADE_CUISINE,16,FALSE))</f>
        <v>18</v>
      </c>
    </row>
    <row r="6" spans="1:62" ht="16.5" hidden="1" customHeight="1">
      <c r="A6" s="69" t="s">
        <v>1245</v>
      </c>
      <c r="B6" s="70">
        <f ca="1">IF(HLOOKUP($B$1,FACADE_CUISINE,7,FALSE)=0,"ND",HLOOKUP($B$1,FACADE_CUISINE,7,FALSE))</f>
        <v>52</v>
      </c>
      <c r="C6" s="308"/>
      <c r="D6" s="70">
        <f ca="1">IF(HLOOKUP($B$1,FACADE_CUISINE,10,FALSE)=0,"ND",HLOOKUP($B$1,FACADE_CUISINE,10,FALSE))</f>
        <v>74</v>
      </c>
      <c r="E6" s="71"/>
      <c r="F6" s="71"/>
      <c r="G6" s="71"/>
      <c r="H6" s="71"/>
      <c r="I6" s="70">
        <f ca="1">IF(HLOOKUP($B$1,FACADE_CUISINE,23,FALSE)=0,"ND",HLOOKUP($B$1,FACADE_CUISINE,23,FALSE))</f>
        <v>74</v>
      </c>
      <c r="J6" s="70">
        <f ca="1">IF(HLOOKUP($B$1,FACADE_CUISINE,20,FALSE)=0,"ND",HLOOKUP($B$1,FACADE_CUISINE,20,FALSE))</f>
        <v>62</v>
      </c>
      <c r="K6" s="71"/>
      <c r="L6" s="71"/>
      <c r="M6" s="308"/>
      <c r="N6" s="71"/>
      <c r="O6" s="68"/>
      <c r="P6" s="68"/>
    </row>
    <row r="7" spans="1:62" ht="16.5" hidden="1" customHeight="1">
      <c r="A7" s="72" t="s">
        <v>1323</v>
      </c>
      <c r="B7" s="70">
        <f ca="1">IF(HLOOKUP($B$1,FACADE_CUISINE,8,FALSE)=0,"ND",HLOOKUP($B$1,FACADE_CUISINE,8,FALSE))</f>
        <v>55</v>
      </c>
      <c r="C7" s="309"/>
      <c r="D7" s="70">
        <f ca="1">IF(HLOOKUP($B$1,FACADE_CUISINE,9,FALSE)=0,"ND",HLOOKUP($B$1,FACADE_CUISINE,9,FALSE))</f>
        <v>80</v>
      </c>
      <c r="E7" s="71"/>
      <c r="F7" s="71"/>
      <c r="G7" s="71"/>
      <c r="H7" s="71"/>
      <c r="I7" s="70">
        <f ca="1">IF(HLOOKUP($B$1,FACADE_CUISINE,24,FALSE)=0,"ND",HLOOKUP($B$1,FACADE_CUISINE,24,FALSE))</f>
        <v>77</v>
      </c>
      <c r="J7" s="70">
        <f ca="1">IF(HLOOKUP($B$1,FACADE_CUISINE,21,FALSE)=0,"ND",HLOOKUP($B$1,FACADE_CUISINE,21,FALSE))</f>
        <v>65</v>
      </c>
      <c r="K7" s="71"/>
      <c r="L7" s="71"/>
      <c r="M7" s="308"/>
      <c r="N7" s="71"/>
      <c r="O7" s="68"/>
      <c r="P7" s="68"/>
    </row>
    <row r="8" spans="1:62" ht="16.5" hidden="1" customHeight="1">
      <c r="A8" s="73"/>
      <c r="B8" s="74" t="s">
        <v>1061</v>
      </c>
      <c r="C8" s="310" t="s">
        <v>1062</v>
      </c>
      <c r="D8" s="74" t="s">
        <v>1063</v>
      </c>
      <c r="E8" s="74" t="s">
        <v>1431</v>
      </c>
      <c r="F8" s="74"/>
      <c r="G8" s="74"/>
      <c r="H8" s="74" t="s">
        <v>1850</v>
      </c>
      <c r="I8" s="74" t="s">
        <v>1064</v>
      </c>
      <c r="J8" s="74" t="s">
        <v>1065</v>
      </c>
      <c r="K8" s="74" t="s">
        <v>1066</v>
      </c>
      <c r="L8" s="74" t="s">
        <v>1067</v>
      </c>
      <c r="M8" s="310" t="s">
        <v>316</v>
      </c>
      <c r="N8" s="74" t="s">
        <v>317</v>
      </c>
      <c r="O8" s="94" t="s">
        <v>320</v>
      </c>
      <c r="P8" s="94" t="s">
        <v>327</v>
      </c>
    </row>
    <row r="9" spans="1:62" ht="16.5" hidden="1" customHeight="1">
      <c r="A9" s="73" t="s">
        <v>1058</v>
      </c>
      <c r="B9" s="75">
        <f ca="1">'Tarif FACADES &amp; CAISSONS'!D54</f>
        <v>21</v>
      </c>
      <c r="C9" s="311">
        <f ca="1">'Tarif FACADES &amp; CAISSONS'!D55</f>
        <v>28.5</v>
      </c>
      <c r="D9" s="75">
        <f ca="1">'Tarif FACADES &amp; CAISSONS'!D56</f>
        <v>29</v>
      </c>
      <c r="E9" s="75">
        <f ca="1">'Tarif FACADES &amp; CAISSONS'!D61</f>
        <v>30.5</v>
      </c>
      <c r="F9" s="75">
        <f ca="1">'Tarif FACADES &amp; CAISSONS'!H54</f>
        <v>0</v>
      </c>
      <c r="G9" s="75">
        <f ca="1">'Tarif FACADES &amp; CAISSONS'!H55</f>
        <v>0</v>
      </c>
      <c r="H9" s="75">
        <f ca="1">'Tarif FACADES &amp; CAISSONS'!D58</f>
        <v>19</v>
      </c>
      <c r="I9" s="75">
        <f ca="1">'Tarif FACADES &amp; CAISSONS'!D57</f>
        <v>47.5</v>
      </c>
      <c r="J9" s="75">
        <f ca="1">'Tarif FACADES &amp; CAISSONS'!D53</f>
        <v>83</v>
      </c>
      <c r="K9" s="75">
        <f ca="1">'Tarif FACADES &amp; CAISSONS'!D48</f>
        <v>33</v>
      </c>
      <c r="L9" s="75">
        <f ca="1">'Tarif FACADES &amp; CAISSONS'!D49</f>
        <v>39.5</v>
      </c>
      <c r="M9" s="311">
        <f ca="1">'Tarif FACADES &amp; CAISSONS'!D50</f>
        <v>45.5</v>
      </c>
      <c r="N9" s="75">
        <f ca="1">'Tarif FACADES &amp; CAISSONS'!D51</f>
        <v>64.5</v>
      </c>
      <c r="O9" s="95">
        <f ca="1">'Tarif FACADES &amp; CAISSONS'!D52</f>
        <v>62</v>
      </c>
      <c r="P9" s="95" t="e">
        <f ca="1">IF($N$3="Blanc",HFINB,HFINC)</f>
        <v>#NAME?</v>
      </c>
    </row>
    <row r="10" spans="1:62" ht="16.5" hidden="1" customHeight="1">
      <c r="A10" s="73"/>
      <c r="B10" s="380"/>
      <c r="C10" s="380"/>
      <c r="D10" s="380"/>
      <c r="E10" s="380"/>
      <c r="F10" s="380"/>
      <c r="G10" s="380"/>
      <c r="H10" s="380"/>
      <c r="I10" s="380"/>
      <c r="J10" s="368" t="s">
        <v>1629</v>
      </c>
      <c r="K10" s="368"/>
      <c r="L10" s="370" t="s">
        <v>1735</v>
      </c>
      <c r="M10" s="370"/>
      <c r="N10" s="77">
        <f ca="1">IF(HLOOKUP($B$1,FACADE_CUISINE,16,FALSE)=0,"ND",HLOOKUP($B$1,FACADE_CUISINE,16,FALSE))</f>
        <v>18</v>
      </c>
      <c r="O10" s="96"/>
      <c r="P10" s="96"/>
    </row>
    <row r="11" spans="1:62" ht="16.5" hidden="1" customHeight="1">
      <c r="A11" s="73"/>
      <c r="B11" s="76"/>
      <c r="C11" s="312"/>
      <c r="D11" s="76"/>
      <c r="E11" s="76"/>
      <c r="F11" s="76"/>
      <c r="G11" s="76"/>
      <c r="H11" s="76"/>
      <c r="I11" s="76"/>
      <c r="J11" s="368">
        <f ca="1">'Tarif FACADES &amp; CAISSONS'!D60</f>
        <v>66</v>
      </c>
      <c r="K11" s="369"/>
      <c r="L11" s="370" t="s">
        <v>1255</v>
      </c>
      <c r="M11" s="370"/>
      <c r="N11" s="77">
        <f ca="1">IF(HLOOKUP($B$1,FACADE_CUISINE,19,FALSE)=0,"ND",HLOOKUP($B$1,FACADE_CUISINE,19,FALSE))</f>
        <v>15.3</v>
      </c>
      <c r="O11" s="95"/>
      <c r="P11" s="95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</row>
    <row r="12" spans="1:62" ht="16.5" hidden="1" customHeight="1">
      <c r="A12" s="78"/>
      <c r="B12" s="79">
        <v>40</v>
      </c>
      <c r="C12" s="313" t="s">
        <v>1933</v>
      </c>
      <c r="D12" s="79">
        <v>60</v>
      </c>
      <c r="E12" s="79"/>
      <c r="F12" s="79"/>
      <c r="G12" s="79"/>
      <c r="H12" s="79" t="s">
        <v>1930</v>
      </c>
      <c r="I12" s="79">
        <v>80</v>
      </c>
      <c r="J12" s="382" t="s">
        <v>324</v>
      </c>
      <c r="K12" s="382"/>
      <c r="L12" s="370" t="s">
        <v>1571</v>
      </c>
      <c r="M12" s="370"/>
      <c r="N12" s="77">
        <f ca="1">IF(HLOOKUP($B$1,FACADE_CUISINE,25,FALSE)=0,"ND",HLOOKUP($B$1,FACADE_CUISINE,25,FALSE))</f>
        <v>27.5</v>
      </c>
      <c r="O12" s="443" t="s">
        <v>1931</v>
      </c>
      <c r="P12" s="415">
        <f ca="1">+'Tarif FACADES &amp; CAISSONS'!D59</f>
        <v>30</v>
      </c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</row>
    <row r="13" spans="1:62" ht="16.5" hidden="1" customHeight="1">
      <c r="A13" s="78" t="s">
        <v>323</v>
      </c>
      <c r="B13" s="80">
        <f ca="1">IF(D2="NON",'Tarif FACADES &amp; CAISSONS'!S52,'Tarif FACADES &amp; CAISSONS'!S51)</f>
        <v>25.2</v>
      </c>
      <c r="C13" s="314">
        <f ca="1">kit40coffre</f>
        <v>35.200000000000003</v>
      </c>
      <c r="D13" s="80">
        <f ca="1">IF(D2="NON",_kit60,kit60sil)</f>
        <v>31.2</v>
      </c>
      <c r="E13" s="80"/>
      <c r="F13" s="80"/>
      <c r="G13" s="80"/>
      <c r="H13" s="80">
        <f ca="1">IF(D2="NON",kit60cass,kit60coffresil)</f>
        <v>42.2</v>
      </c>
      <c r="I13" s="80">
        <f ca="1">IF(L5="ND","ND",IF(D2="NON",kit80sil,kit80sil))</f>
        <v>38.9</v>
      </c>
      <c r="J13" s="423">
        <f ca="1">IF(L5="ND","ND",IF(D2="NON",kit80coffresil,kit80coffresil))</f>
        <v>45.2</v>
      </c>
      <c r="K13" s="423"/>
      <c r="L13" s="370" t="s">
        <v>1572</v>
      </c>
      <c r="M13" s="370"/>
      <c r="N13" s="77">
        <f ca="1">IF(HLOOKUP($B$1,FACADE_CUISINE,25,FALSE)=0,"ND",HLOOKUP($B$1,FACADE_CUISINE,25,FALSE))</f>
        <v>27.5</v>
      </c>
      <c r="O13" s="443"/>
      <c r="P13" s="415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BI13" s="17" t="s">
        <v>1698</v>
      </c>
    </row>
    <row r="14" spans="1:62" ht="16.5" hidden="1" customHeight="1">
      <c r="A14" s="84" t="s">
        <v>325</v>
      </c>
      <c r="B14" s="424">
        <f ca="1">IF(J2="NON",'Tarif FACADES &amp; CAISSONS'!S64,'Tarif FACADES &amp; CAISSONS'!S50)</f>
        <v>8.9499999999999993</v>
      </c>
      <c r="C14" s="424"/>
      <c r="D14" s="424"/>
      <c r="E14" s="424"/>
      <c r="F14" s="424"/>
      <c r="G14" s="424"/>
      <c r="H14" s="424"/>
      <c r="I14" s="424"/>
      <c r="J14" s="424"/>
      <c r="K14" s="424"/>
      <c r="L14" s="381" t="s">
        <v>1624</v>
      </c>
      <c r="M14" s="381"/>
      <c r="N14" s="77" t="s">
        <v>1334</v>
      </c>
      <c r="O14" s="443"/>
      <c r="P14" s="415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426">
        <v>40</v>
      </c>
      <c r="AL14" s="427"/>
      <c r="AM14" s="428"/>
      <c r="AN14" s="226"/>
      <c r="AO14" s="434" t="s">
        <v>1444</v>
      </c>
      <c r="AP14" s="435"/>
      <c r="AQ14" s="232"/>
      <c r="AR14" s="426">
        <v>60</v>
      </c>
      <c r="AS14" s="427"/>
      <c r="AT14" s="428"/>
      <c r="AU14" s="97"/>
      <c r="AV14" s="97"/>
      <c r="AW14" s="97"/>
      <c r="AX14" s="97"/>
      <c r="AY14" s="97"/>
      <c r="AZ14" s="97"/>
      <c r="BA14" s="97">
        <v>130</v>
      </c>
      <c r="BB14" s="425" t="s">
        <v>1023</v>
      </c>
      <c r="BC14" s="425"/>
      <c r="BD14" s="100"/>
      <c r="BE14" s="98" t="s">
        <v>1024</v>
      </c>
      <c r="BF14" s="98"/>
      <c r="BG14" s="98"/>
      <c r="BH14" s="257"/>
    </row>
    <row r="15" spans="1:62" s="171" customFormat="1" ht="64.5" customHeight="1">
      <c r="A15" s="175"/>
      <c r="B15" s="168"/>
      <c r="C15" s="168"/>
      <c r="D15" s="168"/>
      <c r="E15" s="168"/>
      <c r="F15" s="168"/>
      <c r="G15" s="168"/>
      <c r="H15" s="357" t="s">
        <v>438</v>
      </c>
      <c r="I15" s="357"/>
      <c r="J15" s="357"/>
      <c r="K15" s="357"/>
      <c r="L15" s="357"/>
      <c r="M15" s="357"/>
      <c r="N15" s="357"/>
      <c r="O15" s="169"/>
      <c r="P15" s="170"/>
      <c r="AD15" s="420" t="s">
        <v>1249</v>
      </c>
      <c r="AE15" s="419" t="s">
        <v>1250</v>
      </c>
      <c r="AF15" s="419" t="s">
        <v>1251</v>
      </c>
      <c r="AG15" s="419" t="s">
        <v>1252</v>
      </c>
      <c r="AH15" s="419" t="s">
        <v>1253</v>
      </c>
      <c r="AI15" s="419" t="s">
        <v>1739</v>
      </c>
      <c r="AJ15" s="176"/>
      <c r="AK15" s="177"/>
      <c r="AL15" s="178"/>
      <c r="AM15" s="179"/>
      <c r="AN15" s="178"/>
      <c r="AO15" s="177"/>
      <c r="AP15" s="179"/>
      <c r="AQ15" s="178"/>
      <c r="AR15" s="177"/>
      <c r="AS15" s="178"/>
      <c r="AT15" s="179"/>
      <c r="AU15" s="179"/>
      <c r="AV15" s="179"/>
      <c r="AW15" s="179"/>
      <c r="AX15" s="179"/>
      <c r="AY15" s="179"/>
      <c r="AZ15" s="179"/>
      <c r="BA15" s="179"/>
      <c r="BB15" s="180"/>
      <c r="BC15" s="180"/>
      <c r="BD15" s="180"/>
      <c r="BE15" s="181"/>
      <c r="BF15" s="181"/>
      <c r="BG15" s="181"/>
      <c r="BH15" s="181"/>
      <c r="BI15" s="181"/>
      <c r="BJ15" s="181"/>
    </row>
    <row r="16" spans="1:62" s="171" customFormat="1" ht="9.75" customHeight="1">
      <c r="A16" s="175"/>
      <c r="B16" s="448"/>
      <c r="C16" s="448"/>
      <c r="D16" s="448"/>
      <c r="E16" s="448"/>
      <c r="F16" s="183"/>
      <c r="G16" s="183"/>
      <c r="H16" s="183"/>
      <c r="I16" s="183"/>
      <c r="J16" s="183"/>
      <c r="K16" s="183"/>
      <c r="L16" s="184"/>
      <c r="M16" s="329"/>
      <c r="N16" s="185"/>
      <c r="O16" s="169"/>
      <c r="P16" s="170"/>
      <c r="AD16" s="421"/>
      <c r="AE16" s="419"/>
      <c r="AF16" s="419"/>
      <c r="AG16" s="419"/>
      <c r="AH16" s="419"/>
      <c r="AI16" s="419"/>
      <c r="AJ16" s="176"/>
      <c r="AK16" s="177"/>
      <c r="AL16" s="178"/>
      <c r="AM16" s="179"/>
      <c r="AN16" s="178"/>
      <c r="AO16" s="177"/>
      <c r="AP16" s="179"/>
      <c r="AQ16" s="178"/>
      <c r="AR16" s="177"/>
      <c r="AS16" s="178"/>
      <c r="AT16" s="179"/>
      <c r="AU16" s="179"/>
      <c r="AV16" s="179"/>
      <c r="AW16" s="179"/>
      <c r="AX16" s="179"/>
      <c r="AY16" s="179"/>
      <c r="AZ16" s="179"/>
      <c r="BA16" s="179"/>
      <c r="BB16" s="180"/>
      <c r="BC16" s="180"/>
      <c r="BD16" s="180"/>
      <c r="BE16" s="181"/>
      <c r="BF16" s="181"/>
      <c r="BG16" s="181"/>
      <c r="BH16" s="181"/>
      <c r="BI16" s="181"/>
      <c r="BJ16" s="181"/>
    </row>
    <row r="17" spans="1:81" s="171" customFormat="1" ht="21" customHeight="1">
      <c r="A17" s="182"/>
      <c r="B17" s="400"/>
      <c r="C17" s="401"/>
      <c r="D17" s="401"/>
      <c r="E17" s="402"/>
      <c r="F17" s="183"/>
      <c r="G17" s="183"/>
      <c r="H17" s="182" t="s">
        <v>1999</v>
      </c>
      <c r="I17" s="442"/>
      <c r="J17" s="442"/>
      <c r="K17" s="442"/>
      <c r="L17" s="442"/>
      <c r="M17" s="442"/>
      <c r="N17" s="442"/>
      <c r="O17" s="169"/>
      <c r="P17" s="170"/>
      <c r="AD17" s="421"/>
      <c r="AE17" s="419"/>
      <c r="AF17" s="419"/>
      <c r="AG17" s="419"/>
      <c r="AH17" s="419"/>
      <c r="AI17" s="419"/>
      <c r="AJ17" s="176"/>
      <c r="AK17" s="177"/>
      <c r="AL17" s="178"/>
      <c r="AM17" s="179"/>
      <c r="AN17" s="178"/>
      <c r="AO17" s="177"/>
      <c r="AP17" s="179"/>
      <c r="AQ17" s="178"/>
      <c r="AR17" s="177"/>
      <c r="AS17" s="178"/>
      <c r="AT17" s="179"/>
      <c r="AU17" s="179"/>
      <c r="AV17" s="179"/>
      <c r="AW17" s="179"/>
      <c r="AX17" s="179"/>
      <c r="AY17" s="179"/>
      <c r="AZ17" s="179"/>
      <c r="BA17" s="179"/>
      <c r="BB17" s="180"/>
      <c r="BC17" s="180"/>
      <c r="BD17" s="180"/>
      <c r="BE17" s="181"/>
      <c r="BF17" s="181"/>
      <c r="BG17" s="181"/>
      <c r="BH17" s="181"/>
      <c r="BI17" s="181"/>
      <c r="BJ17" s="181"/>
    </row>
    <row r="18" spans="1:81" s="171" customFormat="1" ht="22.5" customHeight="1">
      <c r="A18" s="182"/>
      <c r="B18" s="449"/>
      <c r="C18" s="450"/>
      <c r="D18" s="450"/>
      <c r="E18" s="451"/>
      <c r="F18" s="183"/>
      <c r="G18" s="183"/>
      <c r="H18" s="175"/>
      <c r="I18" s="442"/>
      <c r="J18" s="442"/>
      <c r="K18" s="442"/>
      <c r="L18" s="442"/>
      <c r="M18" s="442"/>
      <c r="N18" s="442"/>
      <c r="O18" s="169"/>
      <c r="P18" s="170"/>
      <c r="AD18" s="421"/>
      <c r="AE18" s="419"/>
      <c r="AF18" s="419"/>
      <c r="AG18" s="419"/>
      <c r="AH18" s="419"/>
      <c r="AI18" s="419"/>
      <c r="AJ18" s="176"/>
      <c r="AK18" s="177"/>
      <c r="AL18" s="178"/>
      <c r="AM18" s="179"/>
      <c r="AN18" s="178"/>
      <c r="AO18" s="177"/>
      <c r="AP18" s="179"/>
      <c r="AQ18" s="178"/>
      <c r="AR18" s="177"/>
      <c r="AS18" s="178"/>
      <c r="AT18" s="179"/>
      <c r="AU18" s="179"/>
      <c r="AV18" s="179"/>
      <c r="AW18" s="179"/>
      <c r="AX18" s="179"/>
      <c r="AY18" s="179"/>
      <c r="AZ18" s="179"/>
      <c r="BA18" s="179"/>
      <c r="BB18" s="180"/>
      <c r="BC18" s="180"/>
      <c r="BD18" s="180"/>
      <c r="BE18" s="181"/>
      <c r="BF18" s="181"/>
      <c r="BG18" s="181"/>
      <c r="BH18" s="181"/>
      <c r="BI18" s="181"/>
      <c r="BJ18" s="181"/>
    </row>
    <row r="19" spans="1:81" s="171" customFormat="1" ht="16.5" customHeight="1">
      <c r="A19" s="175"/>
      <c r="B19" s="371"/>
      <c r="C19" s="372"/>
      <c r="D19" s="372"/>
      <c r="E19" s="373"/>
      <c r="F19" s="183"/>
      <c r="G19" s="183"/>
      <c r="H19" s="186" t="s">
        <v>2000</v>
      </c>
      <c r="I19" s="431"/>
      <c r="J19" s="432"/>
      <c r="K19" s="433"/>
      <c r="L19" s="175"/>
      <c r="M19" s="175"/>
      <c r="N19" s="175"/>
      <c r="O19" s="169"/>
      <c r="P19" s="170"/>
      <c r="AD19" s="421"/>
      <c r="AE19" s="419"/>
      <c r="AF19" s="419"/>
      <c r="AG19" s="419"/>
      <c r="AH19" s="419"/>
      <c r="AI19" s="419"/>
      <c r="AJ19" s="187">
        <v>15</v>
      </c>
      <c r="AK19" s="439">
        <v>40</v>
      </c>
      <c r="AL19" s="440"/>
      <c r="AM19" s="440"/>
      <c r="AN19" s="441"/>
      <c r="AO19" s="416" t="s">
        <v>1444</v>
      </c>
      <c r="AP19" s="417"/>
      <c r="AQ19" s="418"/>
      <c r="AR19" s="452">
        <v>60</v>
      </c>
      <c r="AS19" s="453"/>
      <c r="AT19" s="453"/>
      <c r="AU19" s="453"/>
      <c r="AV19" s="453"/>
      <c r="AW19" s="436">
        <v>80</v>
      </c>
      <c r="AX19" s="437"/>
      <c r="AY19" s="437"/>
      <c r="AZ19" s="438"/>
      <c r="BA19" s="179">
        <v>130</v>
      </c>
      <c r="BB19" s="492" t="s">
        <v>1023</v>
      </c>
      <c r="BC19" s="493"/>
      <c r="BD19" s="496"/>
      <c r="BE19" s="181" t="s">
        <v>1024</v>
      </c>
      <c r="BF19" s="181"/>
      <c r="BG19" s="181"/>
      <c r="BH19" s="492" t="s">
        <v>1345</v>
      </c>
      <c r="BI19" s="493"/>
      <c r="BJ19" s="493"/>
    </row>
    <row r="20" spans="1:81" s="171" customFormat="1" ht="2.25" customHeight="1">
      <c r="A20" s="175"/>
      <c r="B20" s="183"/>
      <c r="C20" s="183"/>
      <c r="D20" s="183"/>
      <c r="E20" s="183"/>
      <c r="F20" s="183"/>
      <c r="G20" s="183"/>
      <c r="H20" s="186"/>
      <c r="I20" s="188"/>
      <c r="J20" s="188"/>
      <c r="K20" s="188"/>
      <c r="L20" s="175"/>
      <c r="M20" s="175"/>
      <c r="N20" s="175"/>
      <c r="O20" s="169"/>
      <c r="P20" s="170"/>
      <c r="AD20" s="421"/>
      <c r="AE20" s="419"/>
      <c r="AF20" s="419"/>
      <c r="AG20" s="419"/>
      <c r="AH20" s="419"/>
      <c r="AI20" s="419"/>
      <c r="AJ20" s="176"/>
      <c r="AK20" s="228"/>
      <c r="AL20" s="229"/>
      <c r="AM20" s="230"/>
      <c r="AN20" s="229"/>
      <c r="AO20" s="234"/>
      <c r="AP20" s="235"/>
      <c r="AQ20" s="233"/>
      <c r="AR20" s="237"/>
      <c r="AS20" s="238"/>
      <c r="AT20" s="239"/>
      <c r="AU20" s="239"/>
      <c r="AV20" s="239"/>
      <c r="AW20" s="241"/>
      <c r="AX20" s="241"/>
      <c r="AY20" s="241"/>
      <c r="AZ20" s="241"/>
      <c r="BA20" s="179"/>
      <c r="BB20" s="180"/>
      <c r="BC20" s="180"/>
      <c r="BD20" s="180"/>
      <c r="BE20" s="181"/>
      <c r="BF20" s="181"/>
      <c r="BG20" s="181"/>
      <c r="BH20" s="181"/>
      <c r="BI20" s="181"/>
      <c r="BJ20" s="181"/>
    </row>
    <row r="21" spans="1:81" s="173" customFormat="1" ht="26.25" customHeight="1" thickBot="1">
      <c r="A21" s="408" t="s">
        <v>1053</v>
      </c>
      <c r="B21" s="408" t="s">
        <v>1054</v>
      </c>
      <c r="C21" s="408" t="s">
        <v>1084</v>
      </c>
      <c r="D21" s="408" t="s">
        <v>1055</v>
      </c>
      <c r="E21" s="408"/>
      <c r="F21" s="196"/>
      <c r="G21" s="196"/>
      <c r="H21" s="408" t="s">
        <v>1053</v>
      </c>
      <c r="I21" s="408"/>
      <c r="J21" s="408"/>
      <c r="K21" s="408" t="s">
        <v>1054</v>
      </c>
      <c r="L21" s="408"/>
      <c r="M21" s="196" t="s">
        <v>1056</v>
      </c>
      <c r="N21" s="197" t="s">
        <v>1055</v>
      </c>
      <c r="O21" s="189"/>
      <c r="R21" s="189"/>
      <c r="S21" s="189" t="s">
        <v>355</v>
      </c>
      <c r="T21" s="190" t="s">
        <v>1025</v>
      </c>
      <c r="U21" s="190" t="s">
        <v>1066</v>
      </c>
      <c r="V21" s="190" t="s">
        <v>1067</v>
      </c>
      <c r="W21" s="190" t="s">
        <v>316</v>
      </c>
      <c r="X21" s="190" t="s">
        <v>1247</v>
      </c>
      <c r="Y21" s="190" t="s">
        <v>317</v>
      </c>
      <c r="Z21" s="190" t="s">
        <v>1061</v>
      </c>
      <c r="AA21" s="190" t="s">
        <v>1062</v>
      </c>
      <c r="AB21" s="190" t="s">
        <v>1063</v>
      </c>
      <c r="AC21" s="191" t="s">
        <v>1248</v>
      </c>
      <c r="AD21" s="422"/>
      <c r="AE21" s="419"/>
      <c r="AF21" s="419"/>
      <c r="AG21" s="419"/>
      <c r="AH21" s="419"/>
      <c r="AI21" s="419"/>
      <c r="AJ21" s="123" t="s">
        <v>1633</v>
      </c>
      <c r="AK21" s="231" t="s">
        <v>1633</v>
      </c>
      <c r="AL21" s="231" t="s">
        <v>1442</v>
      </c>
      <c r="AM21" s="231" t="s">
        <v>1443</v>
      </c>
      <c r="AN21" s="231" t="s">
        <v>1329</v>
      </c>
      <c r="AO21" s="236" t="s">
        <v>1633</v>
      </c>
      <c r="AP21" s="236" t="s">
        <v>1443</v>
      </c>
      <c r="AQ21" s="236" t="s">
        <v>1329</v>
      </c>
      <c r="AR21" s="240" t="s">
        <v>1633</v>
      </c>
      <c r="AS21" s="240" t="s">
        <v>1442</v>
      </c>
      <c r="AT21" s="240" t="s">
        <v>1586</v>
      </c>
      <c r="AU21" s="240" t="s">
        <v>1443</v>
      </c>
      <c r="AV21" s="240" t="s">
        <v>1329</v>
      </c>
      <c r="AW21" s="242" t="s">
        <v>1586</v>
      </c>
      <c r="AX21" s="242" t="s">
        <v>1342</v>
      </c>
      <c r="AY21" s="242" t="s">
        <v>1343</v>
      </c>
      <c r="AZ21" s="242" t="s">
        <v>1344</v>
      </c>
      <c r="BA21" s="123" t="s">
        <v>1633</v>
      </c>
      <c r="BB21" s="123">
        <v>40</v>
      </c>
      <c r="BC21" s="123">
        <v>60</v>
      </c>
      <c r="BD21" s="123">
        <v>80</v>
      </c>
      <c r="BE21" s="123"/>
      <c r="BF21" s="123">
        <v>60</v>
      </c>
      <c r="BG21" s="123">
        <v>80</v>
      </c>
      <c r="BH21" s="123">
        <v>15</v>
      </c>
      <c r="BI21" s="123">
        <v>40</v>
      </c>
      <c r="BJ21" s="123">
        <v>60</v>
      </c>
    </row>
    <row r="22" spans="1:81" s="173" customFormat="1" ht="13.5" customHeight="1" thickBot="1">
      <c r="A22" s="271"/>
      <c r="B22" s="196"/>
      <c r="C22" s="196"/>
      <c r="D22" s="196"/>
      <c r="E22" s="349">
        <f>SUM(D23:E35)</f>
        <v>0</v>
      </c>
      <c r="F22" s="350"/>
      <c r="G22" s="273"/>
      <c r="H22" s="272"/>
      <c r="I22" s="274"/>
      <c r="J22" s="274"/>
      <c r="K22" s="272"/>
      <c r="L22" s="271"/>
      <c r="M22" s="275"/>
      <c r="N22" s="298">
        <f>SUM(N23:N75)</f>
        <v>18</v>
      </c>
      <c r="O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276"/>
      <c r="AE22" s="276"/>
      <c r="AF22" s="276"/>
      <c r="AG22" s="276"/>
      <c r="AH22" s="276"/>
      <c r="AI22" s="276"/>
      <c r="AJ22" s="277"/>
      <c r="AK22" s="278"/>
      <c r="AL22" s="278"/>
      <c r="AM22" s="278"/>
      <c r="AN22" s="278"/>
      <c r="AO22" s="279"/>
      <c r="AP22" s="279"/>
      <c r="AQ22" s="279"/>
      <c r="AR22" s="280"/>
      <c r="AS22" s="280"/>
      <c r="AT22" s="280"/>
      <c r="AU22" s="280"/>
      <c r="AV22" s="280"/>
      <c r="AW22" s="281"/>
      <c r="AX22" s="281"/>
      <c r="AY22" s="281"/>
      <c r="AZ22" s="281"/>
      <c r="BA22" s="277"/>
      <c r="BB22" s="277"/>
      <c r="BC22" s="277"/>
      <c r="BD22" s="277"/>
      <c r="BE22" s="277"/>
      <c r="BF22" s="277"/>
      <c r="BG22" s="277"/>
      <c r="BH22" s="277"/>
      <c r="BI22" s="277"/>
      <c r="BJ22" s="277"/>
    </row>
    <row r="23" spans="1:81" s="172" customFormat="1" ht="17.25" customHeight="1">
      <c r="A23" s="114" t="s">
        <v>1048</v>
      </c>
      <c r="B23" s="113">
        <f>B5+B9+B14</f>
        <v>62.45</v>
      </c>
      <c r="C23" s="315"/>
      <c r="D23" s="406">
        <f t="shared" ref="D23:D31" si="0">IF(B23="ND",0,C23*B23)</f>
        <v>0</v>
      </c>
      <c r="E23" s="407"/>
      <c r="F23" s="58"/>
      <c r="G23" s="58"/>
      <c r="H23" s="403" t="str">
        <f>"Plinthe "&amp;B1</f>
        <v>Plinthe METRO</v>
      </c>
      <c r="I23" s="404"/>
      <c r="J23" s="404"/>
      <c r="K23" s="429">
        <f>N12</f>
        <v>27.5</v>
      </c>
      <c r="L23" s="430"/>
      <c r="M23" s="316"/>
      <c r="N23" s="124"/>
      <c r="O23" s="169"/>
      <c r="P23" s="169"/>
      <c r="Q23" s="174"/>
      <c r="R23" s="174"/>
      <c r="S23" s="174"/>
      <c r="T23" s="174"/>
      <c r="U23" s="171"/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</row>
    <row r="24" spans="1:81" ht="17.25" customHeight="1">
      <c r="A24" s="248" t="str">
        <f>IF(N2="non","haut de 40 vitrée","haut de 40 vitrée blanche")</f>
        <v>haut de 40 vitrée</v>
      </c>
      <c r="B24" s="113">
        <f>IF(N2="non",B9+B6,B9+B7)</f>
        <v>73</v>
      </c>
      <c r="C24" s="316"/>
      <c r="D24" s="406">
        <f t="shared" si="0"/>
        <v>0</v>
      </c>
      <c r="E24" s="407"/>
      <c r="F24" s="59"/>
      <c r="G24" s="59"/>
      <c r="H24" s="374" t="s">
        <v>1566</v>
      </c>
      <c r="I24" s="375"/>
      <c r="J24" s="375"/>
      <c r="K24" s="299"/>
      <c r="L24" s="122">
        <f ca="1">'Tarif Plan de trav &amp; Access'!N21</f>
        <v>4.99</v>
      </c>
      <c r="M24" s="316"/>
      <c r="N24" s="124">
        <f>IF(K24="ND",0,M24*K24)</f>
        <v>0</v>
      </c>
      <c r="O24" s="133"/>
      <c r="P24" s="134"/>
      <c r="Q24" s="20"/>
      <c r="R24" s="256" t="s">
        <v>1341</v>
      </c>
      <c r="S24" s="18">
        <f>IF($C23=0,0,$C23)</f>
        <v>0</v>
      </c>
      <c r="T24" s="55"/>
      <c r="U24" s="55"/>
      <c r="V24" s="55"/>
      <c r="W24" s="55"/>
      <c r="X24" s="55"/>
      <c r="Y24" s="55"/>
      <c r="Z24" s="18">
        <f>IF($C23=0,0,$C23)</f>
        <v>0</v>
      </c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18">
        <f>IF($C23=0,0,$C23)</f>
        <v>0</v>
      </c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L24" s="17" t="s">
        <v>1068</v>
      </c>
      <c r="BM24" s="266" t="s">
        <v>443</v>
      </c>
      <c r="BN24" s="18" t="s">
        <v>1378</v>
      </c>
      <c r="BO24" s="267">
        <v>0</v>
      </c>
      <c r="BP24" s="266" t="s">
        <v>1380</v>
      </c>
    </row>
    <row r="25" spans="1:81" ht="17.25" customHeight="1">
      <c r="A25" s="114" t="s">
        <v>1049</v>
      </c>
      <c r="B25" s="112">
        <f>C9+D5+B14</f>
        <v>79.95</v>
      </c>
      <c r="C25" s="316"/>
      <c r="D25" s="414">
        <f t="shared" si="0"/>
        <v>0</v>
      </c>
      <c r="E25" s="407"/>
      <c r="F25" s="60"/>
      <c r="G25" s="60"/>
      <c r="H25" s="50" t="s">
        <v>1352</v>
      </c>
      <c r="I25" s="121"/>
      <c r="J25" s="121"/>
      <c r="K25" s="265"/>
      <c r="L25" s="255">
        <f ca="1">'Tarif Plan de trav &amp; Access'!N9</f>
        <v>7</v>
      </c>
      <c r="M25" s="316"/>
      <c r="N25" s="124"/>
      <c r="O25" s="133"/>
      <c r="P25" s="134"/>
      <c r="Q25" s="19"/>
      <c r="R25" s="256" t="s">
        <v>1341</v>
      </c>
      <c r="S25" s="55"/>
      <c r="T25" s="55"/>
      <c r="U25" s="55"/>
      <c r="V25" s="55"/>
      <c r="W25" s="55"/>
      <c r="X25" s="55"/>
      <c r="Y25" s="55"/>
      <c r="Z25" s="18">
        <f>IF($C24=0,0,$C24)</f>
        <v>0</v>
      </c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18">
        <f>IF($C24=0,0,IF(N2="non",$C24,))</f>
        <v>0</v>
      </c>
      <c r="AN25" s="18">
        <f>IF($C24=0,0,IF(N2="oui",$C24,))</f>
        <v>0</v>
      </c>
      <c r="AO25" s="55"/>
      <c r="AP25" s="55"/>
      <c r="AQ25" s="55"/>
      <c r="AR25" s="55"/>
      <c r="AS25" s="55"/>
      <c r="AT25" s="55"/>
      <c r="AU25" s="55"/>
      <c r="AV25" s="55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L25" s="17" t="s">
        <v>962</v>
      </c>
      <c r="BM25" s="266" t="s">
        <v>1047</v>
      </c>
      <c r="BN25" s="269" t="s">
        <v>1353</v>
      </c>
      <c r="BO25" s="267">
        <f>B5</f>
        <v>32.5</v>
      </c>
      <c r="BP25" s="17" t="str">
        <f ca="1">'Tarif FACADES &amp; CAISSONS'!$O65</f>
        <v>PANIER FIL COULISSANT  PR CAISSON BAS 40</v>
      </c>
      <c r="BQ25" s="17" t="e">
        <f>#REF!</f>
        <v>#REF!</v>
      </c>
      <c r="CB25" s="266" t="s">
        <v>552</v>
      </c>
      <c r="CC25" s="266"/>
    </row>
    <row r="26" spans="1:81" ht="17.25" customHeight="1">
      <c r="A26" s="248" t="str">
        <f>IF(N2="non","haut de 60 vitrée","haut de 60 vitrée blanche")</f>
        <v>haut de 60 vitrée</v>
      </c>
      <c r="B26" s="113">
        <f>IF(N2="non",C9+D6,C9+D7)</f>
        <v>102.5</v>
      </c>
      <c r="C26" s="316"/>
      <c r="D26" s="414">
        <f>IF(B26="ND",0,C26*B26)</f>
        <v>0</v>
      </c>
      <c r="E26" s="407"/>
      <c r="F26" s="155"/>
      <c r="G26" s="155"/>
      <c r="H26" s="374" t="s">
        <v>217</v>
      </c>
      <c r="I26" s="375"/>
      <c r="J26" s="375"/>
      <c r="K26" s="375"/>
      <c r="L26" s="122">
        <f ca="1">'Tarif FACADES &amp; CAISSONS'!S78</f>
        <v>3.68</v>
      </c>
      <c r="M26" s="316"/>
      <c r="N26" s="124">
        <f>L26*M26</f>
        <v>0</v>
      </c>
      <c r="O26" s="133"/>
      <c r="P26" s="134"/>
      <c r="Q26" s="20"/>
      <c r="R26" s="55" t="s">
        <v>1341</v>
      </c>
      <c r="S26" s="18">
        <f>IF($C25=0,0,$C25)</f>
        <v>0</v>
      </c>
      <c r="T26" s="55"/>
      <c r="U26" s="55"/>
      <c r="V26" s="55"/>
      <c r="W26" s="55"/>
      <c r="X26" s="55"/>
      <c r="Y26" s="55"/>
      <c r="Z26" s="55"/>
      <c r="AA26" s="18">
        <f>IF(C25=0,0,C25)</f>
        <v>0</v>
      </c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18">
        <f>IF($C25=0,0,$C25)</f>
        <v>0</v>
      </c>
      <c r="AS26" s="55"/>
      <c r="AT26" s="55"/>
      <c r="AU26" s="55"/>
      <c r="AV26" s="55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L26" s="17" t="s">
        <v>1578</v>
      </c>
      <c r="BN26" s="269" t="s">
        <v>1354</v>
      </c>
      <c r="BO26" s="267">
        <f>C5</f>
        <v>38</v>
      </c>
      <c r="BP26" s="17" t="str">
        <f ca="1">'Tarif FACADES &amp; CAISSONS'!$O66</f>
        <v>PANIER FIL COULISSANT PR CAISSON BAS 60</v>
      </c>
      <c r="BQ26" s="17" t="e">
        <f>#REF!</f>
        <v>#REF!</v>
      </c>
      <c r="CB26" s="266" t="s">
        <v>1579</v>
      </c>
      <c r="CC26" s="266"/>
    </row>
    <row r="27" spans="1:81" ht="17.25" customHeight="1">
      <c r="A27" s="114" t="s">
        <v>1050</v>
      </c>
      <c r="B27" s="113">
        <f>D9+2*B5+2*B14</f>
        <v>111.9</v>
      </c>
      <c r="C27" s="316"/>
      <c r="D27" s="406">
        <f t="shared" si="0"/>
        <v>0</v>
      </c>
      <c r="E27" s="407"/>
      <c r="F27" s="61"/>
      <c r="G27" s="155"/>
      <c r="H27" s="285" t="s">
        <v>1350</v>
      </c>
      <c r="I27" s="260"/>
      <c r="J27" s="260"/>
      <c r="K27" s="260"/>
      <c r="L27" s="260"/>
      <c r="M27" s="316"/>
      <c r="N27" s="125"/>
      <c r="O27" s="133"/>
      <c r="P27" s="134"/>
      <c r="Q27" s="20"/>
      <c r="R27" s="55" t="s">
        <v>1341</v>
      </c>
      <c r="S27" s="55"/>
      <c r="T27" s="55"/>
      <c r="U27" s="55"/>
      <c r="V27" s="55"/>
      <c r="W27" s="55"/>
      <c r="X27" s="55"/>
      <c r="Y27" s="55"/>
      <c r="Z27" s="55"/>
      <c r="AA27" s="18">
        <f>IF($C26=0,0,$C26)</f>
        <v>0</v>
      </c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18">
        <f>IF($C26=0,0,IF(N2="non",$C26,))</f>
        <v>0</v>
      </c>
      <c r="AV27" s="18">
        <f>IF($C26=0,0,IF(N2="oui",$C26,))</f>
        <v>0</v>
      </c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L27" s="17" t="s">
        <v>1426</v>
      </c>
      <c r="BN27" s="269" t="s">
        <v>1355</v>
      </c>
      <c r="BO27" s="267">
        <f>D5</f>
        <v>42.5</v>
      </c>
      <c r="BP27" s="17" t="str">
        <f ca="1">'Tarif FACADES &amp; CAISSONS'!$O67</f>
        <v>PANIER FIL EPICE/BOUTEILLE CAISSON 15CM</v>
      </c>
      <c r="BQ27" s="17" t="e">
        <f>#REF!</f>
        <v>#REF!</v>
      </c>
      <c r="CB27" s="266" t="s">
        <v>1580</v>
      </c>
      <c r="CC27" s="266"/>
    </row>
    <row r="28" spans="1:81" ht="17.25" customHeight="1">
      <c r="A28" s="248" t="str">
        <f>IF(N2="non", "haut de 80 vitrée","haut de 80 vitrée blanche")</f>
        <v>haut de 80 vitrée</v>
      </c>
      <c r="B28" s="113">
        <f>IF(N2="non",D9+2*B6,D9+2*B7)</f>
        <v>133</v>
      </c>
      <c r="C28" s="316"/>
      <c r="D28" s="406">
        <f t="shared" si="0"/>
        <v>0</v>
      </c>
      <c r="E28" s="407"/>
      <c r="F28" s="61"/>
      <c r="G28" s="155"/>
      <c r="H28" s="411" t="s">
        <v>733</v>
      </c>
      <c r="I28" s="411"/>
      <c r="J28" s="411"/>
      <c r="K28" s="411"/>
      <c r="L28" s="122">
        <f ca="1">VLOOKUP(H28,'Tarif Plan de trav &amp; Access'!$C$8:$D$36,2,0)</f>
        <v>15.5</v>
      </c>
      <c r="M28" s="316"/>
      <c r="N28" s="124">
        <f>L28*M28</f>
        <v>0</v>
      </c>
      <c r="O28" s="133"/>
      <c r="P28" s="134"/>
      <c r="Q28" s="19"/>
      <c r="R28" s="55" t="s">
        <v>1341</v>
      </c>
      <c r="S28" s="18">
        <f>IF($C27=0,0,$C27*2)</f>
        <v>0</v>
      </c>
      <c r="T28" s="55"/>
      <c r="U28" s="55"/>
      <c r="V28" s="55"/>
      <c r="W28" s="55"/>
      <c r="X28" s="55"/>
      <c r="Y28" s="55"/>
      <c r="Z28" s="55"/>
      <c r="AA28" s="55"/>
      <c r="AB28" s="18">
        <f>IF(C27=0,0,C27)</f>
        <v>0</v>
      </c>
      <c r="AC28" s="55"/>
      <c r="AD28" s="55"/>
      <c r="AE28" s="55"/>
      <c r="AF28" s="55"/>
      <c r="AG28" s="55"/>
      <c r="AH28" s="55"/>
      <c r="AI28" s="55"/>
      <c r="AJ28" s="55"/>
      <c r="AK28" s="18">
        <f>IF($C27=0,0,$C27*2)</f>
        <v>0</v>
      </c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L28" s="17" t="s">
        <v>1427</v>
      </c>
      <c r="BN28" s="269" t="s">
        <v>1356</v>
      </c>
      <c r="BO28" s="267">
        <f>H5</f>
        <v>46</v>
      </c>
      <c r="BP28" s="17" t="str">
        <f ca="1">'Tarif FACADES &amp; CAISSONS'!$O68</f>
        <v>RANGEMENT COULIS. AMORTI POUR COL.H200</v>
      </c>
      <c r="BQ28" s="17" t="e">
        <f>#REF!</f>
        <v>#REF!</v>
      </c>
      <c r="CB28" s="266" t="s">
        <v>641</v>
      </c>
      <c r="CC28" s="266"/>
    </row>
    <row r="29" spans="1:81" ht="17.25" customHeight="1">
      <c r="A29" s="114" t="s">
        <v>1051</v>
      </c>
      <c r="B29" s="113">
        <f>I9+B5+B14</f>
        <v>88.95</v>
      </c>
      <c r="C29" s="316"/>
      <c r="D29" s="406">
        <f t="shared" si="0"/>
        <v>0</v>
      </c>
      <c r="E29" s="407"/>
      <c r="F29" s="61"/>
      <c r="G29" s="155"/>
      <c r="H29" s="405" t="s">
        <v>1348</v>
      </c>
      <c r="I29" s="405"/>
      <c r="J29" s="405"/>
      <c r="K29" s="405"/>
      <c r="L29" s="122">
        <f ca="1">VLOOKUP(H29,'Tarif Plan de trav &amp; Access'!$C$8:$D$36,2,0)</f>
        <v>0</v>
      </c>
      <c r="M29" s="316"/>
      <c r="N29" s="124"/>
      <c r="O29" s="133"/>
      <c r="P29" s="134"/>
      <c r="Q29" s="19"/>
      <c r="R29" s="55" t="s">
        <v>1341</v>
      </c>
      <c r="S29" s="55"/>
      <c r="T29" s="55"/>
      <c r="U29" s="55"/>
      <c r="V29" s="55"/>
      <c r="W29" s="55"/>
      <c r="X29" s="55"/>
      <c r="Y29" s="55"/>
      <c r="Z29" s="55"/>
      <c r="AA29" s="55"/>
      <c r="AB29" s="18">
        <f>IF($C28=0,0,$C28)</f>
        <v>0</v>
      </c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18">
        <f>IF($C28=0,0,IF(N2="non",$C28,))</f>
        <v>0</v>
      </c>
      <c r="AN29" s="18">
        <f>IF($C28=0,0,IF(N2="oui",$C28,))</f>
        <v>0</v>
      </c>
      <c r="AO29" s="55"/>
      <c r="AP29" s="55"/>
      <c r="AQ29" s="55"/>
      <c r="AR29" s="55"/>
      <c r="AS29" s="55"/>
      <c r="AT29" s="55"/>
      <c r="AU29" s="55"/>
      <c r="AV29" s="55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L29" s="17" t="s">
        <v>1429</v>
      </c>
      <c r="BN29" s="269" t="s">
        <v>1357</v>
      </c>
      <c r="BO29" s="267">
        <f>J5</f>
        <v>30.5</v>
      </c>
      <c r="BP29" s="17" t="str">
        <f ca="1">'Tarif FACADES &amp; CAISSONS'!$O69</f>
        <v>RANGEMENT COULIS.AMORTI PR 1/2COL.H130</v>
      </c>
      <c r="CB29" s="266" t="s">
        <v>1070</v>
      </c>
      <c r="CC29" s="266"/>
    </row>
    <row r="30" spans="1:81" ht="17.25" customHeight="1">
      <c r="A30" s="248" t="str">
        <f>IF(N2="non","angle de 60 vitree","angle de 60 vitrée blanche")</f>
        <v>angle de 60 vitree</v>
      </c>
      <c r="B30" s="113">
        <f>IF(N2="non",I9+B6,I9+B7)</f>
        <v>99.5</v>
      </c>
      <c r="C30" s="316"/>
      <c r="D30" s="406">
        <f t="shared" si="0"/>
        <v>0</v>
      </c>
      <c r="E30" s="407"/>
      <c r="F30" s="61"/>
      <c r="G30" s="155"/>
      <c r="H30" s="259" t="s">
        <v>216</v>
      </c>
      <c r="I30" s="261"/>
      <c r="J30" s="261"/>
      <c r="K30" s="262"/>
      <c r="L30" s="263"/>
      <c r="M30" s="316"/>
      <c r="N30" s="124"/>
      <c r="O30" s="133"/>
      <c r="P30" s="134"/>
      <c r="Q30" s="19"/>
      <c r="R30" s="55" t="s">
        <v>1341</v>
      </c>
      <c r="S30" s="18">
        <f>IF($C29=0,0,$C29)</f>
        <v>0</v>
      </c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18">
        <f>IF(C29=0,0,C29)</f>
        <v>0</v>
      </c>
      <c r="AF30" s="55"/>
      <c r="AG30" s="55"/>
      <c r="AH30" s="55"/>
      <c r="AI30" s="55"/>
      <c r="AJ30" s="55"/>
      <c r="AK30" s="18">
        <f>IF($C29=0,0,$C29)</f>
        <v>0</v>
      </c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L30" s="17" t="s">
        <v>555</v>
      </c>
      <c r="BN30" s="269" t="s">
        <v>1358</v>
      </c>
      <c r="BO30" s="267">
        <f>B6</f>
        <v>52</v>
      </c>
      <c r="BP30" s="17" t="str">
        <f ca="1">'Tarif FACADES &amp; CAISSONS'!$O73</f>
        <v>RANGEMENT POUR ANGLE DROIT</v>
      </c>
      <c r="BQ30" s="17" t="e">
        <f>#REF!</f>
        <v>#REF!</v>
      </c>
      <c r="CB30" s="266" t="s">
        <v>640</v>
      </c>
      <c r="CC30" s="266"/>
    </row>
    <row r="31" spans="1:81" ht="17.25" customHeight="1">
      <c r="A31" s="114" t="s">
        <v>1052</v>
      </c>
      <c r="B31" s="113">
        <f>H9+J5+B14</f>
        <v>58.45</v>
      </c>
      <c r="C31" s="316"/>
      <c r="D31" s="406">
        <f t="shared" si="0"/>
        <v>0</v>
      </c>
      <c r="E31" s="407"/>
      <c r="F31" s="61"/>
      <c r="G31" s="61"/>
      <c r="H31" s="376" t="s">
        <v>254</v>
      </c>
      <c r="I31" s="376"/>
      <c r="J31" s="376"/>
      <c r="K31" s="376"/>
      <c r="L31" s="122">
        <f ca="1">VLOOKUP(H31,'Tarif Plan de trav &amp; Access'!$H$8:$I$27,2,0)</f>
        <v>38.9</v>
      </c>
      <c r="M31" s="316"/>
      <c r="N31" s="124">
        <f t="shared" ref="N31:N37" si="1">L31*M31</f>
        <v>0</v>
      </c>
      <c r="O31" s="133"/>
      <c r="P31" s="134"/>
      <c r="Q31" s="20"/>
      <c r="R31" s="55" t="s">
        <v>1341</v>
      </c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18">
        <f>IF(C30=0,0,C30)</f>
        <v>0</v>
      </c>
      <c r="AF31" s="55"/>
      <c r="AG31" s="55"/>
      <c r="AH31" s="55"/>
      <c r="AI31" s="55"/>
      <c r="AJ31" s="55"/>
      <c r="AK31" s="55"/>
      <c r="AL31" s="55"/>
      <c r="AM31" s="18">
        <f>IF($C30=0,0,IF(N2="non",$C30,))</f>
        <v>0</v>
      </c>
      <c r="AN31" s="18">
        <f>IF($C30=0,0,IF(N2="oui",$C30,))</f>
        <v>0</v>
      </c>
      <c r="AO31" s="55"/>
      <c r="AP31" s="55"/>
      <c r="AQ31" s="55"/>
      <c r="AR31" s="55"/>
      <c r="AS31" s="55"/>
      <c r="AT31" s="55"/>
      <c r="AU31" s="55"/>
      <c r="AV31" s="55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L31" s="17" t="s">
        <v>1573</v>
      </c>
      <c r="BN31" s="269" t="s">
        <v>1372</v>
      </c>
      <c r="BO31" s="270">
        <f>B7</f>
        <v>55</v>
      </c>
      <c r="BP31" s="17" t="str">
        <f ca="1">'Tarif FACADES &amp; CAISSONS'!$O74</f>
        <v>RANGEMENT POUR ANGLE GAUCHE</v>
      </c>
      <c r="BQ31" s="17" t="e">
        <f>#REF!</f>
        <v>#REF!</v>
      </c>
      <c r="CB31" s="266" t="s">
        <v>1429</v>
      </c>
      <c r="CC31" s="266"/>
    </row>
    <row r="32" spans="1:81" ht="17.25" customHeight="1">
      <c r="A32" s="114" t="s">
        <v>1254</v>
      </c>
      <c r="B32" s="162">
        <f ca="1">H9+J5+B14+'Tarif FACADES &amp; CAISSONS'!$S$77</f>
        <v>65</v>
      </c>
      <c r="C32" s="316"/>
      <c r="D32" s="406">
        <f>IF(B32="ND",0,C32*B32)</f>
        <v>0</v>
      </c>
      <c r="E32" s="407"/>
      <c r="F32" s="61"/>
      <c r="G32" s="155"/>
      <c r="H32" s="376" t="s">
        <v>1349</v>
      </c>
      <c r="I32" s="376"/>
      <c r="J32" s="376"/>
      <c r="K32" s="376"/>
      <c r="L32" s="122">
        <f ca="1">VLOOKUP(H32,'Tarif Plan de trav &amp; Access'!$H$8:$I$27,2,0)</f>
        <v>0</v>
      </c>
      <c r="M32" s="316"/>
      <c r="N32" s="124">
        <f t="shared" si="1"/>
        <v>0</v>
      </c>
      <c r="O32" s="133"/>
      <c r="P32" s="134"/>
      <c r="Q32" s="19"/>
      <c r="R32" s="55" t="s">
        <v>1341</v>
      </c>
      <c r="S32" s="18">
        <f>IF($C31=0,0,$C31)</f>
        <v>0</v>
      </c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18">
        <f>IF(C31=0,0,C31)</f>
        <v>0</v>
      </c>
      <c r="AG32" s="55"/>
      <c r="AH32" s="55"/>
      <c r="AI32" s="55"/>
      <c r="AJ32" s="55"/>
      <c r="AK32" s="55"/>
      <c r="AL32" s="55"/>
      <c r="AM32" s="55"/>
      <c r="AN32" s="55"/>
      <c r="AO32" s="18">
        <f>IF($C31=0,0,$C31)</f>
        <v>0</v>
      </c>
      <c r="AP32" s="55"/>
      <c r="AQ32" s="55"/>
      <c r="AR32" s="55"/>
      <c r="AS32" s="55"/>
      <c r="AT32" s="55"/>
      <c r="AU32" s="55"/>
      <c r="AV32" s="55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L32" s="17" t="s">
        <v>1579</v>
      </c>
      <c r="BN32" s="269" t="s">
        <v>1359</v>
      </c>
      <c r="BO32" s="267">
        <f>K5</f>
        <v>65</v>
      </c>
      <c r="BP32" s="17" t="str">
        <f ca="1">'Tarif FACADES &amp; CAISSONS'!$O75</f>
        <v>RANGEMENT SPACE ANGLE A DROITE</v>
      </c>
      <c r="BQ32" s="17" t="e">
        <f>#REF!</f>
        <v>#REF!</v>
      </c>
      <c r="CB32" s="266" t="s">
        <v>642</v>
      </c>
      <c r="CC32" s="266"/>
    </row>
    <row r="33" spans="1:81" ht="17.25" customHeight="1">
      <c r="A33" s="248" t="str">
        <f>IF( N2="non","Hotte de 60 relevable vitrée","Hotte de 60 relevable vitrée blanche")</f>
        <v>Hotte de 60 relevable vitrée</v>
      </c>
      <c r="B33" s="113">
        <f ca="1">IF(N2="non",H9+J6,H9+J7)</f>
        <v>81</v>
      </c>
      <c r="C33" s="316"/>
      <c r="D33" s="406">
        <f>IF(B33="ND",0,C33*B33)</f>
        <v>0</v>
      </c>
      <c r="E33" s="407"/>
      <c r="F33" s="61"/>
      <c r="G33" s="155"/>
      <c r="H33" s="259" t="s">
        <v>442</v>
      </c>
      <c r="I33" s="264"/>
      <c r="J33" s="264"/>
      <c r="K33" s="262"/>
      <c r="L33" s="263"/>
      <c r="M33" s="316"/>
      <c r="N33" s="124"/>
      <c r="O33" s="133"/>
      <c r="P33" s="134"/>
      <c r="Q33" s="20"/>
      <c r="R33" s="55" t="s">
        <v>1341</v>
      </c>
      <c r="S33" s="18">
        <f>IF($C32=0,0,$C32)</f>
        <v>0</v>
      </c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18">
        <f>IF(C32=0,0,C32)</f>
        <v>0</v>
      </c>
      <c r="AG33" s="55"/>
      <c r="AH33" s="55"/>
      <c r="AI33" s="18">
        <f>IF($C32=0,0,$C32)</f>
        <v>0</v>
      </c>
      <c r="AJ33" s="55"/>
      <c r="AK33" s="55"/>
      <c r="AL33" s="55"/>
      <c r="AM33" s="55"/>
      <c r="AN33" s="55"/>
      <c r="AO33" s="18">
        <f>IF($C32=0,0,$C32)</f>
        <v>0</v>
      </c>
      <c r="AP33" s="55"/>
      <c r="AQ33" s="55"/>
      <c r="AR33" s="55"/>
      <c r="AS33" s="55"/>
      <c r="AT33" s="55"/>
      <c r="AU33" s="55"/>
      <c r="AV33" s="55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L33" s="17" t="s">
        <v>1321</v>
      </c>
      <c r="BN33" s="269" t="s">
        <v>1360</v>
      </c>
      <c r="BO33" s="267">
        <f>L5</f>
        <v>74.5</v>
      </c>
      <c r="BP33" s="17" t="str">
        <f ca="1">'Tarif FACADES &amp; CAISSONS'!$O76</f>
        <v>RANGEMENT SPACE ANGLE A GAUCHE</v>
      </c>
      <c r="BQ33" s="17" t="e">
        <f>#REF!</f>
        <v>#REF!</v>
      </c>
      <c r="CB33" s="266" t="s">
        <v>1321</v>
      </c>
      <c r="CC33" s="266"/>
    </row>
    <row r="34" spans="1:81" ht="17.25" customHeight="1">
      <c r="A34" s="114" t="s">
        <v>1452</v>
      </c>
      <c r="B34" s="162">
        <f ca="1">E9+I5+B14+('Tarif FACADES &amp; CAISSONS'!S77)*2</f>
        <v>88.05</v>
      </c>
      <c r="C34" s="316"/>
      <c r="D34" s="406">
        <f>IF(B34="ND",0,C34*B34)</f>
        <v>0</v>
      </c>
      <c r="E34" s="407"/>
      <c r="F34" s="61"/>
      <c r="G34" s="61"/>
      <c r="H34" s="376" t="s">
        <v>1351</v>
      </c>
      <c r="I34" s="376"/>
      <c r="J34" s="376"/>
      <c r="K34" s="376"/>
      <c r="L34" s="122">
        <f ca="1">VLOOKUP(H34,'Tarif Plan de trav &amp; Access'!M8:N39,2,0)</f>
        <v>0</v>
      </c>
      <c r="M34" s="316"/>
      <c r="N34" s="124">
        <f t="shared" si="1"/>
        <v>0</v>
      </c>
      <c r="O34" s="133"/>
      <c r="P34" s="134"/>
      <c r="Q34" s="19"/>
      <c r="R34" s="55" t="s">
        <v>1341</v>
      </c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18">
        <f>IF(C33=0,0,C33)</f>
        <v>0</v>
      </c>
      <c r="AG34" s="55"/>
      <c r="AH34" s="55"/>
      <c r="AI34" s="55"/>
      <c r="AJ34" s="55"/>
      <c r="AK34" s="55"/>
      <c r="AL34" s="55"/>
      <c r="AM34" s="55"/>
      <c r="AN34" s="55"/>
      <c r="AO34" s="55"/>
      <c r="AP34" s="18">
        <f>IF($C33=0,0,IF(N2="non",$C33,))</f>
        <v>0</v>
      </c>
      <c r="AQ34" s="18">
        <f>IF($C33=0,0,IF(N2="oui",$C33,))</f>
        <v>0</v>
      </c>
      <c r="AR34" s="55"/>
      <c r="AS34" s="55"/>
      <c r="AT34" s="55"/>
      <c r="AU34" s="55"/>
      <c r="AV34" s="55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L34" s="17" t="s">
        <v>554</v>
      </c>
      <c r="BN34" s="269" t="s">
        <v>1361</v>
      </c>
      <c r="BO34" s="267">
        <f>M5</f>
        <v>21.5</v>
      </c>
      <c r="BP34" s="17" t="str">
        <f ca="1">'Tarif FACADES &amp; CAISSONS'!$O77</f>
        <v>VERIN A GAZ</v>
      </c>
      <c r="BQ34" s="17" t="e">
        <f>#REF!</f>
        <v>#REF!</v>
      </c>
      <c r="CB34" s="266" t="s">
        <v>962</v>
      </c>
      <c r="CC34" s="266"/>
    </row>
    <row r="35" spans="1:81" ht="17.25" customHeight="1" thickBot="1">
      <c r="A35" s="249" t="str">
        <f>IF(N2="non","Haut de 80 x 42 Vitrée","Haut de 80 x 42 Vitrée blanche")</f>
        <v>Haut de 80 x 42 Vitrée</v>
      </c>
      <c r="B35" s="193">
        <f>IF(N2="non",E9+I6,E9+I7)</f>
        <v>104.5</v>
      </c>
      <c r="C35" s="316"/>
      <c r="D35" s="412">
        <f>IF(B35="ND",0,C35*B35)</f>
        <v>0</v>
      </c>
      <c r="E35" s="413"/>
      <c r="F35" s="61"/>
      <c r="G35" s="155"/>
      <c r="H35" s="376" t="s">
        <v>1351</v>
      </c>
      <c r="I35" s="376"/>
      <c r="J35" s="376"/>
      <c r="K35" s="376"/>
      <c r="L35" s="122">
        <f ca="1">VLOOKUP(H35,accessoire,2,0)</f>
        <v>0</v>
      </c>
      <c r="M35" s="316"/>
      <c r="N35" s="124">
        <f t="shared" si="1"/>
        <v>0</v>
      </c>
      <c r="O35" s="133"/>
      <c r="P35" s="134"/>
      <c r="Q35" s="19"/>
      <c r="R35" s="55" t="s">
        <v>1341</v>
      </c>
      <c r="S35" s="18">
        <f>IF($C34=0,0,$C34)</f>
        <v>0</v>
      </c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18">
        <f>IF(C34=0,0,C34)</f>
        <v>0</v>
      </c>
      <c r="AE35" s="55"/>
      <c r="AF35" s="55"/>
      <c r="AG35" s="55"/>
      <c r="AH35" s="55"/>
      <c r="AI35" s="18">
        <f>IF(C34=0,0,C34)*2</f>
        <v>0</v>
      </c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18">
        <f>IF(C34=0,0,C34)</f>
        <v>0</v>
      </c>
      <c r="AY35" s="55"/>
      <c r="AZ35" s="55"/>
      <c r="BA35" s="55"/>
      <c r="BB35" s="56"/>
      <c r="BC35" s="56"/>
      <c r="BD35" s="56"/>
      <c r="BE35" s="56"/>
      <c r="BF35" s="56"/>
      <c r="BG35" s="56"/>
      <c r="BH35" s="56"/>
      <c r="BI35" s="56"/>
      <c r="BJ35" s="56"/>
      <c r="BL35" s="17" t="s">
        <v>1581</v>
      </c>
      <c r="BN35" s="269" t="s">
        <v>1362</v>
      </c>
      <c r="BO35" s="267">
        <f>N5</f>
        <v>30.5</v>
      </c>
      <c r="BP35" s="17" t="str">
        <f ca="1">'Tarif FACADES &amp; CAISSONS'!$O78</f>
        <v>POIGNEE PROGRESS CHROME BRILLANT</v>
      </c>
      <c r="BQ35" s="17" t="e">
        <f>#REF!</f>
        <v>#REF!</v>
      </c>
      <c r="CB35" s="266" t="s">
        <v>554</v>
      </c>
      <c r="CC35" s="266"/>
    </row>
    <row r="36" spans="1:81" ht="17.25" customHeight="1" thickBot="1">
      <c r="A36" s="194" t="s">
        <v>1082</v>
      </c>
      <c r="B36" s="195" t="s">
        <v>1451</v>
      </c>
      <c r="C36" s="317"/>
      <c r="D36" s="349">
        <f>SUM(D37:E44)</f>
        <v>0</v>
      </c>
      <c r="E36" s="350"/>
      <c r="F36" s="61"/>
      <c r="G36" s="155"/>
      <c r="H36" s="376" t="s">
        <v>1351</v>
      </c>
      <c r="I36" s="376"/>
      <c r="J36" s="376"/>
      <c r="K36" s="376"/>
      <c r="L36" s="122">
        <f ca="1">VLOOKUP(H36,accessoire,2,0)</f>
        <v>0</v>
      </c>
      <c r="M36" s="316"/>
      <c r="N36" s="124">
        <f t="shared" si="1"/>
        <v>0</v>
      </c>
      <c r="O36" s="133"/>
      <c r="P36" s="134"/>
      <c r="Q36" s="19"/>
      <c r="R36" s="55" t="s">
        <v>1341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18">
        <f>IF(C35=0,0,C35)</f>
        <v>0</v>
      </c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6"/>
      <c r="AS36" s="55"/>
      <c r="AT36" s="55"/>
      <c r="AU36" s="55"/>
      <c r="AV36" s="55"/>
      <c r="AW36" s="55"/>
      <c r="AX36" s="55"/>
      <c r="AY36" s="18">
        <f>IF($C35=0,0,IF(N2="non",$C35,))</f>
        <v>0</v>
      </c>
      <c r="AZ36" s="18">
        <f>IF($C35=0,0,IF(N2="oui",$C35,))</f>
        <v>0</v>
      </c>
      <c r="BA36" s="55"/>
      <c r="BB36" s="56"/>
      <c r="BC36" s="56"/>
      <c r="BD36" s="56"/>
      <c r="BE36" s="56"/>
      <c r="BF36" s="56"/>
      <c r="BG36" s="56"/>
      <c r="BH36" s="56"/>
      <c r="BI36" s="56"/>
      <c r="BJ36" s="56"/>
      <c r="BL36" s="17" t="s">
        <v>1580</v>
      </c>
      <c r="BN36" s="269" t="s">
        <v>1363</v>
      </c>
      <c r="BO36" s="267">
        <f>O5</f>
        <v>62</v>
      </c>
      <c r="BQ36" s="17" t="e">
        <f>#REF!</f>
        <v>#REF!</v>
      </c>
      <c r="CB36" s="266" t="s">
        <v>551</v>
      </c>
      <c r="CC36" s="266"/>
    </row>
    <row r="37" spans="1:81" ht="17.25" customHeight="1" thickBot="1">
      <c r="A37" s="117" t="s">
        <v>1338</v>
      </c>
      <c r="B37" s="118">
        <f>J9+2*D5+2*B14</f>
        <v>185.9</v>
      </c>
      <c r="C37" s="318"/>
      <c r="D37" s="364">
        <f t="shared" ref="D37:D58" si="2">IF(B37="ND",0,C37*B37)</f>
        <v>0</v>
      </c>
      <c r="E37" s="365"/>
      <c r="F37" s="192"/>
      <c r="G37" s="155"/>
      <c r="H37" s="376" t="s">
        <v>1351</v>
      </c>
      <c r="I37" s="376"/>
      <c r="J37" s="376"/>
      <c r="K37" s="376"/>
      <c r="L37" s="122">
        <f ca="1">VLOOKUP(H37,accessoire,2,0)</f>
        <v>0</v>
      </c>
      <c r="M37" s="316"/>
      <c r="N37" s="124">
        <f t="shared" si="1"/>
        <v>0</v>
      </c>
      <c r="O37" s="133"/>
      <c r="P37" s="134"/>
      <c r="Q37" s="19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43"/>
      <c r="AJ37" s="143"/>
      <c r="AK37" s="143"/>
      <c r="AL37" s="143"/>
      <c r="AM37" s="143"/>
      <c r="AN37" s="143"/>
      <c r="AO37" s="143"/>
      <c r="AP37" s="143"/>
      <c r="AQ37" s="143"/>
      <c r="AR37" s="143"/>
      <c r="AS37" s="143"/>
      <c r="AT37" s="143"/>
      <c r="AU37" s="143"/>
      <c r="AV37" s="143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L37" s="17" t="s">
        <v>1069</v>
      </c>
      <c r="BN37" s="269" t="s">
        <v>1364</v>
      </c>
      <c r="BO37" s="267">
        <f>P5</f>
        <v>18</v>
      </c>
      <c r="CB37" s="266" t="s">
        <v>1068</v>
      </c>
      <c r="CC37" s="266"/>
    </row>
    <row r="38" spans="1:81" ht="17.25" customHeight="1" thickBot="1">
      <c r="A38" s="250" t="str">
        <f>IF(N2="non","Colonne four 1 porte vitrée + 1 porte","Colonne four 1 porte vitrée blanche + 1 porte")</f>
        <v>Colonne four 1 porte vitrée + 1 porte</v>
      </c>
      <c r="B38" s="118">
        <f>IF(N2="non",J9+D5+B14+D6,J9+D5+B14+D7)</f>
        <v>208.45</v>
      </c>
      <c r="C38" s="318"/>
      <c r="D38" s="364">
        <f>IF(B38="ND",0,C38*B38)</f>
        <v>0</v>
      </c>
      <c r="E38" s="365"/>
      <c r="F38" s="61"/>
      <c r="G38" s="155"/>
      <c r="H38" s="282" t="str">
        <f>"Facades supplementaires "&amp;B1</f>
        <v>Facades supplementaires METRO</v>
      </c>
      <c r="I38" s="283"/>
      <c r="J38" s="284"/>
      <c r="K38" s="409"/>
      <c r="L38" s="410"/>
      <c r="M38" s="330"/>
      <c r="N38" s="286"/>
      <c r="O38" s="133"/>
      <c r="P38" s="134"/>
      <c r="Q38" s="19"/>
      <c r="R38" s="55" t="s">
        <v>1341</v>
      </c>
      <c r="S38" s="18">
        <f>IF($C37=0,0,$C37*2)</f>
        <v>0</v>
      </c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18">
        <f>IF(C37=0,0,C37)</f>
        <v>0</v>
      </c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18">
        <f>IF($C37=0,0,$C37*2)</f>
        <v>0</v>
      </c>
      <c r="AS38" s="55"/>
      <c r="AT38" s="55"/>
      <c r="AU38" s="55"/>
      <c r="AV38" s="55"/>
      <c r="AW38" s="55"/>
      <c r="AX38" s="55"/>
      <c r="AY38" s="55"/>
      <c r="AZ38" s="55"/>
      <c r="BA38" s="55"/>
      <c r="BB38" s="56"/>
      <c r="BC38" s="56"/>
      <c r="BD38" s="56"/>
      <c r="BE38" s="56"/>
      <c r="BF38" s="56"/>
      <c r="BG38" s="56"/>
      <c r="BH38" s="56"/>
      <c r="BI38" s="56"/>
      <c r="BJ38" s="56"/>
      <c r="BL38" s="17" t="s">
        <v>963</v>
      </c>
      <c r="BN38" s="269" t="s">
        <v>1365</v>
      </c>
      <c r="BO38" s="267">
        <f>E5</f>
        <v>66.5</v>
      </c>
      <c r="BQ38" s="17" t="e">
        <f>#REF!</f>
        <v>#REF!</v>
      </c>
      <c r="CB38" s="266" t="s">
        <v>643</v>
      </c>
      <c r="CC38" s="266"/>
    </row>
    <row r="39" spans="1:81" ht="17.25" customHeight="1" thickBot="1">
      <c r="A39" s="253" t="s">
        <v>1339</v>
      </c>
      <c r="B39" s="118">
        <f>J9+D5+H5+(2*B14)+D13</f>
        <v>220.6</v>
      </c>
      <c r="C39" s="318"/>
      <c r="D39" s="364">
        <f>IF(B39="ND",0,C39*B39)</f>
        <v>0</v>
      </c>
      <c r="E39" s="365"/>
      <c r="F39" s="61"/>
      <c r="G39" s="155"/>
      <c r="H39" s="446" t="s">
        <v>1378</v>
      </c>
      <c r="I39" s="446"/>
      <c r="J39" s="447"/>
      <c r="K39" s="444">
        <f>VLOOKUP(H39,$BN$24:$BO$55,2)</f>
        <v>0</v>
      </c>
      <c r="L39" s="445"/>
      <c r="M39" s="316"/>
      <c r="N39" s="127">
        <f>IF(K39="ND",0,M39*K39)</f>
        <v>0</v>
      </c>
      <c r="O39" s="133"/>
      <c r="P39" s="133"/>
      <c r="Q39" s="19"/>
      <c r="R39" s="55" t="s">
        <v>1341</v>
      </c>
      <c r="S39" s="18">
        <f>IF($C38=0,0,$C38)</f>
        <v>0</v>
      </c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18">
        <f>IF(C38=0,0,C38)</f>
        <v>0</v>
      </c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18">
        <f>IF($C38=0,0,$C38)</f>
        <v>0</v>
      </c>
      <c r="AS39" s="55"/>
      <c r="AT39" s="55"/>
      <c r="AU39" s="18">
        <f>IF($C38=0,0,IF(N2="non",$C38,))</f>
        <v>0</v>
      </c>
      <c r="AV39" s="18">
        <f>IF($C38=0,0,IF(N2="oui",$C38,))</f>
        <v>0</v>
      </c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L39" s="17" t="s">
        <v>1070</v>
      </c>
      <c r="BN39" s="269" t="s">
        <v>1367</v>
      </c>
      <c r="BO39" s="267">
        <f ca="1">N10</f>
        <v>18</v>
      </c>
      <c r="BP39" s="17">
        <f ca="1">'Tarif FACADES &amp; CAISSONS'!$O79</f>
        <v>0</v>
      </c>
      <c r="BQ39" s="17" t="e">
        <f>#REF!</f>
        <v>#REF!</v>
      </c>
    </row>
    <row r="40" spans="1:81" ht="17.25" customHeight="1" thickBot="1">
      <c r="A40" s="248" t="str">
        <f>IF(N2="non","Colonne four 1 porte vitrée + 1 porte tiroir","Colonne four 1 porte vitrée blanche + 1 porte tiroir")</f>
        <v>Colonne four 1 porte vitrée + 1 porte tiroir</v>
      </c>
      <c r="B40" s="113">
        <f>IF(N2="non",J9+D6+H5+D13+B14,J9+D7+H5+D13+B14)</f>
        <v>243.14999999999998</v>
      </c>
      <c r="C40" s="315"/>
      <c r="D40" s="351">
        <f t="shared" si="2"/>
        <v>0</v>
      </c>
      <c r="E40" s="352"/>
      <c r="F40" s="61"/>
      <c r="G40" s="66"/>
      <c r="H40" s="446" t="s">
        <v>1378</v>
      </c>
      <c r="I40" s="446"/>
      <c r="J40" s="447"/>
      <c r="K40" s="444">
        <f>VLOOKUP(H40,$BN$24:$BO$55,2)</f>
        <v>0</v>
      </c>
      <c r="L40" s="445"/>
      <c r="M40" s="316"/>
      <c r="N40" s="128">
        <f>IF(K40="ND",0,M40*K40)</f>
        <v>0</v>
      </c>
      <c r="O40" s="133"/>
      <c r="P40" s="133"/>
      <c r="Q40" s="20"/>
      <c r="R40" s="55" t="s">
        <v>1341</v>
      </c>
      <c r="S40" s="18">
        <f>IF($C39=0,0,$C39*2)</f>
        <v>0</v>
      </c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18">
        <f>IF(C39=0,0,C39)</f>
        <v>0</v>
      </c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18">
        <f>IF($C39=0,0,$C39)</f>
        <v>0</v>
      </c>
      <c r="AS40" s="18">
        <f>IF($C39=0,0,$C39)</f>
        <v>0</v>
      </c>
      <c r="AT40" s="55"/>
      <c r="AU40" s="55"/>
      <c r="AV40" s="55"/>
      <c r="AW40" s="56"/>
      <c r="AX40" s="56"/>
      <c r="AY40" s="56"/>
      <c r="AZ40" s="56"/>
      <c r="BA40" s="56"/>
      <c r="BB40" s="56"/>
      <c r="BC40" s="18">
        <f>IF($C39=0,0,$C39)</f>
        <v>0</v>
      </c>
      <c r="BD40" s="56"/>
      <c r="BE40" s="56"/>
      <c r="BF40" s="56"/>
      <c r="BG40" s="56"/>
      <c r="BH40" s="56"/>
      <c r="BI40" s="56"/>
      <c r="BJ40" s="56"/>
      <c r="BL40" s="17" t="s">
        <v>552</v>
      </c>
      <c r="BN40" s="269" t="s">
        <v>1368</v>
      </c>
      <c r="BO40" s="267">
        <f ca="1">N11</f>
        <v>15.3</v>
      </c>
      <c r="BP40" s="17">
        <f ca="1">'Tarif FACADES &amp; CAISSONS'!$O80</f>
        <v>0</v>
      </c>
      <c r="BQ40" s="17" t="e">
        <f>#REF!</f>
        <v>#REF!</v>
      </c>
    </row>
    <row r="41" spans="1:81" ht="17.25" customHeight="1" thickBot="1">
      <c r="A41" s="114" t="s">
        <v>1453</v>
      </c>
      <c r="B41" s="113">
        <f>J9+D5+K5+B14+D13+2*H13</f>
        <v>315.04999999999995</v>
      </c>
      <c r="C41" s="315"/>
      <c r="D41" s="351">
        <f t="shared" si="2"/>
        <v>0</v>
      </c>
      <c r="E41" s="352"/>
      <c r="F41" s="61"/>
      <c r="G41" s="66"/>
      <c r="H41" s="446" t="s">
        <v>1378</v>
      </c>
      <c r="I41" s="446"/>
      <c r="J41" s="447"/>
      <c r="K41" s="444">
        <f>VLOOKUP(H41,$BN$24:$BO$55,2)</f>
        <v>0</v>
      </c>
      <c r="L41" s="445"/>
      <c r="M41" s="316"/>
      <c r="N41" s="127">
        <f>IF(K41="ND",0,M41*K41)</f>
        <v>0</v>
      </c>
      <c r="O41" s="133"/>
      <c r="P41" s="134"/>
      <c r="Q41" s="20"/>
      <c r="R41" s="55" t="s">
        <v>1341</v>
      </c>
      <c r="S41" s="18">
        <f>IF($C40=0,0,$C40)</f>
        <v>0</v>
      </c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18">
        <f>IF($C40=0,0,$C40)</f>
        <v>0</v>
      </c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18">
        <f>IF($C40=0,0,$C40)</f>
        <v>0</v>
      </c>
      <c r="AT41" s="55"/>
      <c r="AU41" s="18">
        <f>IF($C40=0,0,IF(N2="non",$C40,))</f>
        <v>0</v>
      </c>
      <c r="AV41" s="18">
        <f>IF($C40=0,0,IF(N2="oui",$C40,))</f>
        <v>0</v>
      </c>
      <c r="AW41" s="56"/>
      <c r="AX41" s="56"/>
      <c r="AY41" s="56"/>
      <c r="AZ41" s="56"/>
      <c r="BA41" s="56"/>
      <c r="BB41" s="56"/>
      <c r="BC41" s="18">
        <f>IF($C40=0,0,$C40)</f>
        <v>0</v>
      </c>
      <c r="BD41" s="56"/>
      <c r="BE41" s="56"/>
      <c r="BF41" s="56"/>
      <c r="BG41" s="56"/>
      <c r="BH41" s="56"/>
      <c r="BI41" s="56"/>
      <c r="BJ41" s="56"/>
      <c r="BL41" s="17" t="s">
        <v>1322</v>
      </c>
      <c r="BN41" s="269" t="s">
        <v>1375</v>
      </c>
      <c r="BO41" s="267">
        <f ca="1">I6</f>
        <v>74</v>
      </c>
      <c r="BP41" s="17">
        <f ca="1">'Tarif FACADES &amp; CAISSONS'!$O81</f>
        <v>0</v>
      </c>
      <c r="BQ41" s="17" t="e">
        <f>#REF!</f>
        <v>#REF!</v>
      </c>
    </row>
    <row r="42" spans="1:81" ht="17.25" customHeight="1" thickBot="1">
      <c r="A42" s="248" t="str">
        <f>IF(N2="non","Colonne four 1 porte vitrée + 3 tiroirs","Colonne four 1 porte vitrée blanche + 3 tiroirs")</f>
        <v>Colonne four 1 porte vitrée + 3 tiroirs</v>
      </c>
      <c r="B42" s="113">
        <f>IF(N2="non",J9+D6+K5+D13+(2*H13),J9+D7+K5+D13+(2*H13))</f>
        <v>337.6</v>
      </c>
      <c r="C42" s="315"/>
      <c r="D42" s="351">
        <f>IF(B42="ND",0,C42*B42)</f>
        <v>0</v>
      </c>
      <c r="E42" s="352"/>
      <c r="F42" s="61"/>
      <c r="G42" s="66"/>
      <c r="H42" s="446" t="s">
        <v>1378</v>
      </c>
      <c r="I42" s="446"/>
      <c r="J42" s="447"/>
      <c r="K42" s="444">
        <f>VLOOKUP(H42,$BN$24:$BO$55,2)</f>
        <v>0</v>
      </c>
      <c r="L42" s="445"/>
      <c r="M42" s="316"/>
      <c r="N42" s="127">
        <f>IF(K42="ND",0,M42*K42)</f>
        <v>0</v>
      </c>
      <c r="O42" s="133"/>
      <c r="P42" s="134"/>
      <c r="Q42" s="20"/>
      <c r="R42" s="55" t="s">
        <v>1341</v>
      </c>
      <c r="S42" s="18">
        <f>IF($C41=0,0,$C41)</f>
        <v>0</v>
      </c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18">
        <f>IF(C41=0,0,C41)</f>
        <v>0</v>
      </c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18">
        <f>IF($C41=0,0,$C41)</f>
        <v>0</v>
      </c>
      <c r="AS42" s="55"/>
      <c r="AT42" s="18">
        <f>IF($C41=0,0,$C41)</f>
        <v>0</v>
      </c>
      <c r="AU42" s="55"/>
      <c r="AV42" s="55"/>
      <c r="AW42" s="56"/>
      <c r="AX42" s="56"/>
      <c r="AY42" s="56"/>
      <c r="AZ42" s="56"/>
      <c r="BA42" s="56"/>
      <c r="BB42" s="56"/>
      <c r="BC42" s="18">
        <f>IF($C41=0,0,$C41)</f>
        <v>0</v>
      </c>
      <c r="BD42" s="55"/>
      <c r="BE42" s="56"/>
      <c r="BF42" s="18">
        <f>IF($C41=0,0,$C41*2)</f>
        <v>0</v>
      </c>
      <c r="BG42" s="56"/>
      <c r="BH42" s="56"/>
      <c r="BI42" s="56"/>
      <c r="BJ42" s="56"/>
      <c r="BN42" s="269" t="s">
        <v>1376</v>
      </c>
      <c r="BO42" s="267">
        <f ca="1">I7</f>
        <v>77</v>
      </c>
      <c r="BP42" s="17">
        <f ca="1">'Tarif FACADES &amp; CAISSONS'!$O82</f>
        <v>0</v>
      </c>
      <c r="BQ42" s="17" t="e">
        <f>#REF!</f>
        <v>#REF!</v>
      </c>
    </row>
    <row r="43" spans="1:81" ht="17.25" customHeight="1" thickBot="1">
      <c r="A43" s="114" t="s">
        <v>1454</v>
      </c>
      <c r="B43" s="162">
        <f>IF(O5="ND","ND",J9+D5+O5+3*B14)</f>
        <v>214.35</v>
      </c>
      <c r="C43" s="315"/>
      <c r="D43" s="351">
        <f t="shared" si="2"/>
        <v>0</v>
      </c>
      <c r="E43" s="352"/>
      <c r="F43" s="61"/>
      <c r="G43" s="66"/>
      <c r="H43" s="446" t="s">
        <v>1378</v>
      </c>
      <c r="I43" s="446"/>
      <c r="J43" s="447"/>
      <c r="K43" s="444">
        <f>VLOOKUP(H43,$BN$24:$BO$55,2)</f>
        <v>0</v>
      </c>
      <c r="L43" s="445"/>
      <c r="M43" s="316"/>
      <c r="N43" s="127">
        <f>IF(K43="ND",0,M43*K43)</f>
        <v>0</v>
      </c>
      <c r="O43" s="133"/>
      <c r="P43" s="134"/>
      <c r="Q43" s="20"/>
      <c r="R43" s="55" t="s">
        <v>1341</v>
      </c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18">
        <f>IF(C42=0,0,C42)</f>
        <v>0</v>
      </c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18">
        <f>IF($C42=0,0,$C42)</f>
        <v>0</v>
      </c>
      <c r="AU43" s="18">
        <f>IF($C42=0,0,IF(N2="non",$C42,))</f>
        <v>0</v>
      </c>
      <c r="AV43" s="18">
        <f>IF($C42=0,0,IF(N2="oui",$C42,))</f>
        <v>0</v>
      </c>
      <c r="AW43" s="56"/>
      <c r="AX43" s="56"/>
      <c r="AY43" s="56"/>
      <c r="AZ43" s="56"/>
      <c r="BA43" s="56"/>
      <c r="BB43" s="56"/>
      <c r="BC43" s="18">
        <f>IF($C42=0,0,$C42)</f>
        <v>0</v>
      </c>
      <c r="BD43" s="56"/>
      <c r="BE43" s="56"/>
      <c r="BF43" s="18">
        <f>IF($C42=0,0,$C42*2)</f>
        <v>0</v>
      </c>
      <c r="BG43" s="56"/>
      <c r="BH43" s="56"/>
      <c r="BI43" s="56"/>
      <c r="BJ43" s="56"/>
      <c r="BN43" s="269" t="s">
        <v>1369</v>
      </c>
      <c r="BO43" s="267">
        <f ca="1">I5</f>
        <v>35.5</v>
      </c>
      <c r="BP43" s="17">
        <f ca="1">'Tarif FACADES &amp; CAISSONS'!$O83</f>
        <v>0</v>
      </c>
      <c r="BQ43" s="17" t="e">
        <f>#REF!</f>
        <v>#REF!</v>
      </c>
    </row>
    <row r="44" spans="1:81" ht="17.25" customHeight="1" thickBot="1">
      <c r="A44" s="252" t="str">
        <f>IF(N2="non","Colonne 1 porte vitrée + porte frigo","Colonne 1 porte vitrée blanche + 1 porte frigo")</f>
        <v>Colonne 1 porte vitrée + porte frigo</v>
      </c>
      <c r="B44" s="251">
        <f>IF(N2="non",J9+D6+O5+(2*B14),J9+D7+O5+(2*B14))</f>
        <v>236.9</v>
      </c>
      <c r="C44" s="319"/>
      <c r="D44" s="351">
        <f>IF(B44="ND",0,C44*B44)</f>
        <v>0</v>
      </c>
      <c r="E44" s="352"/>
      <c r="F44" s="61"/>
      <c r="G44" s="66"/>
      <c r="H44" s="394" t="s">
        <v>1381</v>
      </c>
      <c r="I44" s="395"/>
      <c r="J44" s="395"/>
      <c r="K44" s="395"/>
      <c r="L44" s="396"/>
      <c r="M44" s="330"/>
      <c r="N44" s="286"/>
      <c r="O44" s="133"/>
      <c r="P44" s="134"/>
      <c r="Q44" s="20"/>
      <c r="R44" s="55" t="s">
        <v>1341</v>
      </c>
      <c r="S44" s="18">
        <f>IF($C43=0,0,$C43*3)</f>
        <v>0</v>
      </c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18">
        <f>IF(C43=0,0,C43)</f>
        <v>0</v>
      </c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18">
        <f>IF($C43=0,0,$C43)</f>
        <v>0</v>
      </c>
      <c r="AS44" s="55"/>
      <c r="AT44" s="55"/>
      <c r="AU44" s="55"/>
      <c r="AV44" s="55"/>
      <c r="AW44" s="56"/>
      <c r="AX44" s="56"/>
      <c r="AY44" s="56"/>
      <c r="AZ44" s="56"/>
      <c r="BA44" s="18">
        <f>IF($C43=0,0,$C43)</f>
        <v>0</v>
      </c>
      <c r="BB44" s="56"/>
      <c r="BC44" s="56"/>
      <c r="BD44" s="56"/>
      <c r="BE44" s="56"/>
      <c r="BF44" s="56"/>
      <c r="BG44" s="56"/>
      <c r="BH44" s="56"/>
      <c r="BI44" s="56"/>
      <c r="BJ44" s="56"/>
      <c r="BN44" s="269" t="s">
        <v>1373</v>
      </c>
      <c r="BO44" s="267">
        <f ca="1">J6</f>
        <v>62</v>
      </c>
      <c r="BP44" s="17">
        <f ca="1">'Tarif FACADES &amp; CAISSONS'!$O84</f>
        <v>0</v>
      </c>
      <c r="BQ44" s="17" t="e">
        <f>#REF!</f>
        <v>#REF!</v>
      </c>
    </row>
    <row r="45" spans="1:81" ht="17.25" customHeight="1" thickBot="1">
      <c r="A45" s="194" t="s">
        <v>1083</v>
      </c>
      <c r="B45" s="195"/>
      <c r="C45" s="317"/>
      <c r="D45" s="349">
        <f>SUM(D46:E52)</f>
        <v>0</v>
      </c>
      <c r="E45" s="350"/>
      <c r="F45" s="61"/>
      <c r="G45" s="155"/>
      <c r="H45" s="391" t="s">
        <v>1366</v>
      </c>
      <c r="I45" s="392"/>
      <c r="J45" s="393"/>
      <c r="L45" s="126">
        <f>N10</f>
        <v>18</v>
      </c>
      <c r="M45" s="331">
        <v>1</v>
      </c>
      <c r="N45" s="127">
        <f t="shared" ref="N45:N71" si="3">IF(L45="ND",0,M45*L45)</f>
        <v>18</v>
      </c>
      <c r="O45" s="133"/>
      <c r="P45" s="134"/>
      <c r="Q45" s="20"/>
      <c r="R45" s="55" t="s">
        <v>1341</v>
      </c>
      <c r="S45" s="18">
        <f>IF($C44=0,0,$C44*2)</f>
        <v>0</v>
      </c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18">
        <f>IF(C44=0,0,C44)</f>
        <v>0</v>
      </c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18">
        <f>IF($C44=0,0,IF(N2="non",$C44,))</f>
        <v>0</v>
      </c>
      <c r="AV45" s="18">
        <f>IF($C44=0,0,IF(N2="oui",$C44,))</f>
        <v>0</v>
      </c>
      <c r="AW45" s="56"/>
      <c r="AX45" s="56"/>
      <c r="AY45" s="56"/>
      <c r="AZ45" s="56"/>
      <c r="BA45" s="18">
        <f>IF(C44=0,0,C44)</f>
        <v>0</v>
      </c>
      <c r="BB45" s="56"/>
      <c r="BC45" s="56"/>
      <c r="BD45" s="56"/>
      <c r="BE45" s="56"/>
      <c r="BF45" s="56"/>
      <c r="BG45" s="56"/>
      <c r="BH45" s="56"/>
      <c r="BI45" s="56"/>
      <c r="BJ45" s="56"/>
      <c r="BN45" s="269" t="s">
        <v>1374</v>
      </c>
      <c r="BO45" s="267">
        <f ca="1">J7</f>
        <v>65</v>
      </c>
      <c r="BP45" s="17">
        <f ca="1">'Tarif FACADES &amp; CAISSONS'!$O85</f>
        <v>0</v>
      </c>
      <c r="BQ45" s="17" t="e">
        <f>#REF!</f>
        <v>#REF!</v>
      </c>
    </row>
    <row r="46" spans="1:81" ht="17.25" customHeight="1">
      <c r="A46" s="114" t="s">
        <v>1459</v>
      </c>
      <c r="B46" s="113">
        <f>J9+H5+H9+(2*B14)</f>
        <v>165.9</v>
      </c>
      <c r="C46" s="315"/>
      <c r="D46" s="351">
        <f t="shared" si="2"/>
        <v>0</v>
      </c>
      <c r="E46" s="352"/>
      <c r="F46" s="61"/>
      <c r="G46" s="66"/>
      <c r="H46" s="383" t="s">
        <v>1657</v>
      </c>
      <c r="I46" s="384"/>
      <c r="J46" s="384"/>
      <c r="K46" s="385"/>
      <c r="L46" s="126">
        <f ca="1">IF(H46="Choisissez vos accessoires pour caisson",0,VLOOKUP(H46,'Tarif Plan de trav &amp; Access'!$R$8:$S$49,2,0))</f>
        <v>30</v>
      </c>
      <c r="M46" s="316"/>
      <c r="N46" s="128">
        <f t="shared" si="3"/>
        <v>0</v>
      </c>
      <c r="O46" s="133"/>
      <c r="P46" s="134"/>
      <c r="Q46" s="20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43"/>
      <c r="AJ46" s="143"/>
      <c r="AK46" s="143">
        <f>IF($C45=0,0,$C45)</f>
        <v>0</v>
      </c>
      <c r="AL46" s="143">
        <f>IF($C45=0,0,$C45)</f>
        <v>0</v>
      </c>
      <c r="AM46" s="143"/>
      <c r="AN46" s="143"/>
      <c r="AO46" s="143"/>
      <c r="AP46" s="143"/>
      <c r="AQ46" s="143"/>
      <c r="AR46" s="143">
        <f>IF($C45=0,0,$C45)</f>
        <v>0</v>
      </c>
      <c r="AS46" s="143">
        <f>IF($C45=0,0,$C45)</f>
        <v>0</v>
      </c>
      <c r="AT46" s="143"/>
      <c r="AU46" s="143"/>
      <c r="AV46" s="143"/>
      <c r="AW46" s="136"/>
      <c r="AX46" s="136"/>
      <c r="AY46" s="136"/>
      <c r="AZ46" s="136"/>
      <c r="BA46" s="136"/>
      <c r="BB46" s="136"/>
      <c r="BC46" s="136"/>
      <c r="BD46" s="136"/>
      <c r="BE46" s="136"/>
      <c r="BF46" s="136"/>
      <c r="BG46" s="136"/>
      <c r="BH46" s="136"/>
      <c r="BI46" s="136"/>
      <c r="BJ46" s="136"/>
      <c r="BN46" s="269" t="s">
        <v>1370</v>
      </c>
      <c r="BO46" s="267">
        <f ca="1">D6</f>
        <v>74</v>
      </c>
      <c r="BP46" s="17">
        <f ca="1">'Tarif FACADES &amp; CAISSONS'!$O86</f>
        <v>0</v>
      </c>
      <c r="BQ46" s="17" t="e">
        <f>#REF!</f>
        <v>#REF!</v>
      </c>
    </row>
    <row r="47" spans="1:81" ht="17.25" customHeight="1">
      <c r="A47" s="114" t="s">
        <v>1460</v>
      </c>
      <c r="B47" s="162">
        <f ca="1">+J9+H5+J5+(B14*2)+'Tarif FACADES &amp; CAISSONS'!S77</f>
        <v>183.95000000000002</v>
      </c>
      <c r="C47" s="315"/>
      <c r="D47" s="351">
        <f t="shared" si="2"/>
        <v>0</v>
      </c>
      <c r="E47" s="352"/>
      <c r="F47" s="61"/>
      <c r="G47" s="66"/>
      <c r="H47" s="383" t="s">
        <v>1380</v>
      </c>
      <c r="I47" s="384"/>
      <c r="J47" s="384"/>
      <c r="K47" s="385"/>
      <c r="L47" s="126">
        <f ca="1">IF(H47="Choisissez vos accessoires pour caisson",0,VLOOKUP(H47,'Tarif Plan de trav &amp; Access'!$R$8:$S$49,2,0))</f>
        <v>0</v>
      </c>
      <c r="M47" s="316"/>
      <c r="N47" s="128">
        <f t="shared" si="3"/>
        <v>0</v>
      </c>
      <c r="O47" s="133"/>
      <c r="P47" s="134"/>
      <c r="Q47" s="20"/>
      <c r="R47" s="55" t="s">
        <v>1341</v>
      </c>
      <c r="S47" s="18">
        <f>IF($C46=0,0,$C46*2)</f>
        <v>0</v>
      </c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8">
        <f t="shared" ref="AG47:AG53" si="4">IF(C46=0,0,C46)</f>
        <v>0</v>
      </c>
      <c r="AH47" s="55"/>
      <c r="AI47" s="55"/>
      <c r="AJ47" s="55"/>
      <c r="AK47" s="55"/>
      <c r="AL47" s="55"/>
      <c r="AM47" s="55"/>
      <c r="AN47" s="55"/>
      <c r="AO47" s="18">
        <f>IF($C46=0,0,$C46)</f>
        <v>0</v>
      </c>
      <c r="AP47" s="55"/>
      <c r="AQ47" s="55"/>
      <c r="AR47" s="55"/>
      <c r="AS47" s="18">
        <f>IF($C46=0,0,$C46)</f>
        <v>0</v>
      </c>
      <c r="AT47" s="55"/>
      <c r="AU47" s="55"/>
      <c r="AV47" s="55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N47" s="269" t="s">
        <v>1371</v>
      </c>
      <c r="BO47" s="267">
        <f ca="1">D7</f>
        <v>80</v>
      </c>
      <c r="BP47" s="17">
        <f ca="1">'Tarif FACADES &amp; CAISSONS'!$O87</f>
        <v>0</v>
      </c>
      <c r="BQ47" s="17" t="e">
        <f>#REF!</f>
        <v>#REF!</v>
      </c>
    </row>
    <row r="48" spans="1:81" ht="17.25" customHeight="1">
      <c r="A48" s="248" t="str">
        <f>IF(N2="non","Colonne MO 1 porte + 1 porte vitrée  relevante","Colonne MO 1 porte + 1 porte vitrée blanche relevante")</f>
        <v>Colonne MO 1 porte + 1 porte vitrée  relevante</v>
      </c>
      <c r="B48" s="113">
        <f ca="1">IF(N2="non",+J9+H5+J6+(B14),+J9+H5+J7+(B14))</f>
        <v>199.95</v>
      </c>
      <c r="C48" s="315"/>
      <c r="D48" s="351">
        <f t="shared" si="2"/>
        <v>0</v>
      </c>
      <c r="E48" s="352"/>
      <c r="F48" s="61"/>
      <c r="G48" s="66"/>
      <c r="H48" s="383" t="s">
        <v>1380</v>
      </c>
      <c r="I48" s="384"/>
      <c r="J48" s="384"/>
      <c r="K48" s="385"/>
      <c r="L48" s="126">
        <f ca="1">IF(H48="Choisissez vos accessoires pour caisson",0,VLOOKUP(H48,'Tarif Plan de trav &amp; Access'!$R$8:$S$49,2,0))</f>
        <v>0</v>
      </c>
      <c r="M48" s="316"/>
      <c r="N48" s="128">
        <f t="shared" si="3"/>
        <v>0</v>
      </c>
      <c r="O48" s="133"/>
      <c r="P48" s="134"/>
      <c r="Q48" s="20"/>
      <c r="R48" s="55" t="s">
        <v>1341</v>
      </c>
      <c r="S48" s="18">
        <f>IF($C47=0,0,$C47*2)</f>
        <v>0</v>
      </c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18">
        <f t="shared" si="4"/>
        <v>0</v>
      </c>
      <c r="AH48" s="55"/>
      <c r="AI48" s="18">
        <f>IF(C47=0,0,C47)</f>
        <v>0</v>
      </c>
      <c r="AJ48" s="55"/>
      <c r="AK48" s="55"/>
      <c r="AL48" s="55"/>
      <c r="AM48" s="55"/>
      <c r="AN48" s="55"/>
      <c r="AO48" s="18">
        <f>IF($C47=0,0,$C47)</f>
        <v>0</v>
      </c>
      <c r="AP48" s="55"/>
      <c r="AQ48" s="55"/>
      <c r="AR48" s="55"/>
      <c r="AS48" s="18">
        <f>IF($C47=0,0,$C47)</f>
        <v>0</v>
      </c>
      <c r="AT48" s="55"/>
      <c r="AU48" s="55"/>
      <c r="AV48" s="55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P48" s="17">
        <f ca="1">'Tarif FACADES &amp; CAISSONS'!$O88</f>
        <v>0</v>
      </c>
      <c r="BQ48" s="17" t="e">
        <f>#REF!</f>
        <v>#REF!</v>
      </c>
    </row>
    <row r="49" spans="1:71" ht="17.25" customHeight="1">
      <c r="A49" s="114" t="s">
        <v>1346</v>
      </c>
      <c r="B49" s="162">
        <f ca="1">J9+J5+K5+(H13*2)+B14</f>
        <v>271.84999999999997</v>
      </c>
      <c r="C49" s="315"/>
      <c r="D49" s="351">
        <f t="shared" si="2"/>
        <v>0</v>
      </c>
      <c r="E49" s="352"/>
      <c r="F49" s="61"/>
      <c r="G49" s="66"/>
      <c r="H49" s="383" t="s">
        <v>1380</v>
      </c>
      <c r="I49" s="384"/>
      <c r="J49" s="384"/>
      <c r="K49" s="385"/>
      <c r="L49" s="126">
        <f ca="1">IF(H49="Choisissez vos accessoires pour caisson",0,VLOOKUP(H49,'Tarif Plan de trav &amp; Access'!$R$8:$S$49,2,0))</f>
        <v>0</v>
      </c>
      <c r="M49" s="316"/>
      <c r="N49" s="128">
        <f t="shared" si="3"/>
        <v>0</v>
      </c>
      <c r="O49" s="133"/>
      <c r="P49" s="134"/>
      <c r="Q49" s="20"/>
      <c r="R49" s="55" t="s">
        <v>1341</v>
      </c>
      <c r="S49" s="18">
        <f>IF($C48=0,0,$C48)</f>
        <v>0</v>
      </c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18">
        <f t="shared" si="4"/>
        <v>0</v>
      </c>
      <c r="AH49" s="55"/>
      <c r="AI49" s="55"/>
      <c r="AJ49" s="55"/>
      <c r="AK49" s="55"/>
      <c r="AL49" s="55"/>
      <c r="AM49" s="55"/>
      <c r="AN49" s="55"/>
      <c r="AO49" s="55"/>
      <c r="AP49" s="18">
        <f>IF($C48=0,0,IF(N2="non",$C48,))</f>
        <v>0</v>
      </c>
      <c r="AQ49" s="18">
        <f>IF($C48=0,0,IF(N2="oui",$C48,))</f>
        <v>0</v>
      </c>
      <c r="AR49" s="55"/>
      <c r="AS49" s="18">
        <f>IF($C48=0,0,$C48)</f>
        <v>0</v>
      </c>
      <c r="AT49" s="55"/>
      <c r="AU49" s="55"/>
      <c r="AV49" s="55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P49" s="17">
        <f ca="1">'Tarif FACADES &amp; CAISSONS'!$O89</f>
        <v>0</v>
      </c>
    </row>
    <row r="50" spans="1:71" ht="17.25" customHeight="1">
      <c r="A50" s="114" t="s">
        <v>1340</v>
      </c>
      <c r="B50" s="162">
        <f ca="1">J9+J5+K5+(H13*2)+B14+'Tarif FACADES &amp; CAISSONS'!S77</f>
        <v>278.39999999999998</v>
      </c>
      <c r="C50" s="315"/>
      <c r="D50" s="351">
        <f t="shared" si="2"/>
        <v>0</v>
      </c>
      <c r="E50" s="352"/>
      <c r="F50" s="61"/>
      <c r="G50" s="66"/>
      <c r="H50" s="383" t="s">
        <v>1380</v>
      </c>
      <c r="I50" s="384"/>
      <c r="J50" s="384"/>
      <c r="K50" s="385"/>
      <c r="L50" s="126">
        <f ca="1">IF(H50="Choisissez vos accessoires pour caisson",0,VLOOKUP(H50,'Tarif Plan de trav &amp; Access'!$R$8:$S$49,2,0))</f>
        <v>0</v>
      </c>
      <c r="M50" s="316"/>
      <c r="N50" s="128">
        <f t="shared" si="3"/>
        <v>0</v>
      </c>
      <c r="O50" s="133"/>
      <c r="P50" s="134"/>
      <c r="Q50" s="20"/>
      <c r="R50" s="55" t="s">
        <v>1341</v>
      </c>
      <c r="S50" s="18">
        <f>IF($C49=0,0,$C49)</f>
        <v>0</v>
      </c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18">
        <f t="shared" si="4"/>
        <v>0</v>
      </c>
      <c r="AH50" s="55"/>
      <c r="AI50" s="55"/>
      <c r="AJ50" s="55"/>
      <c r="AK50" s="55"/>
      <c r="AL50" s="55"/>
      <c r="AM50" s="55"/>
      <c r="AN50" s="55"/>
      <c r="AO50" s="18">
        <f>IF($C49=0,0,$C49)</f>
        <v>0</v>
      </c>
      <c r="AP50" s="55"/>
      <c r="AQ50" s="55"/>
      <c r="AR50" s="55"/>
      <c r="AS50" s="55"/>
      <c r="AT50" s="18">
        <f>IF($C49=0,0,$C49)</f>
        <v>0</v>
      </c>
      <c r="AU50" s="55"/>
      <c r="AV50" s="55"/>
      <c r="AW50" s="56"/>
      <c r="AX50" s="56"/>
      <c r="AY50" s="56"/>
      <c r="AZ50" s="56"/>
      <c r="BA50" s="56"/>
      <c r="BB50" s="56"/>
      <c r="BC50" s="55"/>
      <c r="BD50" s="56"/>
      <c r="BE50" s="56"/>
      <c r="BF50" s="18">
        <f>IF($C49=0,0,$C49)*2</f>
        <v>0</v>
      </c>
      <c r="BG50" s="56"/>
      <c r="BH50" s="56"/>
      <c r="BI50" s="56"/>
      <c r="BJ50" s="56"/>
      <c r="BP50" s="17">
        <f ca="1">'Tarif FACADES &amp; CAISSONS'!$O90</f>
        <v>0</v>
      </c>
      <c r="BQ50" s="17" t="e">
        <f>#REF!</f>
        <v>#REF!</v>
      </c>
    </row>
    <row r="51" spans="1:71" ht="17.25" customHeight="1">
      <c r="A51" s="248" t="str">
        <f>IF(N2="non","Colonne MO 1 porte vitrée relevante + 2 tiroirs coffre","Colonne MO 1 porte vitrée blanche relevante + 2 tiroirs coffre")</f>
        <v>Colonne MO 1 porte vitrée relevante + 2 tiroirs coffre</v>
      </c>
      <c r="B51" s="162">
        <f>IF(N2="non",J9+J6+K5+(H13*2),J9+J6+K5+(H13*2))</f>
        <v>294.39999999999998</v>
      </c>
      <c r="C51" s="315"/>
      <c r="D51" s="351">
        <f t="shared" si="2"/>
        <v>0</v>
      </c>
      <c r="E51" s="352"/>
      <c r="F51" s="62"/>
      <c r="G51" s="156"/>
      <c r="H51" s="383" t="s">
        <v>1380</v>
      </c>
      <c r="I51" s="384"/>
      <c r="J51" s="384"/>
      <c r="K51" s="385"/>
      <c r="L51" s="126">
        <f ca="1">IF(H51="Choisissez vos accessoires pour caisson",0,VLOOKUP(H51,'Tarif Plan de trav &amp; Access'!$R$8:$S$49,2,0))</f>
        <v>0</v>
      </c>
      <c r="M51" s="316"/>
      <c r="N51" s="128">
        <f t="shared" si="3"/>
        <v>0</v>
      </c>
      <c r="O51" s="133"/>
      <c r="P51" s="134"/>
      <c r="Q51" s="20"/>
      <c r="R51" s="55" t="s">
        <v>1341</v>
      </c>
      <c r="S51" s="18">
        <f>IF($C50=0,0,$C50)</f>
        <v>0</v>
      </c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18">
        <f t="shared" si="4"/>
        <v>0</v>
      </c>
      <c r="AH51" s="55"/>
      <c r="AI51" s="18">
        <f>IF(C50=0,0,C50)</f>
        <v>0</v>
      </c>
      <c r="AJ51" s="55"/>
      <c r="AK51" s="55"/>
      <c r="AL51" s="55"/>
      <c r="AM51" s="55"/>
      <c r="AN51" s="55"/>
      <c r="AO51" s="18">
        <f>IF($C50=0,0,$C50)</f>
        <v>0</v>
      </c>
      <c r="AP51" s="55"/>
      <c r="AQ51" s="55"/>
      <c r="AR51" s="55"/>
      <c r="AS51" s="55"/>
      <c r="AT51" s="18">
        <f>IF($C50=0,0,$C50)</f>
        <v>0</v>
      </c>
      <c r="AU51" s="55"/>
      <c r="AV51" s="55"/>
      <c r="AW51" s="56"/>
      <c r="AX51" s="56"/>
      <c r="AY51" s="56"/>
      <c r="AZ51" s="56"/>
      <c r="BA51" s="56"/>
      <c r="BB51" s="56"/>
      <c r="BC51" s="56"/>
      <c r="BD51" s="56"/>
      <c r="BE51" s="56"/>
      <c r="BF51" s="18">
        <f>IF($C50=0,0,$C50)*2</f>
        <v>0</v>
      </c>
      <c r="BG51" s="56"/>
      <c r="BH51" s="56"/>
      <c r="BI51" s="56"/>
      <c r="BJ51" s="56"/>
      <c r="BP51" s="17">
        <f ca="1">'Tarif FACADES &amp; CAISSONS'!$O91</f>
        <v>0</v>
      </c>
      <c r="BQ51" s="17" t="e">
        <f>#REF!</f>
        <v>#REF!</v>
      </c>
    </row>
    <row r="52" spans="1:71" ht="17.25" customHeight="1" thickBot="1">
      <c r="A52" s="114"/>
      <c r="B52" s="113"/>
      <c r="C52" s="315"/>
      <c r="D52" s="351">
        <f t="shared" si="2"/>
        <v>0</v>
      </c>
      <c r="E52" s="352"/>
      <c r="F52" s="63"/>
      <c r="G52" s="157"/>
      <c r="H52" s="397"/>
      <c r="I52" s="398"/>
      <c r="J52" s="398"/>
      <c r="K52" s="398"/>
      <c r="L52" s="399"/>
      <c r="M52" s="316"/>
      <c r="N52" s="128"/>
      <c r="O52" s="133"/>
      <c r="P52" s="133"/>
      <c r="Q52" s="20"/>
      <c r="R52" s="55" t="s">
        <v>1341</v>
      </c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18">
        <f t="shared" si="4"/>
        <v>0</v>
      </c>
      <c r="AH52" s="55"/>
      <c r="AI52" s="55"/>
      <c r="AJ52" s="55"/>
      <c r="AK52" s="55"/>
      <c r="AL52" s="55"/>
      <c r="AM52" s="55"/>
      <c r="AN52" s="55"/>
      <c r="AO52" s="55"/>
      <c r="AP52" s="18">
        <f>IF($C51=0,0,IF(N2="non",$C51,))</f>
        <v>0</v>
      </c>
      <c r="AQ52" s="18">
        <f>IF($C51=0,0,IF(N2="oui",$C51,))</f>
        <v>0</v>
      </c>
      <c r="AR52" s="55"/>
      <c r="AS52" s="55"/>
      <c r="AT52" s="18">
        <f>IF($C51=0,0,$C51)</f>
        <v>0</v>
      </c>
      <c r="AU52" s="55"/>
      <c r="AV52" s="55"/>
      <c r="AW52" s="56"/>
      <c r="AX52" s="56"/>
      <c r="AY52" s="56"/>
      <c r="AZ52" s="56"/>
      <c r="BA52" s="56"/>
      <c r="BB52" s="56"/>
      <c r="BC52" s="56"/>
      <c r="BD52" s="56"/>
      <c r="BE52" s="56"/>
      <c r="BF52" s="18">
        <f>IF($C51=0,0,$C51)*2</f>
        <v>0</v>
      </c>
      <c r="BG52" s="56"/>
      <c r="BH52" s="56"/>
      <c r="BI52" s="56"/>
      <c r="BJ52" s="56"/>
      <c r="BP52" s="17">
        <f ca="1">'Tarif FACADES &amp; CAISSONS'!$O92</f>
        <v>0</v>
      </c>
    </row>
    <row r="53" spans="1:71" ht="17.25" customHeight="1" thickBot="1">
      <c r="A53" s="194" t="s">
        <v>376</v>
      </c>
      <c r="B53" s="195"/>
      <c r="C53" s="317"/>
      <c r="D53" s="349">
        <f>SUM(D54:E58)</f>
        <v>0</v>
      </c>
      <c r="E53" s="350"/>
      <c r="F53" s="63"/>
      <c r="G53" s="157"/>
      <c r="H53" s="386" t="s">
        <v>214</v>
      </c>
      <c r="I53" s="387"/>
      <c r="J53" s="387"/>
      <c r="K53" s="387"/>
      <c r="L53" s="388"/>
      <c r="M53" s="316"/>
      <c r="N53" s="128"/>
      <c r="O53" s="133"/>
      <c r="P53" s="133"/>
      <c r="Q53" s="20"/>
      <c r="R53" s="55"/>
      <c r="S53" s="55"/>
      <c r="T53" s="55"/>
      <c r="U53" s="55" t="s">
        <v>1451</v>
      </c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>
        <f t="shared" si="4"/>
        <v>0</v>
      </c>
      <c r="AH53" s="55"/>
      <c r="AI53" s="55"/>
      <c r="AJ53" s="55"/>
      <c r="AK53" s="55"/>
      <c r="AL53" s="55"/>
      <c r="AM53" s="55"/>
      <c r="AN53" s="55"/>
      <c r="AO53" s="55">
        <f>IF($C52=0,0,$C52)</f>
        <v>0</v>
      </c>
      <c r="AP53" s="55"/>
      <c r="AQ53" s="55"/>
      <c r="AR53" s="55">
        <f>IF($C52=0,0,$C52)</f>
        <v>0</v>
      </c>
      <c r="AS53" s="55">
        <f>IF($C52=0,0,$C52)</f>
        <v>0</v>
      </c>
      <c r="AT53" s="55"/>
      <c r="AU53" s="55"/>
      <c r="AV53" s="55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P53" s="17">
        <f ca="1">'Tarif FACADES &amp; CAISSONS'!$O93</f>
        <v>0</v>
      </c>
    </row>
    <row r="54" spans="1:71" ht="17.25" customHeight="1">
      <c r="A54" s="114" t="s">
        <v>1457</v>
      </c>
      <c r="B54" s="113">
        <f>IF(N3="chêne","ND",J11+D5+B14)</f>
        <v>117.45</v>
      </c>
      <c r="C54" s="315"/>
      <c r="D54" s="351">
        <f t="shared" si="2"/>
        <v>0</v>
      </c>
      <c r="E54" s="352"/>
      <c r="F54" s="63"/>
      <c r="G54" s="157"/>
      <c r="H54" s="348" t="s">
        <v>1116</v>
      </c>
      <c r="I54" s="348"/>
      <c r="J54" s="348"/>
      <c r="K54" s="348"/>
      <c r="L54" s="122">
        <f ca="1">IF(H54="choisissez vos tiroirs",0,VLOOKUP(H54,'Tarif Plan de trav &amp; Access'!U9:V20,2,FALSE))</f>
        <v>45.2</v>
      </c>
      <c r="M54" s="316"/>
      <c r="N54" s="128">
        <f t="shared" si="3"/>
        <v>0</v>
      </c>
      <c r="O54" s="133"/>
      <c r="P54" s="134"/>
      <c r="Q54" s="20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43"/>
      <c r="AJ54" s="143"/>
      <c r="AK54" s="143"/>
      <c r="AL54" s="143"/>
      <c r="AM54" s="143"/>
      <c r="AN54" s="143"/>
      <c r="AO54" s="143"/>
      <c r="AP54" s="143"/>
      <c r="AQ54" s="143"/>
      <c r="AR54" s="143">
        <f>IF($C53=0,0,$C53)</f>
        <v>0</v>
      </c>
      <c r="AS54" s="143">
        <f>IF($C53=0,0,$C53)</f>
        <v>0</v>
      </c>
      <c r="AT54" s="143"/>
      <c r="AU54" s="143"/>
      <c r="AV54" s="143"/>
      <c r="AW54" s="136"/>
      <c r="AX54" s="136"/>
      <c r="AY54" s="136"/>
      <c r="AZ54" s="136"/>
      <c r="BA54" s="136"/>
      <c r="BB54" s="136"/>
      <c r="BC54" s="136"/>
      <c r="BD54" s="136"/>
      <c r="BE54" s="136"/>
      <c r="BF54" s="136"/>
      <c r="BG54" s="136"/>
      <c r="BH54" s="136"/>
      <c r="BI54" s="136"/>
      <c r="BJ54" s="136"/>
      <c r="BP54" s="17">
        <f ca="1">'Tarif FACADES &amp; CAISSONS'!$O94</f>
        <v>0</v>
      </c>
    </row>
    <row r="55" spans="1:71" ht="17.25" customHeight="1">
      <c r="A55" s="114" t="s">
        <v>1456</v>
      </c>
      <c r="B55" s="113">
        <f>IF(N3="chêne","ND",J11+H5+B14+D13)</f>
        <v>152.15</v>
      </c>
      <c r="C55" s="315"/>
      <c r="D55" s="351">
        <f t="shared" si="2"/>
        <v>0</v>
      </c>
      <c r="E55" s="352"/>
      <c r="F55" s="63"/>
      <c r="G55" s="157"/>
      <c r="H55" s="348" t="s">
        <v>1115</v>
      </c>
      <c r="I55" s="348"/>
      <c r="J55" s="348"/>
      <c r="K55" s="348"/>
      <c r="L55" s="122">
        <f ca="1">IF(H55="choisissez vos tiroirs",0,VLOOKUP(H55,'Tarif Plan de trav &amp; Access'!U10:V21,2,FALSE))</f>
        <v>38.9</v>
      </c>
      <c r="M55" s="316"/>
      <c r="N55" s="128">
        <f t="shared" si="3"/>
        <v>0</v>
      </c>
      <c r="O55" s="133"/>
      <c r="P55" s="134"/>
      <c r="Q55" s="20"/>
      <c r="R55" s="55" t="s">
        <v>1341</v>
      </c>
      <c r="S55" s="18">
        <f>IF($C54=0,0,$C54)</f>
        <v>0</v>
      </c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18">
        <f>IF(C54=0,0,C54)</f>
        <v>0</v>
      </c>
      <c r="AI55" s="55"/>
      <c r="AJ55" s="55"/>
      <c r="AK55" s="55"/>
      <c r="AL55" s="55"/>
      <c r="AM55" s="55"/>
      <c r="AN55" s="55"/>
      <c r="AO55" s="55"/>
      <c r="AP55" s="55"/>
      <c r="AQ55" s="55"/>
      <c r="AR55" s="18">
        <f>IF($C54=0,0,$C54)</f>
        <v>0</v>
      </c>
      <c r="AS55" s="55"/>
      <c r="AT55" s="55"/>
      <c r="AU55" s="55"/>
      <c r="AV55" s="55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N55" s="266" t="s">
        <v>1073</v>
      </c>
      <c r="BP55" s="17">
        <f ca="1">'Tarif FACADES &amp; CAISSONS'!$O95</f>
        <v>0</v>
      </c>
    </row>
    <row r="56" spans="1:71" ht="17.25" customHeight="1">
      <c r="A56" s="114" t="s">
        <v>1455</v>
      </c>
      <c r="B56" s="162">
        <f>IF(N3="chêne","ND",J11+K5+D13+2*H13)</f>
        <v>246.6</v>
      </c>
      <c r="C56" s="315"/>
      <c r="D56" s="351">
        <f t="shared" si="2"/>
        <v>0</v>
      </c>
      <c r="E56" s="352"/>
      <c r="F56" s="61"/>
      <c r="G56" s="66"/>
      <c r="H56" s="348" t="s">
        <v>1117</v>
      </c>
      <c r="I56" s="348"/>
      <c r="J56" s="348"/>
      <c r="K56" s="348"/>
      <c r="L56" s="122">
        <f ca="1">IF(H56="choisissez vos tiroirs",0,VLOOKUP(H56,'Tarif Plan de trav &amp; Access'!U11:V22,2,FALSE))</f>
        <v>37.5</v>
      </c>
      <c r="M56" s="316"/>
      <c r="N56" s="128">
        <f t="shared" si="3"/>
        <v>0</v>
      </c>
      <c r="O56" s="133"/>
      <c r="P56" s="133"/>
      <c r="Q56" s="20"/>
      <c r="R56" s="55" t="s">
        <v>1341</v>
      </c>
      <c r="S56" s="18">
        <f>IF($C55=0,0,$C55)</f>
        <v>0</v>
      </c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18">
        <f>IF(C55=0,0,C55)</f>
        <v>0</v>
      </c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18">
        <f>IF($C55=0,0,$C55)</f>
        <v>0</v>
      </c>
      <c r="AT56" s="55"/>
      <c r="AU56" s="55"/>
      <c r="AV56" s="55"/>
      <c r="AW56" s="56"/>
      <c r="AX56" s="56"/>
      <c r="AY56" s="56"/>
      <c r="AZ56" s="56"/>
      <c r="BA56" s="56"/>
      <c r="BB56" s="55"/>
      <c r="BC56" s="18">
        <f>IF($C55=0,0,$C55)</f>
        <v>0</v>
      </c>
      <c r="BD56" s="55"/>
      <c r="BE56" s="55"/>
      <c r="BF56" s="55"/>
      <c r="BG56" s="55"/>
      <c r="BH56" s="55"/>
      <c r="BI56" s="56"/>
      <c r="BJ56" s="56"/>
      <c r="BP56" s="17">
        <f ca="1">'Tarif FACADES &amp; CAISSONS'!$O96</f>
        <v>0</v>
      </c>
    </row>
    <row r="57" spans="1:71" ht="17.25" customHeight="1" thickBot="1">
      <c r="A57" s="114" t="s">
        <v>1458</v>
      </c>
      <c r="B57" s="162">
        <f>IF(N3="chêne","ND",IF(O5="ND","ND",J11+O5+2*B14))</f>
        <v>145.9</v>
      </c>
      <c r="C57" s="315"/>
      <c r="D57" s="351">
        <f t="shared" si="2"/>
        <v>0</v>
      </c>
      <c r="E57" s="352"/>
      <c r="F57" s="63"/>
      <c r="G57" s="157"/>
      <c r="H57" s="348" t="s">
        <v>213</v>
      </c>
      <c r="I57" s="348"/>
      <c r="J57" s="348"/>
      <c r="K57" s="348"/>
      <c r="L57" s="122">
        <f ca="1">IF(H57="choisissez vos tiroirs",0,VLOOKUP(H57,'Tarif Plan de trav &amp; Access'!U12:V23,2,FALSE))</f>
        <v>0</v>
      </c>
      <c r="M57" s="316"/>
      <c r="N57" s="128">
        <f t="shared" si="3"/>
        <v>0</v>
      </c>
      <c r="O57" s="133"/>
      <c r="P57" s="133"/>
      <c r="Q57" s="20"/>
      <c r="R57" s="55" t="s">
        <v>1341</v>
      </c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18">
        <f>IF(C56=0,0,C56)</f>
        <v>0</v>
      </c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6"/>
      <c r="AT57" s="18">
        <f>IF($C56=0,0,$C56)</f>
        <v>0</v>
      </c>
      <c r="AU57" s="55"/>
      <c r="AV57" s="55"/>
      <c r="AW57" s="56"/>
      <c r="AX57" s="56"/>
      <c r="AY57" s="56"/>
      <c r="AZ57" s="56"/>
      <c r="BA57" s="56"/>
      <c r="BB57" s="55"/>
      <c r="BC57" s="18">
        <f>IF($C56=0,0,$C56)</f>
        <v>0</v>
      </c>
      <c r="BD57" s="55"/>
      <c r="BE57" s="55"/>
      <c r="BF57" s="18">
        <f>IF($C56=0,0,$C56*2)</f>
        <v>0</v>
      </c>
      <c r="BG57" s="55"/>
      <c r="BH57" s="55"/>
      <c r="BI57" s="56"/>
      <c r="BJ57" s="56"/>
      <c r="BN57" s="269" t="s">
        <v>1353</v>
      </c>
      <c r="BO57" s="267">
        <f ca="1">'Tarif FACADES &amp; CAISSONS'!AQ5</f>
        <v>17</v>
      </c>
      <c r="BP57" s="17">
        <f ca="1">'Tarif FACADES &amp; CAISSONS'!$O97</f>
        <v>0</v>
      </c>
    </row>
    <row r="58" spans="1:71" ht="17.25" customHeight="1" thickBot="1">
      <c r="A58" s="114"/>
      <c r="B58" s="113"/>
      <c r="C58" s="315"/>
      <c r="D58" s="351">
        <f t="shared" si="2"/>
        <v>0</v>
      </c>
      <c r="E58" s="352"/>
      <c r="F58" s="63"/>
      <c r="G58" s="157"/>
      <c r="H58" s="386"/>
      <c r="I58" s="387"/>
      <c r="J58" s="387"/>
      <c r="K58" s="387"/>
      <c r="L58" s="388"/>
      <c r="M58" s="316"/>
      <c r="N58" s="128"/>
      <c r="O58" s="133"/>
      <c r="P58" s="133"/>
      <c r="Q58" s="20"/>
      <c r="R58" s="55" t="s">
        <v>1341</v>
      </c>
      <c r="S58" s="18">
        <f>IF($C57=0,0,$C57)*2</f>
        <v>0</v>
      </c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18">
        <f>IF(C57=0,0,C57)</f>
        <v>0</v>
      </c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6"/>
      <c r="AX58" s="56"/>
      <c r="AY58" s="56"/>
      <c r="AZ58" s="56"/>
      <c r="BA58" s="18">
        <f>IF($C57=0,0,$C57)</f>
        <v>0</v>
      </c>
      <c r="BB58" s="56"/>
      <c r="BC58" s="56"/>
      <c r="BD58" s="56"/>
      <c r="BE58" s="56"/>
      <c r="BF58" s="56"/>
      <c r="BG58" s="56"/>
      <c r="BH58" s="56"/>
      <c r="BI58" s="56"/>
      <c r="BJ58" s="56"/>
      <c r="BN58" s="269" t="s">
        <v>1355</v>
      </c>
      <c r="BO58" s="267">
        <f ca="1">'Tarif FACADES &amp; CAISSONS'!AQ7</f>
        <v>35.5</v>
      </c>
    </row>
    <row r="59" spans="1:71" ht="17.25" customHeight="1" thickBot="1">
      <c r="A59" s="194" t="s">
        <v>1081</v>
      </c>
      <c r="B59" s="195"/>
      <c r="C59" s="317"/>
      <c r="D59" s="349">
        <f>SUM(D60:E83)</f>
        <v>0</v>
      </c>
      <c r="E59" s="350">
        <f>SUM(D60:E83)</f>
        <v>0</v>
      </c>
      <c r="F59" s="63"/>
      <c r="G59" s="157"/>
      <c r="H59" s="348"/>
      <c r="I59" s="348"/>
      <c r="J59" s="348"/>
      <c r="K59" s="348"/>
      <c r="L59" s="122"/>
      <c r="M59" s="316"/>
      <c r="N59" s="128">
        <f>IF(L59="ND",0,M59*L59)</f>
        <v>0</v>
      </c>
      <c r="O59" s="133"/>
      <c r="P59" s="133"/>
      <c r="Q59" s="20"/>
      <c r="R59" s="55"/>
      <c r="S59" s="55">
        <f>IF($C58=0,0,$C58)</f>
        <v>0</v>
      </c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>
        <f>IF(C58=0,0,C58)</f>
        <v>0</v>
      </c>
      <c r="AI59" s="55"/>
      <c r="AJ59" s="55"/>
      <c r="AK59" s="55">
        <f>IF($C58=0,0,$C58)</f>
        <v>0</v>
      </c>
      <c r="AL59" s="55">
        <f>IF($C58=0,0,$C58)</f>
        <v>0</v>
      </c>
      <c r="AM59" s="55"/>
      <c r="AN59" s="55"/>
      <c r="AO59" s="55"/>
      <c r="AP59" s="55"/>
      <c r="AQ59" s="55"/>
      <c r="AR59" s="55">
        <f>IF($C58=0,0,$C58)</f>
        <v>0</v>
      </c>
      <c r="AS59" s="55">
        <f>IF($C58=0,0,$C58)</f>
        <v>0</v>
      </c>
      <c r="AT59" s="55"/>
      <c r="AU59" s="55"/>
      <c r="AV59" s="55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N59" s="269" t="s">
        <v>1359</v>
      </c>
      <c r="BO59" s="267">
        <f ca="1">'Tarif FACADES &amp; CAISSONS'!AQ14</f>
        <v>52.5</v>
      </c>
    </row>
    <row r="60" spans="1:71" ht="17.25" customHeight="1">
      <c r="A60" s="114" t="s">
        <v>1432</v>
      </c>
      <c r="B60" s="113">
        <f>K9+B5+B14</f>
        <v>74.45</v>
      </c>
      <c r="C60" s="315"/>
      <c r="D60" s="351">
        <f t="shared" ref="D60:D68" si="5">IF(B60="ND",0,C60*B60)</f>
        <v>0</v>
      </c>
      <c r="E60" s="352"/>
      <c r="F60" s="63"/>
      <c r="G60" s="157"/>
      <c r="H60" s="348"/>
      <c r="I60" s="348"/>
      <c r="J60" s="348"/>
      <c r="K60" s="348"/>
      <c r="L60" s="122"/>
      <c r="M60" s="316"/>
      <c r="N60" s="128">
        <f t="shared" si="3"/>
        <v>0</v>
      </c>
      <c r="O60" s="133"/>
      <c r="P60" s="133"/>
      <c r="Q60" s="20"/>
      <c r="R60" s="143"/>
      <c r="S60" s="143">
        <f>IF($C59=0,0,$C59)</f>
        <v>0</v>
      </c>
      <c r="T60" s="143"/>
      <c r="U60" s="143"/>
      <c r="V60" s="143"/>
      <c r="W60" s="143"/>
      <c r="X60" s="143"/>
      <c r="Y60" s="143"/>
      <c r="Z60" s="143"/>
      <c r="AA60" s="143"/>
      <c r="AB60" s="143"/>
      <c r="AC60" s="143"/>
      <c r="AD60" s="143"/>
      <c r="AE60" s="143"/>
      <c r="AF60" s="143"/>
      <c r="AG60" s="143"/>
      <c r="AH60" s="143"/>
      <c r="AI60" s="143"/>
      <c r="AJ60" s="143"/>
      <c r="AK60" s="143">
        <f>IF($C59=0,0,$C59)</f>
        <v>0</v>
      </c>
      <c r="AL60" s="143">
        <f>IF($C59=0,0,$C59)</f>
        <v>0</v>
      </c>
      <c r="AM60" s="143"/>
      <c r="AN60" s="143"/>
      <c r="AO60" s="143"/>
      <c r="AP60" s="143"/>
      <c r="AQ60" s="143"/>
      <c r="AR60" s="143">
        <f>IF($C59=0,0,$C59)</f>
        <v>0</v>
      </c>
      <c r="AS60" s="143">
        <f>IF($C59=0,0,$C59)</f>
        <v>0</v>
      </c>
      <c r="AT60" s="143"/>
      <c r="AU60" s="143"/>
      <c r="AV60" s="143"/>
      <c r="AW60" s="136"/>
      <c r="AX60" s="136"/>
      <c r="AY60" s="136"/>
      <c r="AZ60" s="136"/>
      <c r="BA60" s="136"/>
      <c r="BB60" s="136"/>
      <c r="BC60" s="136"/>
      <c r="BD60" s="136"/>
      <c r="BE60" s="136"/>
      <c r="BF60" s="136"/>
      <c r="BG60" s="136"/>
      <c r="BH60" s="136"/>
      <c r="BI60" s="136"/>
      <c r="BJ60" s="136"/>
      <c r="BN60" s="269" t="s">
        <v>1360</v>
      </c>
      <c r="BO60" s="267">
        <f ca="1">'Tarif FACADES &amp; CAISSONS'!AQ15</f>
        <v>66</v>
      </c>
    </row>
    <row r="61" spans="1:71" ht="17.25" customHeight="1">
      <c r="A61" s="114" t="s">
        <v>1433</v>
      </c>
      <c r="B61" s="162">
        <f>K9+C5+B13+B14</f>
        <v>105.15</v>
      </c>
      <c r="C61" s="315"/>
      <c r="D61" s="351">
        <f t="shared" si="5"/>
        <v>0</v>
      </c>
      <c r="E61" s="352"/>
      <c r="F61" s="63"/>
      <c r="G61" s="157"/>
      <c r="H61" s="348"/>
      <c r="I61" s="348"/>
      <c r="J61" s="348"/>
      <c r="K61" s="348"/>
      <c r="L61" s="122"/>
      <c r="M61" s="316"/>
      <c r="N61" s="128">
        <f t="shared" si="3"/>
        <v>0</v>
      </c>
      <c r="O61" s="133"/>
      <c r="P61" s="133"/>
      <c r="Q61" s="20"/>
      <c r="R61" s="55" t="s">
        <v>1341</v>
      </c>
      <c r="S61" s="18">
        <f>IF($C60=0,0,$C60)</f>
        <v>0</v>
      </c>
      <c r="T61" s="55"/>
      <c r="U61" s="18">
        <f>IF(C60=0,0,C60)</f>
        <v>0</v>
      </c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18">
        <f>IF($C60=0,0,$C60)</f>
        <v>0</v>
      </c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N61" s="269" t="s">
        <v>1361</v>
      </c>
      <c r="BO61" s="267">
        <f ca="1">'Tarif FACADES &amp; CAISSONS'!AQ16</f>
        <v>21</v>
      </c>
    </row>
    <row r="62" spans="1:71" ht="17.25" customHeight="1">
      <c r="A62" s="115" t="s">
        <v>1626</v>
      </c>
      <c r="B62" s="164">
        <f ca="1">K9+B5+'Tarif FACADES &amp; CAISSONS'!$S$65</f>
        <v>107.4</v>
      </c>
      <c r="C62" s="315"/>
      <c r="D62" s="351">
        <f t="shared" si="5"/>
        <v>0</v>
      </c>
      <c r="E62" s="351"/>
      <c r="F62" s="62"/>
      <c r="G62" s="156"/>
      <c r="H62" s="348"/>
      <c r="I62" s="348"/>
      <c r="J62" s="348"/>
      <c r="K62" s="348"/>
      <c r="L62" s="122"/>
      <c r="M62" s="316"/>
      <c r="N62" s="128">
        <f t="shared" si="3"/>
        <v>0</v>
      </c>
      <c r="O62" s="133"/>
      <c r="P62" s="133"/>
      <c r="Q62" s="20"/>
      <c r="R62" s="55" t="s">
        <v>1341</v>
      </c>
      <c r="S62" s="18">
        <f>IF($C61=0,0,$C61)</f>
        <v>0</v>
      </c>
      <c r="T62" s="55"/>
      <c r="U62" s="18">
        <f>IF(C61=0,0,C61)</f>
        <v>0</v>
      </c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18">
        <f>IF($C61=0,0,$C61)</f>
        <v>0</v>
      </c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6"/>
      <c r="AX62" s="56"/>
      <c r="AY62" s="56"/>
      <c r="AZ62" s="56"/>
      <c r="BA62" s="56"/>
      <c r="BB62" s="18">
        <f>IF($C61=0,0,$C61)</f>
        <v>0</v>
      </c>
      <c r="BC62" s="55"/>
      <c r="BD62" s="55"/>
      <c r="BE62" s="55"/>
      <c r="BF62" s="55"/>
      <c r="BG62" s="55"/>
      <c r="BH62" s="55"/>
      <c r="BI62" s="56"/>
      <c r="BJ62" s="56"/>
      <c r="BN62" s="269" t="s">
        <v>1362</v>
      </c>
      <c r="BO62" s="267">
        <f ca="1">'Tarif FACADES &amp; CAISSONS'!AQ17</f>
        <v>15</v>
      </c>
      <c r="BS62" s="18"/>
    </row>
    <row r="63" spans="1:71" ht="17.25" customHeight="1">
      <c r="A63" s="117" t="s">
        <v>1435</v>
      </c>
      <c r="B63" s="118">
        <f>L9+D5+B14</f>
        <v>90.95</v>
      </c>
      <c r="C63" s="318"/>
      <c r="D63" s="364">
        <f t="shared" si="5"/>
        <v>0</v>
      </c>
      <c r="E63" s="365"/>
      <c r="F63" s="63"/>
      <c r="G63" s="157"/>
      <c r="H63" s="348"/>
      <c r="I63" s="348"/>
      <c r="J63" s="348"/>
      <c r="K63" s="348"/>
      <c r="L63" s="122"/>
      <c r="M63" s="316"/>
      <c r="N63" s="128">
        <f t="shared" si="3"/>
        <v>0</v>
      </c>
      <c r="O63" s="133"/>
      <c r="P63" s="133"/>
      <c r="Q63" s="20"/>
      <c r="R63" s="55" t="s">
        <v>1341</v>
      </c>
      <c r="S63" s="55"/>
      <c r="T63" s="55"/>
      <c r="U63" s="18">
        <f>IF(C62=0,0,C62)</f>
        <v>0</v>
      </c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18">
        <f>IF($C62=0,0,$C62)</f>
        <v>0</v>
      </c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18">
        <f>IF($C62=0,0,$C62)</f>
        <v>0</v>
      </c>
      <c r="BJ63" s="56"/>
      <c r="BN63" s="269" t="s">
        <v>1364</v>
      </c>
      <c r="BO63" s="267">
        <f ca="1">'Tarif FACADES &amp; CAISSONS'!AQ19</f>
        <v>17.5</v>
      </c>
      <c r="BS63" s="18"/>
    </row>
    <row r="64" spans="1:71" ht="17.25" customHeight="1" thickBot="1">
      <c r="A64" s="114" t="s">
        <v>1436</v>
      </c>
      <c r="B64" s="113">
        <f>L9+H5+B14</f>
        <v>94.45</v>
      </c>
      <c r="C64" s="315"/>
      <c r="D64" s="351">
        <f t="shared" si="5"/>
        <v>0</v>
      </c>
      <c r="E64" s="352"/>
      <c r="F64" s="63"/>
      <c r="G64" s="157"/>
      <c r="H64" s="348"/>
      <c r="I64" s="348"/>
      <c r="J64" s="348"/>
      <c r="K64" s="348"/>
      <c r="L64" s="122"/>
      <c r="M64" s="316"/>
      <c r="N64" s="128">
        <f t="shared" si="3"/>
        <v>0</v>
      </c>
      <c r="O64" s="133"/>
      <c r="P64" s="133"/>
      <c r="Q64" s="21"/>
      <c r="R64" s="55" t="s">
        <v>1341</v>
      </c>
      <c r="S64" s="18">
        <f>IF($C63=0,0,$C63)</f>
        <v>0</v>
      </c>
      <c r="T64" s="55"/>
      <c r="U64" s="55"/>
      <c r="V64" s="18">
        <f t="shared" ref="V64:V69" si="6">IF($C63=0,0,$C63)</f>
        <v>0</v>
      </c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18">
        <f>IF($C63=0,0,$C63)</f>
        <v>0</v>
      </c>
      <c r="AS64" s="55"/>
      <c r="AT64" s="55"/>
      <c r="AU64" s="55"/>
      <c r="AV64" s="55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N64" s="269" t="s">
        <v>1368</v>
      </c>
      <c r="BO64" s="267">
        <f ca="1">'Tarif FACADES &amp; CAISSONS'!AQ22</f>
        <v>8.3000000000000007</v>
      </c>
      <c r="BS64" s="18"/>
    </row>
    <row r="65" spans="1:62" ht="17.25" customHeight="1">
      <c r="A65" s="114" t="s">
        <v>1434</v>
      </c>
      <c r="B65" s="113">
        <f>L9+H5+B14+D13</f>
        <v>125.65</v>
      </c>
      <c r="C65" s="315"/>
      <c r="D65" s="351">
        <f t="shared" si="5"/>
        <v>0</v>
      </c>
      <c r="E65" s="352"/>
      <c r="F65" s="63"/>
      <c r="G65" s="157"/>
      <c r="H65" s="345"/>
      <c r="I65" s="346"/>
      <c r="J65" s="346"/>
      <c r="K65" s="346"/>
      <c r="L65" s="347"/>
      <c r="M65" s="316"/>
      <c r="N65" s="128"/>
      <c r="O65" s="133"/>
      <c r="P65" s="134"/>
      <c r="Q65" s="19"/>
      <c r="R65" s="55" t="s">
        <v>1341</v>
      </c>
      <c r="S65" s="18">
        <f>IF($C64=0,0,$C64)</f>
        <v>0</v>
      </c>
      <c r="T65" s="55"/>
      <c r="U65" s="55"/>
      <c r="V65" s="18">
        <f t="shared" si="6"/>
        <v>0</v>
      </c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18">
        <f>IF($C64=0,0,$C64)</f>
        <v>0</v>
      </c>
      <c r="AT65" s="55"/>
      <c r="AU65" s="55"/>
      <c r="AV65" s="55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</row>
    <row r="66" spans="1:62" ht="17.25" customHeight="1">
      <c r="A66" s="114" t="s">
        <v>1437</v>
      </c>
      <c r="B66" s="162">
        <f>L9+K5+D13+2*H13</f>
        <v>220.1</v>
      </c>
      <c r="C66" s="315"/>
      <c r="D66" s="351">
        <f t="shared" si="5"/>
        <v>0</v>
      </c>
      <c r="E66" s="352"/>
      <c r="F66" s="63"/>
      <c r="G66" s="157"/>
      <c r="H66" s="348"/>
      <c r="I66" s="348"/>
      <c r="J66" s="348"/>
      <c r="K66" s="348"/>
      <c r="L66" s="122"/>
      <c r="M66" s="316"/>
      <c r="N66" s="128">
        <f t="shared" si="3"/>
        <v>0</v>
      </c>
      <c r="O66" s="133"/>
      <c r="P66" s="134"/>
      <c r="Q66" s="19"/>
      <c r="R66" s="55" t="s">
        <v>1341</v>
      </c>
      <c r="S66" s="18">
        <f>IF($C65=0,0,$C65)</f>
        <v>0</v>
      </c>
      <c r="T66" s="55"/>
      <c r="U66" s="55"/>
      <c r="V66" s="18">
        <f t="shared" si="6"/>
        <v>0</v>
      </c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18">
        <f>IF($C65=0,0,$C65)</f>
        <v>0</v>
      </c>
      <c r="AT66" s="55"/>
      <c r="AU66" s="55"/>
      <c r="AV66" s="55"/>
      <c r="AW66" s="56"/>
      <c r="AX66" s="56"/>
      <c r="AY66" s="56"/>
      <c r="AZ66" s="56"/>
      <c r="BA66" s="56"/>
      <c r="BB66" s="55"/>
      <c r="BC66" s="18">
        <f>IF($C65=0,0,$C65)</f>
        <v>0</v>
      </c>
      <c r="BD66" s="56"/>
      <c r="BE66" s="56"/>
      <c r="BF66" s="56"/>
      <c r="BG66" s="56"/>
      <c r="BH66" s="56"/>
      <c r="BI66" s="56"/>
      <c r="BJ66" s="56"/>
    </row>
    <row r="67" spans="1:62" ht="17.25" customHeight="1">
      <c r="A67" s="114" t="s">
        <v>1379</v>
      </c>
      <c r="B67" s="162">
        <f>L9+N11</f>
        <v>54.8</v>
      </c>
      <c r="C67" s="315"/>
      <c r="D67" s="351">
        <f t="shared" si="5"/>
        <v>0</v>
      </c>
      <c r="E67" s="352"/>
      <c r="F67" s="63"/>
      <c r="G67" s="157"/>
      <c r="H67" s="348"/>
      <c r="I67" s="348"/>
      <c r="J67" s="348"/>
      <c r="K67" s="348"/>
      <c r="L67" s="122"/>
      <c r="M67" s="316"/>
      <c r="N67" s="128">
        <f t="shared" si="3"/>
        <v>0</v>
      </c>
      <c r="O67" s="133"/>
      <c r="P67" s="134"/>
      <c r="Q67" s="19"/>
      <c r="R67" s="55" t="s">
        <v>1341</v>
      </c>
      <c r="S67" s="55"/>
      <c r="T67" s="55"/>
      <c r="U67" s="55"/>
      <c r="V67" s="18">
        <f t="shared" si="6"/>
        <v>0</v>
      </c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18">
        <f>IF($C66=0,0,$C66)</f>
        <v>0</v>
      </c>
      <c r="AU67" s="55"/>
      <c r="AV67" s="55"/>
      <c r="AW67" s="56"/>
      <c r="AX67" s="56"/>
      <c r="AY67" s="56"/>
      <c r="AZ67" s="56"/>
      <c r="BA67" s="56"/>
      <c r="BB67" s="56"/>
      <c r="BC67" s="18">
        <f>IF($C66=0,0,$C66)</f>
        <v>0</v>
      </c>
      <c r="BD67" s="55"/>
      <c r="BE67" s="56"/>
      <c r="BF67" s="18">
        <f>IF($C66=0,0,$C66)*2</f>
        <v>0</v>
      </c>
      <c r="BG67" s="56"/>
      <c r="BH67" s="56"/>
      <c r="BI67" s="56"/>
      <c r="BJ67" s="56"/>
    </row>
    <row r="68" spans="1:62" ht="17.25" customHeight="1" thickBot="1">
      <c r="A68" s="254" t="s">
        <v>1627</v>
      </c>
      <c r="B68" s="165">
        <f ca="1">L9+D5+'Tarif FACADES &amp; CAISSONS'!$S$66</f>
        <v>142.5</v>
      </c>
      <c r="C68" s="320"/>
      <c r="D68" s="389">
        <f t="shared" si="5"/>
        <v>0</v>
      </c>
      <c r="E68" s="389"/>
      <c r="F68" s="63"/>
      <c r="G68" s="157"/>
      <c r="H68" s="348"/>
      <c r="I68" s="348"/>
      <c r="J68" s="348"/>
      <c r="K68" s="348"/>
      <c r="L68" s="122"/>
      <c r="M68" s="316"/>
      <c r="N68" s="128">
        <f t="shared" si="3"/>
        <v>0</v>
      </c>
      <c r="O68" s="133"/>
      <c r="P68" s="134"/>
      <c r="Q68" s="19"/>
      <c r="R68" s="55" t="s">
        <v>1341</v>
      </c>
      <c r="S68" s="55"/>
      <c r="T68" s="55"/>
      <c r="U68" s="55"/>
      <c r="V68" s="18">
        <f t="shared" si="6"/>
        <v>0</v>
      </c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</row>
    <row r="69" spans="1:62" ht="17.25" customHeight="1" thickBot="1">
      <c r="A69" s="114" t="s">
        <v>1438</v>
      </c>
      <c r="B69" s="162">
        <f>M9+2*B5+2*B14</f>
        <v>128.4</v>
      </c>
      <c r="C69" s="315"/>
      <c r="D69" s="351">
        <f t="shared" ref="D69:D80" si="7">IF(B69="ND",0,C69*B69)</f>
        <v>0</v>
      </c>
      <c r="E69" s="352"/>
      <c r="F69" s="63"/>
      <c r="G69" s="157"/>
      <c r="H69" s="348"/>
      <c r="I69" s="348"/>
      <c r="J69" s="348"/>
      <c r="K69" s="348"/>
      <c r="L69" s="122"/>
      <c r="M69" s="316"/>
      <c r="N69" s="128">
        <f t="shared" si="3"/>
        <v>0</v>
      </c>
      <c r="O69" s="133"/>
      <c r="P69" s="134"/>
      <c r="Q69" s="19"/>
      <c r="R69" s="55" t="s">
        <v>1341</v>
      </c>
      <c r="S69" s="55"/>
      <c r="T69" s="55"/>
      <c r="U69" s="55"/>
      <c r="V69" s="18">
        <f t="shared" si="6"/>
        <v>0</v>
      </c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18">
        <f>IF($C68=0,0,$C68)</f>
        <v>0</v>
      </c>
      <c r="AS69" s="55"/>
      <c r="AT69" s="55"/>
      <c r="AU69" s="55"/>
      <c r="AV69" s="55"/>
      <c r="AW69" s="56"/>
      <c r="AX69" s="56"/>
      <c r="AY69" s="56"/>
      <c r="AZ69" s="56"/>
      <c r="BA69" s="56"/>
      <c r="BB69" s="56"/>
      <c r="BC69" s="56"/>
      <c r="BD69" s="56"/>
      <c r="BE69" s="56"/>
      <c r="BF69" s="18">
        <f>IF($C68=0,0,$C68)</f>
        <v>0</v>
      </c>
      <c r="BG69" s="56"/>
      <c r="BH69" s="56"/>
      <c r="BI69" s="56"/>
      <c r="BJ69" s="18">
        <f>IF($C68=0,0,$C68)</f>
        <v>0</v>
      </c>
    </row>
    <row r="70" spans="1:62" ht="17.25" customHeight="1">
      <c r="A70" s="114" t="s">
        <v>563</v>
      </c>
      <c r="B70" s="162">
        <f>M9+2*C5+2*B14</f>
        <v>139.4</v>
      </c>
      <c r="C70" s="315"/>
      <c r="D70" s="351">
        <f t="shared" si="7"/>
        <v>0</v>
      </c>
      <c r="E70" s="352"/>
      <c r="F70" s="63"/>
      <c r="G70" s="59"/>
      <c r="H70" s="345"/>
      <c r="I70" s="346"/>
      <c r="J70" s="346"/>
      <c r="K70" s="346"/>
      <c r="L70" s="347"/>
      <c r="M70" s="316"/>
      <c r="N70" s="128"/>
      <c r="O70" s="133"/>
      <c r="P70" s="134"/>
      <c r="Q70" s="19"/>
      <c r="R70" s="55" t="s">
        <v>1341</v>
      </c>
      <c r="S70" s="18">
        <f>IF($C69=0,0,$C69*2)</f>
        <v>0</v>
      </c>
      <c r="T70" s="55"/>
      <c r="U70" s="55"/>
      <c r="V70" s="55"/>
      <c r="W70" s="18">
        <f>IF($C69=0,0,$C69)</f>
        <v>0</v>
      </c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18">
        <f>IF($C69=0,0,$C69)*2</f>
        <v>0</v>
      </c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6"/>
      <c r="BC70" s="56"/>
      <c r="BD70" s="56"/>
      <c r="BE70" s="56"/>
      <c r="BF70" s="56"/>
      <c r="BG70" s="56"/>
      <c r="BH70" s="56"/>
      <c r="BI70" s="56"/>
      <c r="BJ70" s="56"/>
    </row>
    <row r="71" spans="1:62" ht="17.25" customHeight="1">
      <c r="A71" s="114" t="s">
        <v>564</v>
      </c>
      <c r="B71" s="162">
        <f>M9+2*C5+2*B14+2*B13</f>
        <v>189.8</v>
      </c>
      <c r="C71" s="315"/>
      <c r="D71" s="351">
        <f t="shared" si="7"/>
        <v>0</v>
      </c>
      <c r="E71" s="352"/>
      <c r="F71" s="63"/>
      <c r="G71" s="59"/>
      <c r="H71" s="348"/>
      <c r="I71" s="348"/>
      <c r="J71" s="348"/>
      <c r="K71" s="348"/>
      <c r="L71" s="122"/>
      <c r="M71" s="316"/>
      <c r="N71" s="128">
        <f t="shared" si="3"/>
        <v>0</v>
      </c>
      <c r="O71" s="133"/>
      <c r="P71" s="134"/>
      <c r="Q71" s="19"/>
      <c r="R71" s="55" t="s">
        <v>1341</v>
      </c>
      <c r="S71" s="18">
        <f>IF($C69=0,0,$C69*2)</f>
        <v>0</v>
      </c>
      <c r="T71" s="55"/>
      <c r="U71" s="55"/>
      <c r="V71" s="55"/>
      <c r="W71" s="18">
        <f>IF($C70=0,0,$C70)</f>
        <v>0</v>
      </c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18">
        <f>IF($C70=0,0,$C70)*2</f>
        <v>0</v>
      </c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6"/>
      <c r="BC71" s="56"/>
      <c r="BD71" s="56"/>
      <c r="BE71" s="56"/>
      <c r="BF71" s="56"/>
      <c r="BG71" s="56"/>
      <c r="BH71" s="56"/>
      <c r="BI71" s="56"/>
      <c r="BJ71" s="56"/>
    </row>
    <row r="72" spans="1:62" ht="17.25" customHeight="1" thickBot="1">
      <c r="A72" s="119" t="s">
        <v>565</v>
      </c>
      <c r="B72" s="167">
        <f>IF(L5="ND","ND",M9+L5+I13+2*J13)</f>
        <v>249.3</v>
      </c>
      <c r="C72" s="320"/>
      <c r="D72" s="389">
        <f t="shared" si="7"/>
        <v>0</v>
      </c>
      <c r="E72" s="389"/>
      <c r="F72" s="63"/>
      <c r="G72" s="59"/>
      <c r="H72" s="348"/>
      <c r="I72" s="348"/>
      <c r="J72" s="348"/>
      <c r="K72" s="348"/>
      <c r="L72" s="122"/>
      <c r="M72" s="316"/>
      <c r="N72" s="128">
        <f>IF(L72="ND",0,M72*L72)</f>
        <v>0</v>
      </c>
      <c r="O72" s="133"/>
      <c r="P72" s="134"/>
      <c r="Q72" s="19"/>
      <c r="R72" s="55" t="s">
        <v>1341</v>
      </c>
      <c r="S72" s="18">
        <f>IF($C70=0,0,$C70*2)</f>
        <v>0</v>
      </c>
      <c r="T72" s="55"/>
      <c r="U72" s="55"/>
      <c r="V72" s="55"/>
      <c r="W72" s="18">
        <f>IF($C71=0,0,$C71)</f>
        <v>0</v>
      </c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18">
        <f>IF($C71=0,0,$C71)*2</f>
        <v>0</v>
      </c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18">
        <f>IF($C71=0,0,$C71)*2</f>
        <v>0</v>
      </c>
      <c r="BC72" s="56"/>
      <c r="BD72" s="56"/>
      <c r="BE72" s="56"/>
      <c r="BF72" s="56"/>
      <c r="BG72" s="56"/>
      <c r="BH72" s="56"/>
      <c r="BI72" s="56"/>
      <c r="BJ72" s="56"/>
    </row>
    <row r="73" spans="1:62" ht="17.25" customHeight="1">
      <c r="A73" s="117" t="s">
        <v>566</v>
      </c>
      <c r="B73" s="166">
        <f>N9+2*D5+2*B14</f>
        <v>167.4</v>
      </c>
      <c r="C73" s="318"/>
      <c r="D73" s="364">
        <f t="shared" si="7"/>
        <v>0</v>
      </c>
      <c r="E73" s="365"/>
      <c r="F73" s="63"/>
      <c r="G73" s="59"/>
      <c r="H73" s="348"/>
      <c r="I73" s="348"/>
      <c r="J73" s="348"/>
      <c r="K73" s="348"/>
      <c r="L73" s="122"/>
      <c r="M73" s="316"/>
      <c r="N73" s="128">
        <f>IF(L73="ND",0,M73*L73)</f>
        <v>0</v>
      </c>
      <c r="O73" s="133"/>
      <c r="P73" s="133"/>
      <c r="Q73" s="20"/>
      <c r="R73" s="55" t="s">
        <v>1341</v>
      </c>
      <c r="S73" s="55"/>
      <c r="T73" s="55"/>
      <c r="U73" s="55"/>
      <c r="V73" s="55"/>
      <c r="W73" s="18">
        <f>IF($C72=0,0,$C72)</f>
        <v>0</v>
      </c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18">
        <f>IF($C72=0,0,$C72)</f>
        <v>0</v>
      </c>
      <c r="AX73" s="55"/>
      <c r="AY73" s="55"/>
      <c r="AZ73" s="55"/>
      <c r="BA73" s="55"/>
      <c r="BB73" s="56"/>
      <c r="BC73" s="56"/>
      <c r="BD73" s="18">
        <f>IF($C72=0,0,$C72)</f>
        <v>0</v>
      </c>
      <c r="BE73" s="56"/>
      <c r="BF73" s="55"/>
      <c r="BG73" s="18">
        <f>IF($C72=0,0,$C72)*2</f>
        <v>0</v>
      </c>
      <c r="BH73" s="18"/>
      <c r="BI73" s="56"/>
      <c r="BJ73" s="56"/>
    </row>
    <row r="74" spans="1:62" ht="17.25" customHeight="1">
      <c r="A74" s="114" t="s">
        <v>567</v>
      </c>
      <c r="B74" s="162">
        <f>N9+2*H5+2*B14+2*D13</f>
        <v>236.8</v>
      </c>
      <c r="C74" s="315"/>
      <c r="D74" s="351">
        <f t="shared" si="7"/>
        <v>0</v>
      </c>
      <c r="E74" s="352"/>
      <c r="F74" s="63"/>
      <c r="G74" s="59"/>
      <c r="H74" s="348"/>
      <c r="I74" s="348"/>
      <c r="J74" s="348"/>
      <c r="K74" s="348"/>
      <c r="L74" s="122"/>
      <c r="M74" s="316"/>
      <c r="N74" s="128">
        <f>IF(L74="ND",0,M74*L74)</f>
        <v>0</v>
      </c>
      <c r="O74" s="133"/>
      <c r="P74" s="133"/>
      <c r="Q74" s="20"/>
      <c r="R74" s="55" t="s">
        <v>1341</v>
      </c>
      <c r="S74" s="18">
        <f>IF($C73=0,0,$C73)*2</f>
        <v>0</v>
      </c>
      <c r="T74" s="55"/>
      <c r="U74" s="55"/>
      <c r="V74" s="55"/>
      <c r="W74" s="55"/>
      <c r="X74" s="55"/>
      <c r="Y74" s="18">
        <f t="shared" ref="Y74:Y79" si="8">IF($C73=0,0,$C73)</f>
        <v>0</v>
      </c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18">
        <f>IF($C73=0,0,$C73)*2</f>
        <v>0</v>
      </c>
      <c r="AS74" s="55"/>
      <c r="AT74" s="55"/>
      <c r="AU74" s="55"/>
      <c r="AV74" s="55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</row>
    <row r="75" spans="1:62" ht="17.25" customHeight="1" thickBot="1">
      <c r="A75" s="114" t="s">
        <v>1478</v>
      </c>
      <c r="B75" s="162">
        <f>N9+3*B5+3*B14</f>
        <v>188.85</v>
      </c>
      <c r="C75" s="315"/>
      <c r="D75" s="351">
        <f t="shared" si="7"/>
        <v>0</v>
      </c>
      <c r="E75" s="352"/>
      <c r="F75" s="63"/>
      <c r="G75" s="59"/>
      <c r="H75" s="348"/>
      <c r="I75" s="348"/>
      <c r="J75" s="348"/>
      <c r="K75" s="348"/>
      <c r="L75" s="122"/>
      <c r="M75" s="316"/>
      <c r="N75" s="128">
        <f>IF(L75="ND",0,M75*L75)</f>
        <v>0</v>
      </c>
      <c r="O75" s="133"/>
      <c r="P75" s="133"/>
      <c r="Q75" s="20"/>
      <c r="R75" s="55" t="s">
        <v>1341</v>
      </c>
      <c r="S75" s="18">
        <f>IF($C74=0,0,$C74)*2</f>
        <v>0</v>
      </c>
      <c r="T75" s="55"/>
      <c r="U75" s="55"/>
      <c r="V75" s="55"/>
      <c r="W75" s="55"/>
      <c r="X75" s="55"/>
      <c r="Y75" s="18">
        <f t="shared" si="8"/>
        <v>0</v>
      </c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18">
        <f>IF($C74=0,0,$C74)*2</f>
        <v>0</v>
      </c>
      <c r="AT75" s="55"/>
      <c r="AU75" s="55"/>
      <c r="AV75" s="55"/>
      <c r="AW75" s="56"/>
      <c r="AX75" s="56"/>
      <c r="AY75" s="56"/>
      <c r="AZ75" s="56"/>
      <c r="BA75" s="56"/>
      <c r="BB75" s="56"/>
      <c r="BC75" s="18">
        <f>IF($C74=0,0,$C74)*2</f>
        <v>0</v>
      </c>
      <c r="BD75" s="56"/>
      <c r="BE75" s="56"/>
      <c r="BF75" s="56"/>
      <c r="BG75" s="56"/>
      <c r="BH75" s="56"/>
      <c r="BI75" s="56"/>
      <c r="BJ75" s="56"/>
    </row>
    <row r="76" spans="1:62" ht="17.25" customHeight="1" thickBot="1">
      <c r="A76" s="114" t="s">
        <v>1781</v>
      </c>
      <c r="B76" s="162">
        <f>N9+3*C5+3*B14+3*B13</f>
        <v>280.95</v>
      </c>
      <c r="C76" s="315"/>
      <c r="D76" s="351">
        <f t="shared" si="7"/>
        <v>0</v>
      </c>
      <c r="E76" s="352"/>
      <c r="F76" s="64"/>
      <c r="G76" s="60"/>
      <c r="H76" s="295" t="s">
        <v>1053</v>
      </c>
      <c r="I76" s="295"/>
      <c r="J76" s="295"/>
      <c r="K76" s="295"/>
      <c r="L76" s="194" t="s">
        <v>236</v>
      </c>
      <c r="M76" s="330" t="s">
        <v>1056</v>
      </c>
      <c r="N76" s="194" t="s">
        <v>1738</v>
      </c>
      <c r="O76" s="133"/>
      <c r="P76" s="133"/>
      <c r="Q76" s="20"/>
      <c r="R76" s="55" t="s">
        <v>1341</v>
      </c>
      <c r="S76" s="18">
        <f>IF($C75=0,0,$C75)*3</f>
        <v>0</v>
      </c>
      <c r="T76" s="55"/>
      <c r="U76" s="55"/>
      <c r="V76" s="55"/>
      <c r="W76" s="55"/>
      <c r="X76" s="55"/>
      <c r="Y76" s="18">
        <f t="shared" si="8"/>
        <v>0</v>
      </c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18">
        <f>IF($C75=0,0,$C75)*3</f>
        <v>0</v>
      </c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</row>
    <row r="77" spans="1:62" ht="17.25" customHeight="1">
      <c r="A77" s="114" t="s">
        <v>1782</v>
      </c>
      <c r="B77" s="162">
        <f>N9+2*H5+2*B14</f>
        <v>174.4</v>
      </c>
      <c r="C77" s="315"/>
      <c r="D77" s="351">
        <f t="shared" si="7"/>
        <v>0</v>
      </c>
      <c r="E77" s="352"/>
      <c r="F77" s="62"/>
      <c r="G77" s="58"/>
      <c r="H77" s="343"/>
      <c r="I77" s="343"/>
      <c r="J77" s="343"/>
      <c r="K77" s="343"/>
      <c r="L77" s="147"/>
      <c r="M77" s="332"/>
      <c r="N77" s="128">
        <f>M77*L77</f>
        <v>0</v>
      </c>
      <c r="O77" s="133"/>
      <c r="P77" s="133"/>
      <c r="Q77" s="20"/>
      <c r="R77" s="55" t="s">
        <v>1341</v>
      </c>
      <c r="S77" s="18">
        <f>IF($C76=0,0,$C76)*3</f>
        <v>0</v>
      </c>
      <c r="T77" s="55"/>
      <c r="U77" s="55"/>
      <c r="V77" s="55"/>
      <c r="W77" s="55"/>
      <c r="X77" s="55"/>
      <c r="Y77" s="18">
        <f t="shared" si="8"/>
        <v>0</v>
      </c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18">
        <f>IF($C76=0,0,$C76)*3</f>
        <v>0</v>
      </c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6"/>
      <c r="AX77" s="56"/>
      <c r="AY77" s="56"/>
      <c r="AZ77" s="56"/>
      <c r="BA77" s="56"/>
      <c r="BB77" s="18">
        <f>IF($C76=0,0,$C76)*3</f>
        <v>0</v>
      </c>
      <c r="BC77" s="56"/>
      <c r="BD77" s="56"/>
      <c r="BE77" s="56"/>
      <c r="BF77" s="56"/>
      <c r="BG77" s="56"/>
      <c r="BH77" s="56"/>
      <c r="BI77" s="56"/>
      <c r="BJ77" s="56"/>
    </row>
    <row r="78" spans="1:62" ht="17.25" customHeight="1" thickBot="1">
      <c r="A78" s="119" t="s">
        <v>1783</v>
      </c>
      <c r="B78" s="167">
        <f>N9+3*C5+3*B14</f>
        <v>205.35</v>
      </c>
      <c r="C78" s="320"/>
      <c r="D78" s="389">
        <f t="shared" si="7"/>
        <v>0</v>
      </c>
      <c r="E78" s="390"/>
      <c r="F78" s="65"/>
      <c r="G78" s="60"/>
      <c r="H78" s="343"/>
      <c r="I78" s="343"/>
      <c r="J78" s="343"/>
      <c r="K78" s="343"/>
      <c r="L78" s="147"/>
      <c r="M78" s="332"/>
      <c r="N78" s="128">
        <f t="shared" ref="N78:N87" si="9">M78*L78</f>
        <v>0</v>
      </c>
      <c r="O78" s="133"/>
      <c r="P78" s="133"/>
      <c r="Q78" s="20"/>
      <c r="R78" s="55" t="s">
        <v>1341</v>
      </c>
      <c r="S78" s="18">
        <f>IF($C77=0,0,$C77)*2</f>
        <v>0</v>
      </c>
      <c r="T78" s="55"/>
      <c r="U78" s="55"/>
      <c r="V78" s="55"/>
      <c r="W78" s="55"/>
      <c r="X78" s="55"/>
      <c r="Y78" s="18">
        <f t="shared" si="8"/>
        <v>0</v>
      </c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6"/>
      <c r="AL78" s="55"/>
      <c r="AM78" s="55"/>
      <c r="AN78" s="55"/>
      <c r="AO78" s="55"/>
      <c r="AP78" s="55"/>
      <c r="AQ78" s="55"/>
      <c r="AR78" s="55"/>
      <c r="AS78" s="18">
        <f>IF($C77=0,0,$C77)*2</f>
        <v>0</v>
      </c>
      <c r="AT78" s="55"/>
      <c r="AU78" s="55"/>
      <c r="AV78" s="55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</row>
    <row r="79" spans="1:62" ht="17.25" customHeight="1">
      <c r="A79" s="117" t="s">
        <v>1477</v>
      </c>
      <c r="B79" s="166">
        <f>O9+B5+B14</f>
        <v>103.45</v>
      </c>
      <c r="C79" s="318"/>
      <c r="D79" s="364">
        <f t="shared" si="7"/>
        <v>0</v>
      </c>
      <c r="E79" s="365"/>
      <c r="F79" s="65"/>
      <c r="G79" s="60"/>
      <c r="H79" s="343"/>
      <c r="I79" s="343"/>
      <c r="J79" s="343"/>
      <c r="K79" s="343"/>
      <c r="L79" s="147"/>
      <c r="M79" s="332"/>
      <c r="N79" s="128">
        <f t="shared" si="9"/>
        <v>0</v>
      </c>
      <c r="O79" s="133"/>
      <c r="P79" s="133"/>
      <c r="Q79" s="20"/>
      <c r="R79" s="55" t="s">
        <v>1341</v>
      </c>
      <c r="S79" s="18">
        <f>IF($C78=0,0,$C78)*3</f>
        <v>0</v>
      </c>
      <c r="T79" s="55"/>
      <c r="U79" s="55"/>
      <c r="V79" s="55"/>
      <c r="W79" s="55"/>
      <c r="X79" s="55"/>
      <c r="Y79" s="18">
        <f t="shared" si="8"/>
        <v>0</v>
      </c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18">
        <f>IF($C78=0,0,$C78)*3</f>
        <v>0</v>
      </c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</row>
    <row r="80" spans="1:62" ht="17.25" customHeight="1">
      <c r="A80" s="114" t="s">
        <v>1784</v>
      </c>
      <c r="B80" s="162">
        <f>O9+C5+B14+B13</f>
        <v>134.15</v>
      </c>
      <c r="C80" s="318"/>
      <c r="D80" s="351">
        <f t="shared" si="7"/>
        <v>0</v>
      </c>
      <c r="E80" s="352"/>
      <c r="F80" s="65"/>
      <c r="G80" s="60"/>
      <c r="H80" s="343"/>
      <c r="I80" s="343"/>
      <c r="J80" s="343"/>
      <c r="K80" s="343"/>
      <c r="L80" s="147"/>
      <c r="M80" s="332"/>
      <c r="N80" s="128">
        <f t="shared" si="9"/>
        <v>0</v>
      </c>
      <c r="O80" s="133"/>
      <c r="P80" s="133"/>
      <c r="Q80" s="20"/>
      <c r="R80" s="55" t="s">
        <v>1341</v>
      </c>
      <c r="S80" s="18">
        <f>IF($C79=0,0,$C79)</f>
        <v>0</v>
      </c>
      <c r="T80" s="55"/>
      <c r="U80" s="55"/>
      <c r="V80" s="55"/>
      <c r="W80" s="55"/>
      <c r="X80" s="18">
        <f>IF($C79=0,0,$C79)</f>
        <v>0</v>
      </c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18">
        <f>IF($C79=0,0,$C79)</f>
        <v>0</v>
      </c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</row>
    <row r="81" spans="1:62" ht="17.25" customHeight="1">
      <c r="A81" s="114" t="s">
        <v>1785</v>
      </c>
      <c r="B81" s="162">
        <f>N9+D5+B14</f>
        <v>115.95</v>
      </c>
      <c r="C81" s="318"/>
      <c r="D81" s="351">
        <f>IF(B81="ND",0,C81*B81)</f>
        <v>0</v>
      </c>
      <c r="E81" s="352"/>
      <c r="F81" s="65"/>
      <c r="G81" s="60"/>
      <c r="H81" s="343"/>
      <c r="I81" s="343"/>
      <c r="J81" s="343"/>
      <c r="K81" s="343"/>
      <c r="L81" s="147"/>
      <c r="M81" s="332"/>
      <c r="N81" s="128">
        <f t="shared" si="9"/>
        <v>0</v>
      </c>
      <c r="O81" s="133"/>
      <c r="P81" s="133"/>
      <c r="Q81" s="20"/>
      <c r="R81" s="55" t="s">
        <v>1341</v>
      </c>
      <c r="S81" s="18">
        <f>IF($C80=0,0,$C80)</f>
        <v>0</v>
      </c>
      <c r="T81" s="55"/>
      <c r="U81" s="55"/>
      <c r="V81" s="55"/>
      <c r="W81" s="55"/>
      <c r="X81" s="18">
        <f>IF($C80=0,0,$C80)</f>
        <v>0</v>
      </c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18">
        <f>IF($C80=0,0,$C80)</f>
        <v>0</v>
      </c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6"/>
      <c r="AX81" s="56"/>
      <c r="AY81" s="56"/>
      <c r="AZ81" s="56"/>
      <c r="BA81" s="56"/>
      <c r="BB81" s="18">
        <f>IF($C80=0,0,$C80)</f>
        <v>0</v>
      </c>
      <c r="BC81" s="56"/>
      <c r="BD81" s="56"/>
      <c r="BE81" s="56"/>
      <c r="BF81" s="56"/>
      <c r="BG81" s="56"/>
      <c r="BH81" s="56"/>
      <c r="BI81" s="56"/>
      <c r="BJ81" s="56"/>
    </row>
    <row r="82" spans="1:62" ht="17.25" customHeight="1">
      <c r="A82" s="114" t="s">
        <v>1786</v>
      </c>
      <c r="B82" s="162">
        <f>N9+H5+B14+D13</f>
        <v>150.65</v>
      </c>
      <c r="C82" s="318"/>
      <c r="D82" s="351">
        <f>IF(B82="ND",0,C82*B82)</f>
        <v>0</v>
      </c>
      <c r="E82" s="352"/>
      <c r="F82" s="65"/>
      <c r="G82" s="60"/>
      <c r="H82" s="343"/>
      <c r="I82" s="343"/>
      <c r="J82" s="343"/>
      <c r="K82" s="343"/>
      <c r="L82" s="147"/>
      <c r="M82" s="332"/>
      <c r="N82" s="128">
        <f t="shared" si="9"/>
        <v>0</v>
      </c>
      <c r="O82" s="133"/>
      <c r="P82" s="133"/>
      <c r="Q82" s="20"/>
      <c r="R82" s="55" t="s">
        <v>1341</v>
      </c>
      <c r="S82" s="18">
        <f>IF($C81=0,0,$C81)</f>
        <v>0</v>
      </c>
      <c r="T82" s="55"/>
      <c r="U82" s="55"/>
      <c r="V82" s="55"/>
      <c r="W82" s="55"/>
      <c r="X82" s="55"/>
      <c r="Y82" s="18">
        <f>IF($C81=0,0,$C81)</f>
        <v>0</v>
      </c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18">
        <f>IF($C81=0,0,$C81)</f>
        <v>0</v>
      </c>
      <c r="AS82" s="55"/>
      <c r="AT82" s="55"/>
      <c r="AU82" s="55"/>
      <c r="AV82" s="55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</row>
    <row r="83" spans="1:62" ht="17.25" customHeight="1" thickBot="1">
      <c r="A83" s="120" t="s">
        <v>1733</v>
      </c>
      <c r="B83" s="164">
        <f ca="1">IF(P5="ND","ND",P5+P12+'Tarif FACADES &amp; CAISSONS'!S67)</f>
        <v>78</v>
      </c>
      <c r="C83" s="318"/>
      <c r="D83" s="351">
        <f>IF(B83="ND",0,C83*B83)</f>
        <v>0</v>
      </c>
      <c r="E83" s="352"/>
      <c r="F83" s="63"/>
      <c r="G83" s="59"/>
      <c r="H83" s="343"/>
      <c r="I83" s="343"/>
      <c r="J83" s="343"/>
      <c r="K83" s="343"/>
      <c r="L83" s="147"/>
      <c r="M83" s="332"/>
      <c r="N83" s="128">
        <f t="shared" si="9"/>
        <v>0</v>
      </c>
      <c r="O83" s="133"/>
      <c r="P83" s="133"/>
      <c r="Q83" s="20"/>
      <c r="R83" s="55" t="s">
        <v>1341</v>
      </c>
      <c r="S83" s="18">
        <f>IF($C82=0,0,$C82)</f>
        <v>0</v>
      </c>
      <c r="T83" s="55"/>
      <c r="U83" s="55"/>
      <c r="V83" s="55"/>
      <c r="W83" s="55"/>
      <c r="X83" s="55"/>
      <c r="Y83" s="18">
        <f>IF($C82=0,0,$C82)</f>
        <v>0</v>
      </c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18">
        <f>IF($C82=0,0,$C82)</f>
        <v>0</v>
      </c>
      <c r="AT83" s="55"/>
      <c r="AU83" s="55"/>
      <c r="AV83" s="55"/>
      <c r="AW83" s="56"/>
      <c r="AX83" s="56"/>
      <c r="AY83" s="56"/>
      <c r="AZ83" s="56"/>
      <c r="BA83" s="56"/>
      <c r="BB83" s="56"/>
      <c r="BC83" s="18">
        <f>IF($C82=0,0,$C82)</f>
        <v>0</v>
      </c>
      <c r="BD83" s="56"/>
      <c r="BE83" s="56"/>
      <c r="BF83" s="56"/>
      <c r="BG83" s="56"/>
      <c r="BH83" s="56"/>
      <c r="BI83" s="56"/>
      <c r="BJ83" s="56"/>
    </row>
    <row r="84" spans="1:62" ht="17.25" customHeight="1" thickBot="1">
      <c r="A84" s="194" t="s">
        <v>1734</v>
      </c>
      <c r="B84" s="195"/>
      <c r="C84" s="317"/>
      <c r="D84" s="349">
        <f>SUM(D85:E87)</f>
        <v>0</v>
      </c>
      <c r="E84" s="350">
        <f>SUM(D85:E87)</f>
        <v>0</v>
      </c>
      <c r="F84" s="63"/>
      <c r="G84" s="59"/>
      <c r="H84" s="343"/>
      <c r="I84" s="343"/>
      <c r="J84" s="343"/>
      <c r="K84" s="343"/>
      <c r="L84" s="147"/>
      <c r="M84" s="332"/>
      <c r="N84" s="128">
        <f t="shared" si="9"/>
        <v>0</v>
      </c>
      <c r="O84" s="133"/>
      <c r="P84" s="133"/>
      <c r="Q84" s="20"/>
      <c r="R84" s="55"/>
      <c r="S84" s="55"/>
      <c r="T84" s="55"/>
      <c r="U84" s="55"/>
      <c r="V84" s="55"/>
      <c r="W84" s="55"/>
      <c r="X84" s="55"/>
      <c r="Y84" s="55" t="e">
        <f>IF(#REF!=0,0,#REF!)</f>
        <v>#REF!</v>
      </c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</row>
    <row r="85" spans="1:62" ht="17.25" customHeight="1">
      <c r="A85" s="114" t="s">
        <v>237</v>
      </c>
      <c r="B85" s="116">
        <f>IF(N5="ND",0,N5)</f>
        <v>30.5</v>
      </c>
      <c r="C85" s="315"/>
      <c r="D85" s="351">
        <f>IF(B85="ND",0,C85*B85)</f>
        <v>0</v>
      </c>
      <c r="E85" s="352"/>
      <c r="F85" s="63"/>
      <c r="G85" s="59"/>
      <c r="H85" s="343"/>
      <c r="I85" s="343"/>
      <c r="J85" s="343"/>
      <c r="K85" s="343"/>
      <c r="L85" s="147"/>
      <c r="M85" s="332"/>
      <c r="N85" s="128">
        <f t="shared" si="9"/>
        <v>0</v>
      </c>
      <c r="O85" s="133"/>
      <c r="P85" s="133"/>
      <c r="Q85" s="21"/>
      <c r="R85" s="55" t="s">
        <v>1341</v>
      </c>
      <c r="S85" s="55"/>
      <c r="T85" s="18">
        <f>IF($C83=0,0,$C83)</f>
        <v>0</v>
      </c>
      <c r="U85" s="56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18">
        <f>IF($C83=0,0,$C83)</f>
        <v>0</v>
      </c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18">
        <f>IF($C83=0,0,$C83)</f>
        <v>0</v>
      </c>
      <c r="BI85" s="56"/>
      <c r="BJ85" s="56"/>
    </row>
    <row r="86" spans="1:62" ht="17.25" customHeight="1">
      <c r="A86" s="114" t="s">
        <v>238</v>
      </c>
      <c r="B86" s="116">
        <f>IF(M5="ND",0,M5)</f>
        <v>21.5</v>
      </c>
      <c r="C86" s="315"/>
      <c r="D86" s="351">
        <f>IF(B86="ND",0,C86*B86)</f>
        <v>0</v>
      </c>
      <c r="E86" s="352"/>
      <c r="F86" s="66"/>
      <c r="G86" s="66"/>
      <c r="H86" s="343"/>
      <c r="I86" s="343"/>
      <c r="J86" s="343"/>
      <c r="K86" s="343"/>
      <c r="L86" s="147"/>
      <c r="M86" s="332"/>
      <c r="N86" s="128">
        <f t="shared" si="9"/>
        <v>0</v>
      </c>
      <c r="O86" s="133"/>
      <c r="P86" s="133"/>
      <c r="Q86" s="21"/>
      <c r="R86" s="143"/>
      <c r="S86" s="143"/>
      <c r="T86" s="143"/>
      <c r="U86" s="136"/>
      <c r="V86" s="143"/>
      <c r="W86" s="143"/>
      <c r="X86" s="143"/>
      <c r="Y86" s="143"/>
      <c r="Z86" s="143"/>
      <c r="AA86" s="143"/>
      <c r="AB86" s="143"/>
      <c r="AC86" s="143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  <c r="AO86" s="143"/>
      <c r="AP86" s="143"/>
      <c r="AQ86" s="143"/>
      <c r="AR86" s="143"/>
      <c r="AS86" s="143"/>
      <c r="AT86" s="143"/>
      <c r="AU86" s="143"/>
      <c r="AV86" s="143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</row>
    <row r="87" spans="1:62" ht="17.25" customHeight="1">
      <c r="A87" s="114" t="s">
        <v>553</v>
      </c>
      <c r="B87" s="116">
        <f>IF(E5="ND",0,E5)</f>
        <v>66.5</v>
      </c>
      <c r="C87" s="315"/>
      <c r="D87" s="351">
        <f>IF(B87="ND",0,C87*B87)</f>
        <v>0</v>
      </c>
      <c r="E87" s="351"/>
      <c r="F87" s="82"/>
      <c r="G87" s="82"/>
      <c r="H87" s="343"/>
      <c r="I87" s="343"/>
      <c r="J87" s="343"/>
      <c r="K87" s="343"/>
      <c r="L87" s="147"/>
      <c r="M87" s="332"/>
      <c r="N87" s="128">
        <f t="shared" si="9"/>
        <v>0</v>
      </c>
      <c r="O87" s="133"/>
      <c r="P87" s="133"/>
      <c r="Q87" s="21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</row>
    <row r="88" spans="1:62" ht="13.5" customHeight="1" thickBot="1">
      <c r="A88" s="87"/>
      <c r="B88" s="88"/>
      <c r="C88" s="321"/>
      <c r="D88" s="89"/>
      <c r="E88" s="89"/>
      <c r="F88" s="90"/>
      <c r="G88" s="90"/>
      <c r="H88" s="81"/>
      <c r="I88" s="81"/>
      <c r="J88" s="81"/>
      <c r="K88" s="82"/>
      <c r="L88" s="82"/>
      <c r="M88" s="333"/>
      <c r="N88" s="85"/>
      <c r="O88" s="133"/>
      <c r="P88" s="133"/>
      <c r="Q88" s="20"/>
      <c r="R88" s="55"/>
      <c r="S88" s="55"/>
      <c r="T88" s="55"/>
      <c r="U88" s="56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</row>
    <row r="89" spans="1:62" ht="13.5" customHeight="1" thickBot="1">
      <c r="A89" s="353" t="str">
        <f>B1</f>
        <v>METRO</v>
      </c>
      <c r="B89" s="354"/>
      <c r="C89" s="354"/>
      <c r="D89" s="354"/>
      <c r="E89" s="355"/>
      <c r="F89" s="90"/>
      <c r="G89" s="90"/>
      <c r="H89" s="198"/>
      <c r="I89" s="199"/>
      <c r="J89" s="200"/>
      <c r="K89" s="200"/>
      <c r="L89" s="200"/>
      <c r="M89" s="334"/>
      <c r="N89" s="297">
        <f>SUM(N77:N88)</f>
        <v>0</v>
      </c>
      <c r="O89" s="135"/>
      <c r="P89" s="135"/>
      <c r="Q89" s="19"/>
      <c r="R89" s="55"/>
      <c r="S89" s="55"/>
      <c r="T89" s="55"/>
      <c r="U89" s="56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</row>
    <row r="90" spans="1:62" ht="12.75" customHeight="1">
      <c r="A90" s="356"/>
      <c r="B90" s="357"/>
      <c r="C90" s="357"/>
      <c r="D90" s="357"/>
      <c r="E90" s="358"/>
      <c r="F90" s="90"/>
      <c r="G90" s="90"/>
      <c r="H90" s="201" t="s">
        <v>1737</v>
      </c>
      <c r="I90" s="202"/>
      <c r="J90" s="203"/>
      <c r="K90" s="200"/>
      <c r="L90" s="344">
        <f ca="1">NOW()</f>
        <v>42806.609666782409</v>
      </c>
      <c r="M90" s="344"/>
      <c r="N90" s="204"/>
      <c r="O90" s="135"/>
      <c r="P90" s="135"/>
      <c r="Q90" s="19"/>
      <c r="R90" s="18"/>
      <c r="S90" s="18">
        <f>IF($C88=0,0,$C88)</f>
        <v>0</v>
      </c>
      <c r="T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</row>
    <row r="91" spans="1:62" ht="12.75" customHeight="1">
      <c r="A91" s="356"/>
      <c r="B91" s="357"/>
      <c r="C91" s="357"/>
      <c r="D91" s="357"/>
      <c r="E91" s="358"/>
      <c r="F91" s="90"/>
      <c r="G91" s="90"/>
      <c r="H91" s="205"/>
      <c r="I91" s="206"/>
      <c r="J91" s="207"/>
      <c r="K91" s="208"/>
      <c r="L91" s="208"/>
      <c r="M91" s="335"/>
      <c r="N91" s="209"/>
      <c r="O91" s="135"/>
      <c r="P91" s="135"/>
      <c r="Q91" s="18"/>
      <c r="R91" s="19"/>
      <c r="S91" s="93">
        <f>SUM(S23:S89)</f>
        <v>0</v>
      </c>
      <c r="T91" s="93">
        <f t="shared" ref="T91:BJ91" si="10">SUM(T23:T89)</f>
        <v>0</v>
      </c>
      <c r="U91" s="93">
        <f t="shared" si="10"/>
        <v>0</v>
      </c>
      <c r="V91" s="93">
        <f t="shared" si="10"/>
        <v>0</v>
      </c>
      <c r="W91" s="93">
        <f t="shared" si="10"/>
        <v>0</v>
      </c>
      <c r="X91" s="93">
        <f t="shared" si="10"/>
        <v>0</v>
      </c>
      <c r="Y91" s="93" t="e">
        <f t="shared" si="10"/>
        <v>#REF!</v>
      </c>
      <c r="Z91" s="93">
        <f t="shared" si="10"/>
        <v>0</v>
      </c>
      <c r="AA91" s="93">
        <f t="shared" si="10"/>
        <v>0</v>
      </c>
      <c r="AB91" s="93">
        <f t="shared" si="10"/>
        <v>0</v>
      </c>
      <c r="AC91" s="93">
        <f t="shared" si="10"/>
        <v>0</v>
      </c>
      <c r="AD91" s="93">
        <f t="shared" si="10"/>
        <v>0</v>
      </c>
      <c r="AE91" s="93">
        <f t="shared" si="10"/>
        <v>0</v>
      </c>
      <c r="AF91" s="93">
        <f t="shared" si="10"/>
        <v>0</v>
      </c>
      <c r="AG91" s="93">
        <f t="shared" si="10"/>
        <v>0</v>
      </c>
      <c r="AH91" s="93">
        <f t="shared" si="10"/>
        <v>0</v>
      </c>
      <c r="AI91" s="93">
        <f t="shared" si="10"/>
        <v>0</v>
      </c>
      <c r="AJ91" s="93">
        <f t="shared" si="10"/>
        <v>0</v>
      </c>
      <c r="AK91" s="93">
        <f t="shared" si="10"/>
        <v>0</v>
      </c>
      <c r="AL91" s="93">
        <f t="shared" si="10"/>
        <v>0</v>
      </c>
      <c r="AM91" s="93">
        <f t="shared" si="10"/>
        <v>0</v>
      </c>
      <c r="AN91" s="93">
        <f t="shared" si="10"/>
        <v>0</v>
      </c>
      <c r="AO91" s="93">
        <f t="shared" si="10"/>
        <v>0</v>
      </c>
      <c r="AP91" s="93">
        <f t="shared" si="10"/>
        <v>0</v>
      </c>
      <c r="AQ91" s="93">
        <f t="shared" si="10"/>
        <v>0</v>
      </c>
      <c r="AR91" s="93">
        <f t="shared" si="10"/>
        <v>0</v>
      </c>
      <c r="AS91" s="93">
        <f t="shared" si="10"/>
        <v>0</v>
      </c>
      <c r="AT91" s="93">
        <f t="shared" si="10"/>
        <v>0</v>
      </c>
      <c r="AU91" s="93">
        <f t="shared" si="10"/>
        <v>0</v>
      </c>
      <c r="AV91" s="93">
        <f t="shared" si="10"/>
        <v>0</v>
      </c>
      <c r="AW91" s="93">
        <f t="shared" si="10"/>
        <v>0</v>
      </c>
      <c r="AX91" s="93">
        <f t="shared" si="10"/>
        <v>0</v>
      </c>
      <c r="AY91" s="93">
        <f t="shared" si="10"/>
        <v>0</v>
      </c>
      <c r="AZ91" s="93">
        <f t="shared" si="10"/>
        <v>0</v>
      </c>
      <c r="BA91" s="93">
        <f t="shared" si="10"/>
        <v>0</v>
      </c>
      <c r="BB91" s="93">
        <f t="shared" si="10"/>
        <v>0</v>
      </c>
      <c r="BC91" s="93">
        <f t="shared" si="10"/>
        <v>0</v>
      </c>
      <c r="BD91" s="93">
        <f t="shared" si="10"/>
        <v>0</v>
      </c>
      <c r="BE91" s="93">
        <f t="shared" si="10"/>
        <v>0</v>
      </c>
      <c r="BF91" s="93">
        <f t="shared" si="10"/>
        <v>0</v>
      </c>
      <c r="BG91" s="93">
        <f t="shared" si="10"/>
        <v>0</v>
      </c>
      <c r="BH91" s="93">
        <f t="shared" si="10"/>
        <v>0</v>
      </c>
      <c r="BI91" s="93">
        <f t="shared" si="10"/>
        <v>0</v>
      </c>
      <c r="BJ91" s="93">
        <f t="shared" si="10"/>
        <v>0</v>
      </c>
    </row>
    <row r="92" spans="1:62" ht="13.5" customHeight="1">
      <c r="A92" s="356"/>
      <c r="B92" s="357"/>
      <c r="C92" s="357"/>
      <c r="D92" s="357"/>
      <c r="E92" s="358"/>
      <c r="F92" s="90"/>
      <c r="G92" s="90"/>
      <c r="H92" s="205"/>
      <c r="I92" s="206"/>
      <c r="J92" s="206"/>
      <c r="K92" s="206"/>
      <c r="L92" s="206"/>
      <c r="M92" s="335"/>
      <c r="N92" s="209"/>
      <c r="O92" s="136"/>
      <c r="P92" s="136"/>
      <c r="Q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44">
        <v>15</v>
      </c>
      <c r="AK92" s="426">
        <v>40</v>
      </c>
      <c r="AL92" s="427"/>
      <c r="AM92" s="427"/>
      <c r="AN92" s="428"/>
      <c r="AO92" s="434" t="s">
        <v>1444</v>
      </c>
      <c r="AP92" s="491"/>
      <c r="AQ92" s="435"/>
      <c r="AR92" s="426">
        <v>60</v>
      </c>
      <c r="AS92" s="427"/>
      <c r="AT92" s="427"/>
      <c r="AU92" s="428"/>
      <c r="AV92" s="97"/>
      <c r="AW92" s="426">
        <v>80</v>
      </c>
      <c r="AX92" s="427"/>
      <c r="AY92" s="427"/>
      <c r="AZ92" s="428"/>
      <c r="BA92" s="97">
        <v>130</v>
      </c>
      <c r="BB92" s="426" t="s">
        <v>1023</v>
      </c>
      <c r="BC92" s="427"/>
      <c r="BD92" s="428"/>
      <c r="BE92" s="98" t="s">
        <v>1024</v>
      </c>
      <c r="BF92" s="98"/>
      <c r="BG92" s="98"/>
      <c r="BH92" s="494" t="s">
        <v>1347</v>
      </c>
      <c r="BI92" s="495"/>
      <c r="BJ92" s="495"/>
    </row>
    <row r="93" spans="1:62" ht="13.5" customHeight="1">
      <c r="A93" s="356"/>
      <c r="B93" s="357"/>
      <c r="C93" s="357"/>
      <c r="D93" s="357"/>
      <c r="E93" s="358"/>
      <c r="F93" s="90"/>
      <c r="G93" s="90"/>
      <c r="H93" s="292"/>
      <c r="I93" s="293"/>
      <c r="J93" s="293"/>
      <c r="K93" s="461">
        <f>$E$22+$D$36+$D$45+$D$53+$D$59+$D$84+$N$22+$N$89</f>
        <v>18</v>
      </c>
      <c r="L93" s="462"/>
      <c r="M93" s="462"/>
      <c r="N93" s="463"/>
      <c r="O93" s="136"/>
      <c r="P93" s="136"/>
      <c r="Q93" s="18"/>
      <c r="R93" s="19"/>
      <c r="S93" s="18"/>
      <c r="T93" s="459" t="s">
        <v>1025</v>
      </c>
      <c r="U93" s="459" t="s">
        <v>1066</v>
      </c>
      <c r="V93" s="459" t="s">
        <v>1067</v>
      </c>
      <c r="W93" s="459" t="s">
        <v>316</v>
      </c>
      <c r="X93" s="459" t="s">
        <v>1247</v>
      </c>
      <c r="Y93" s="459" t="s">
        <v>317</v>
      </c>
      <c r="Z93" s="459" t="s">
        <v>1061</v>
      </c>
      <c r="AA93" s="459" t="s">
        <v>1062</v>
      </c>
      <c r="AB93" s="459" t="s">
        <v>1063</v>
      </c>
      <c r="AC93" s="459" t="s">
        <v>1248</v>
      </c>
      <c r="AD93" s="459" t="s">
        <v>1249</v>
      </c>
      <c r="AE93" s="459" t="s">
        <v>1250</v>
      </c>
      <c r="AF93" s="459" t="s">
        <v>1251</v>
      </c>
      <c r="AG93" s="459" t="s">
        <v>1252</v>
      </c>
      <c r="AH93" s="459" t="s">
        <v>1253</v>
      </c>
      <c r="AI93" s="459" t="s">
        <v>1739</v>
      </c>
      <c r="AJ93" s="459" t="s">
        <v>1633</v>
      </c>
      <c r="AK93" s="459" t="s">
        <v>1633</v>
      </c>
      <c r="AL93" s="459" t="s">
        <v>1442</v>
      </c>
      <c r="AM93" s="459" t="s">
        <v>1443</v>
      </c>
      <c r="AN93" s="459" t="s">
        <v>1329</v>
      </c>
      <c r="AO93" s="459" t="s">
        <v>1633</v>
      </c>
      <c r="AP93" s="459" t="s">
        <v>1443</v>
      </c>
      <c r="AQ93" s="459" t="s">
        <v>1329</v>
      </c>
      <c r="AR93" s="459" t="s">
        <v>1633</v>
      </c>
      <c r="AS93" s="459" t="s">
        <v>1442</v>
      </c>
      <c r="AT93" s="459" t="s">
        <v>1586</v>
      </c>
      <c r="AU93" s="459" t="s">
        <v>1443</v>
      </c>
      <c r="AV93" s="459" t="s">
        <v>1329</v>
      </c>
      <c r="AW93" s="459" t="s">
        <v>1586</v>
      </c>
      <c r="AX93" s="459" t="s">
        <v>334</v>
      </c>
      <c r="AY93" s="459" t="s">
        <v>335</v>
      </c>
      <c r="AZ93" s="459" t="s">
        <v>1332</v>
      </c>
      <c r="BA93" s="459" t="s">
        <v>1633</v>
      </c>
      <c r="BB93" s="459">
        <v>40</v>
      </c>
      <c r="BC93" s="459">
        <v>60</v>
      </c>
      <c r="BD93" s="459">
        <v>80</v>
      </c>
      <c r="BE93" s="459"/>
      <c r="BF93" s="459">
        <v>60</v>
      </c>
      <c r="BG93" s="459">
        <v>80</v>
      </c>
      <c r="BH93" s="459">
        <v>15</v>
      </c>
      <c r="BI93" s="459">
        <v>40</v>
      </c>
      <c r="BJ93" s="459">
        <v>60</v>
      </c>
    </row>
    <row r="94" spans="1:62" ht="23.25" customHeight="1">
      <c r="A94" s="137" t="s">
        <v>1567</v>
      </c>
      <c r="B94" s="99" t="str">
        <f>J2</f>
        <v>OUI</v>
      </c>
      <c r="C94" s="168"/>
      <c r="D94" s="129"/>
      <c r="E94" s="130"/>
      <c r="F94" s="90"/>
      <c r="G94" s="90"/>
      <c r="H94" s="292"/>
      <c r="I94" s="293"/>
      <c r="J94" s="293"/>
      <c r="K94" s="464"/>
      <c r="L94" s="465"/>
      <c r="M94" s="465"/>
      <c r="N94" s="466"/>
      <c r="O94" s="136"/>
      <c r="P94" s="136"/>
      <c r="Q94" s="18"/>
      <c r="R94" s="18"/>
      <c r="S94" s="54" t="s">
        <v>1451</v>
      </c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  <c r="AS94" s="460"/>
      <c r="AT94" s="460"/>
      <c r="AU94" s="460"/>
      <c r="AV94" s="460"/>
      <c r="AW94" s="460"/>
      <c r="AX94" s="460"/>
      <c r="AY94" s="460"/>
      <c r="AZ94" s="460"/>
      <c r="BA94" s="460"/>
      <c r="BB94" s="460"/>
      <c r="BC94" s="460"/>
      <c r="BD94" s="460"/>
      <c r="BE94" s="460"/>
      <c r="BF94" s="460"/>
      <c r="BG94" s="460"/>
      <c r="BH94" s="460"/>
      <c r="BI94" s="460"/>
      <c r="BJ94" s="460"/>
    </row>
    <row r="95" spans="1:62" ht="21.75" customHeight="1">
      <c r="A95" s="137" t="s">
        <v>1046</v>
      </c>
      <c r="B95" s="99" t="str">
        <f>D2</f>
        <v>OUI</v>
      </c>
      <c r="C95" s="304"/>
      <c r="D95" s="131"/>
      <c r="E95" s="132"/>
      <c r="F95" s="90"/>
      <c r="G95" s="90"/>
      <c r="H95" s="294"/>
      <c r="I95" s="224"/>
      <c r="J95" s="224"/>
      <c r="K95" s="224"/>
      <c r="L95" s="224"/>
      <c r="M95" s="336"/>
      <c r="N95" s="225"/>
      <c r="O95" s="136"/>
      <c r="P95" s="136"/>
      <c r="Q95" s="18"/>
      <c r="R95" s="18"/>
      <c r="S95" s="18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  <c r="AS95" s="460"/>
      <c r="AT95" s="460"/>
      <c r="AU95" s="460"/>
      <c r="AV95" s="460"/>
      <c r="AW95" s="460"/>
      <c r="AX95" s="460"/>
      <c r="AY95" s="460"/>
      <c r="AZ95" s="460"/>
      <c r="BA95" s="460"/>
      <c r="BB95" s="460"/>
      <c r="BC95" s="460"/>
      <c r="BD95" s="460"/>
      <c r="BE95" s="460"/>
      <c r="BF95" s="460"/>
      <c r="BG95" s="460"/>
      <c r="BH95" s="460"/>
      <c r="BI95" s="460"/>
      <c r="BJ95" s="460"/>
    </row>
    <row r="96" spans="1:62" ht="21.75" customHeight="1">
      <c r="A96" s="137" t="s">
        <v>1330</v>
      </c>
      <c r="B96" s="99" t="str">
        <f>N2</f>
        <v>NON</v>
      </c>
      <c r="C96" s="304"/>
      <c r="D96" s="131"/>
      <c r="E96" s="132"/>
      <c r="F96" s="91"/>
      <c r="G96" s="91"/>
      <c r="H96" s="224"/>
      <c r="I96" s="224"/>
      <c r="J96" s="224"/>
      <c r="K96" s="224"/>
      <c r="L96" s="224"/>
      <c r="M96" s="336"/>
      <c r="N96" s="225"/>
      <c r="O96" s="136"/>
      <c r="P96" s="136"/>
      <c r="Q96" s="18"/>
      <c r="R96" s="18"/>
      <c r="S96" s="18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  <c r="AS96" s="460"/>
      <c r="AT96" s="460"/>
      <c r="AU96" s="460"/>
      <c r="AV96" s="460"/>
      <c r="AW96" s="460"/>
      <c r="AX96" s="460"/>
      <c r="AY96" s="460"/>
      <c r="AZ96" s="460"/>
      <c r="BA96" s="460"/>
      <c r="BB96" s="460"/>
      <c r="BC96" s="460"/>
      <c r="BD96" s="460"/>
      <c r="BE96" s="460"/>
      <c r="BF96" s="460"/>
      <c r="BG96" s="460"/>
      <c r="BH96" s="460"/>
      <c r="BI96" s="460"/>
      <c r="BJ96" s="460"/>
    </row>
    <row r="97" spans="1:69" ht="19.5" customHeight="1" thickBot="1">
      <c r="A97" s="487" t="s">
        <v>1932</v>
      </c>
      <c r="B97" s="488"/>
      <c r="C97" s="488"/>
      <c r="D97" s="488"/>
      <c r="E97" s="489"/>
      <c r="F97" s="92"/>
      <c r="G97" s="92"/>
      <c r="H97" s="210"/>
      <c r="I97" s="210"/>
      <c r="J97" s="210"/>
      <c r="K97" s="210"/>
      <c r="L97" s="210"/>
      <c r="M97" s="337"/>
      <c r="N97" s="211"/>
      <c r="O97" s="136"/>
      <c r="P97" s="136"/>
      <c r="Q97" s="18"/>
      <c r="R97" s="18"/>
      <c r="S97" s="18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  <c r="AS97" s="460"/>
      <c r="AT97" s="460"/>
      <c r="AU97" s="460"/>
      <c r="AV97" s="460"/>
      <c r="AW97" s="460"/>
      <c r="AX97" s="460"/>
      <c r="AY97" s="460"/>
      <c r="AZ97" s="460"/>
      <c r="BA97" s="460"/>
      <c r="BB97" s="460"/>
      <c r="BC97" s="460"/>
      <c r="BD97" s="460"/>
      <c r="BE97" s="460"/>
      <c r="BF97" s="460"/>
      <c r="BG97" s="460"/>
      <c r="BH97" s="460"/>
      <c r="BI97" s="460"/>
      <c r="BJ97" s="460"/>
    </row>
    <row r="98" spans="1:69" ht="27" customHeight="1" thickBot="1">
      <c r="A98" s="476" t="s">
        <v>1831</v>
      </c>
      <c r="B98" s="490">
        <v>1</v>
      </c>
      <c r="C98" s="490"/>
      <c r="D98" s="490"/>
      <c r="E98" s="490"/>
      <c r="F98" s="92"/>
      <c r="G98" s="92"/>
      <c r="H98" s="212" t="s">
        <v>1736</v>
      </c>
      <c r="I98" s="210"/>
      <c r="J98" s="210"/>
      <c r="K98" s="457"/>
      <c r="L98" s="457"/>
      <c r="M98" s="457"/>
      <c r="N98" s="458"/>
      <c r="O98" s="136"/>
      <c r="P98" s="136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</row>
    <row r="99" spans="1:69" ht="27" customHeight="1">
      <c r="A99" s="476"/>
      <c r="B99" s="490"/>
      <c r="C99" s="490"/>
      <c r="D99" s="490"/>
      <c r="E99" s="490"/>
      <c r="F99" s="92"/>
      <c r="G99" s="92"/>
      <c r="H99" s="454"/>
      <c r="I99" s="455"/>
      <c r="J99" s="455"/>
      <c r="K99" s="455"/>
      <c r="L99" s="455"/>
      <c r="M99" s="455"/>
      <c r="N99" s="456"/>
      <c r="O99" s="136"/>
      <c r="P99" s="136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</row>
    <row r="100" spans="1:69" ht="20.25" customHeight="1">
      <c r="A100" s="477"/>
      <c r="B100" s="490"/>
      <c r="C100" s="490"/>
      <c r="D100" s="490"/>
      <c r="E100" s="490"/>
      <c r="F100" s="92"/>
      <c r="G100" s="92"/>
      <c r="H100" s="287"/>
      <c r="I100" s="288"/>
      <c r="J100" s="288"/>
      <c r="K100" s="288"/>
      <c r="L100" s="288"/>
      <c r="M100" s="338"/>
      <c r="N100" s="289"/>
      <c r="O100" s="136"/>
      <c r="P100" s="136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</row>
    <row r="101" spans="1:69" ht="13.5" customHeight="1" thickBot="1">
      <c r="A101" s="477"/>
      <c r="B101" s="490"/>
      <c r="C101" s="490"/>
      <c r="D101" s="490"/>
      <c r="E101" s="490"/>
      <c r="F101" s="217"/>
      <c r="G101" s="217"/>
      <c r="H101" s="213"/>
      <c r="I101" s="214"/>
      <c r="J101" s="214"/>
      <c r="K101" s="214"/>
      <c r="L101" s="214"/>
      <c r="M101" s="339"/>
      <c r="N101" s="215"/>
      <c r="O101" s="136"/>
      <c r="P101" s="136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</row>
    <row r="102" spans="1:69" ht="30" customHeight="1" thickBot="1">
      <c r="A102" s="216"/>
      <c r="B102" s="217"/>
      <c r="C102" s="322"/>
      <c r="D102" s="217"/>
      <c r="E102" s="217"/>
      <c r="F102" s="102"/>
      <c r="G102" s="102"/>
      <c r="H102" s="102"/>
      <c r="I102" s="102"/>
      <c r="J102" s="102"/>
      <c r="K102" s="102"/>
      <c r="L102" s="102"/>
      <c r="M102" s="323"/>
      <c r="N102" s="102"/>
      <c r="O102" s="136"/>
      <c r="P102" s="136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</row>
    <row r="103" spans="1:69" ht="13.8" hidden="1" thickBot="1">
      <c r="A103" s="102"/>
      <c r="B103" s="102"/>
      <c r="C103" s="323"/>
      <c r="D103" s="102"/>
      <c r="E103" s="102"/>
      <c r="F103" s="217"/>
      <c r="G103" s="217"/>
      <c r="H103" s="217"/>
      <c r="I103" s="217"/>
      <c r="J103" s="217"/>
      <c r="K103" s="217"/>
      <c r="L103" s="217"/>
      <c r="M103" s="322"/>
      <c r="N103" s="217"/>
      <c r="O103" s="136"/>
      <c r="P103" s="136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</row>
    <row r="104" spans="1:69" hidden="1">
      <c r="A104" s="102"/>
      <c r="B104" s="102"/>
      <c r="C104" s="323"/>
      <c r="D104" s="102"/>
      <c r="E104" s="102"/>
      <c r="F104" s="102"/>
      <c r="G104" s="102"/>
      <c r="H104" s="102"/>
      <c r="I104" s="102"/>
      <c r="J104" s="102"/>
      <c r="K104" s="102"/>
      <c r="L104" s="102"/>
      <c r="M104" s="323"/>
      <c r="N104" s="102"/>
      <c r="O104" s="136"/>
      <c r="P104" s="136"/>
      <c r="R104" s="18"/>
      <c r="S104" s="18"/>
      <c r="T104" s="18"/>
    </row>
    <row r="105" spans="1:69" hidden="1">
      <c r="A105" s="102"/>
      <c r="B105" s="102"/>
      <c r="C105" s="323"/>
      <c r="D105" s="102"/>
      <c r="E105" s="102"/>
      <c r="F105" s="102"/>
      <c r="G105" s="102"/>
      <c r="H105" s="102"/>
      <c r="I105" s="102"/>
      <c r="J105" s="102"/>
      <c r="K105" s="102"/>
      <c r="L105" s="102"/>
      <c r="M105" s="323"/>
      <c r="N105" s="102"/>
      <c r="O105" s="136"/>
      <c r="P105" s="136"/>
      <c r="BN105" s="107"/>
      <c r="BO105" s="107"/>
    </row>
    <row r="106" spans="1:69" hidden="1">
      <c r="A106" s="102"/>
      <c r="B106" s="102"/>
      <c r="C106" s="323"/>
      <c r="D106" s="102"/>
      <c r="E106" s="102"/>
      <c r="F106" s="102"/>
      <c r="G106" s="102"/>
      <c r="H106" s="102"/>
      <c r="I106" s="102"/>
      <c r="J106" s="102"/>
      <c r="K106" s="102"/>
      <c r="L106" s="102"/>
      <c r="M106" s="323"/>
      <c r="N106" s="102"/>
      <c r="O106" s="136"/>
      <c r="P106" s="136"/>
    </row>
    <row r="107" spans="1:69" hidden="1" outlineLevel="1">
      <c r="A107" s="102"/>
      <c r="B107" s="102"/>
      <c r="C107" s="323"/>
      <c r="D107" s="102"/>
      <c r="E107" s="102"/>
      <c r="F107" s="102"/>
      <c r="G107" s="102"/>
      <c r="H107" s="102"/>
      <c r="I107" s="102"/>
      <c r="J107" s="102"/>
      <c r="K107" s="102"/>
      <c r="L107" s="102"/>
      <c r="M107" s="323"/>
      <c r="N107" s="102"/>
      <c r="O107" s="136"/>
      <c r="P107" s="136"/>
    </row>
    <row r="108" spans="1:69" hidden="1" outlineLevel="1">
      <c r="A108" s="102"/>
      <c r="B108" s="102"/>
      <c r="C108" s="323"/>
      <c r="D108" s="102"/>
      <c r="E108" s="102"/>
      <c r="F108" s="102"/>
      <c r="G108" s="102"/>
      <c r="H108" s="102"/>
      <c r="I108" s="102"/>
      <c r="J108" s="102"/>
      <c r="K108" s="102"/>
      <c r="L108" s="102"/>
      <c r="M108" s="323"/>
      <c r="N108" s="102"/>
      <c r="O108" s="136"/>
      <c r="P108" s="136"/>
    </row>
    <row r="109" spans="1:69" hidden="1" outlineLevel="1">
      <c r="A109" s="102"/>
      <c r="B109" s="102"/>
      <c r="C109" s="323"/>
      <c r="D109" s="102"/>
      <c r="E109" s="102"/>
      <c r="F109" s="102"/>
      <c r="G109" s="102"/>
      <c r="H109" s="102"/>
      <c r="I109" s="102"/>
      <c r="J109" s="102"/>
      <c r="K109" s="102"/>
      <c r="L109" s="102"/>
      <c r="M109" s="323"/>
      <c r="N109" s="102"/>
      <c r="O109" s="136"/>
      <c r="P109" s="136"/>
    </row>
    <row r="110" spans="1:69" hidden="1" outlineLevel="1">
      <c r="A110" s="102"/>
      <c r="B110" s="102"/>
      <c r="C110" s="323"/>
      <c r="D110" s="102"/>
      <c r="E110" s="102"/>
      <c r="F110" s="102"/>
      <c r="G110" s="102"/>
      <c r="H110" s="102"/>
      <c r="I110" s="102"/>
      <c r="J110" s="102"/>
      <c r="K110" s="102"/>
      <c r="L110" s="102"/>
      <c r="M110" s="323"/>
      <c r="N110" s="102"/>
      <c r="O110" s="136"/>
      <c r="P110" s="136"/>
    </row>
    <row r="111" spans="1:69" hidden="1" outlineLevel="1">
      <c r="A111" s="102"/>
      <c r="B111" s="102"/>
      <c r="C111" s="323"/>
      <c r="D111" s="102"/>
      <c r="E111" s="102"/>
      <c r="F111" s="102"/>
      <c r="G111" s="102"/>
      <c r="H111" s="218"/>
      <c r="I111" s="102"/>
      <c r="J111" s="102"/>
      <c r="K111" s="102"/>
      <c r="L111" s="102"/>
      <c r="M111" s="323"/>
      <c r="N111" s="102"/>
      <c r="O111" s="136"/>
      <c r="P111" s="136"/>
      <c r="BQ111" s="107"/>
    </row>
    <row r="112" spans="1:69" hidden="1" outlineLevel="1">
      <c r="A112" s="363"/>
      <c r="B112" s="363"/>
      <c r="C112" s="323"/>
      <c r="D112" s="102"/>
      <c r="E112" s="102"/>
      <c r="F112" s="102"/>
      <c r="G112" s="102"/>
      <c r="H112" s="102"/>
      <c r="I112" s="102"/>
      <c r="J112" s="102"/>
      <c r="K112" s="102"/>
      <c r="L112" s="102"/>
      <c r="M112" s="323"/>
      <c r="N112" s="102"/>
      <c r="O112" s="136"/>
      <c r="P112" s="136"/>
    </row>
    <row r="113" spans="1:69" hidden="1" outlineLevel="1">
      <c r="A113" s="102"/>
      <c r="B113" s="102"/>
      <c r="C113" s="323"/>
      <c r="D113" s="102"/>
      <c r="E113" s="102"/>
      <c r="F113" s="102"/>
      <c r="G113" s="102"/>
      <c r="H113" s="102"/>
      <c r="I113" s="102"/>
      <c r="J113" s="102"/>
      <c r="K113" s="102"/>
      <c r="L113" s="102"/>
      <c r="M113" s="323"/>
      <c r="N113" s="102"/>
      <c r="O113" s="136"/>
      <c r="P113" s="136"/>
    </row>
    <row r="114" spans="1:69" hidden="1" outlineLevel="1">
      <c r="A114" s="102"/>
      <c r="B114" s="102"/>
      <c r="C114" s="323"/>
      <c r="D114" s="102"/>
      <c r="E114" s="102"/>
      <c r="F114" s="102"/>
      <c r="G114" s="102"/>
      <c r="H114" s="102"/>
      <c r="I114" s="102"/>
      <c r="J114" s="102"/>
      <c r="K114" s="102"/>
      <c r="L114" s="102"/>
      <c r="M114" s="323"/>
      <c r="N114" s="102"/>
      <c r="O114" s="136"/>
      <c r="P114" s="136"/>
    </row>
    <row r="115" spans="1:69" hidden="1" outlineLevel="1">
      <c r="A115" s="102"/>
      <c r="B115" s="102"/>
      <c r="C115" s="323"/>
      <c r="D115" s="102"/>
      <c r="E115" s="102"/>
      <c r="F115" s="102"/>
      <c r="G115" s="102"/>
      <c r="H115" s="102"/>
      <c r="I115" s="102"/>
      <c r="J115" s="102"/>
      <c r="K115" s="102"/>
      <c r="L115" s="102"/>
      <c r="M115" s="323"/>
      <c r="N115" s="102"/>
      <c r="O115" s="136"/>
      <c r="P115" s="136"/>
    </row>
    <row r="116" spans="1:69" hidden="1" outlineLevel="1">
      <c r="A116" s="102"/>
      <c r="B116" s="102"/>
      <c r="C116" s="323"/>
      <c r="D116" s="102"/>
      <c r="E116" s="102"/>
      <c r="F116" s="102"/>
      <c r="G116" s="102"/>
      <c r="H116" s="102"/>
      <c r="I116" s="102"/>
      <c r="J116" s="102"/>
      <c r="K116" s="102"/>
      <c r="L116" s="102"/>
      <c r="M116" s="323"/>
      <c r="N116" s="102"/>
      <c r="O116" s="136"/>
      <c r="P116" s="136"/>
    </row>
    <row r="117" spans="1:69" ht="45" hidden="1" outlineLevel="1">
      <c r="A117" s="102"/>
      <c r="B117" s="102"/>
      <c r="C117" s="323"/>
      <c r="D117" s="102"/>
      <c r="E117" s="102"/>
      <c r="F117" s="102"/>
      <c r="G117" s="102"/>
      <c r="H117" s="244"/>
      <c r="I117" s="244"/>
      <c r="J117" s="244"/>
      <c r="K117" s="244"/>
      <c r="L117" s="244"/>
      <c r="M117" s="324"/>
      <c r="N117" s="244"/>
      <c r="O117" s="136"/>
      <c r="P117" s="136"/>
    </row>
    <row r="118" spans="1:69" hidden="1" outlineLevel="1">
      <c r="A118" s="102"/>
      <c r="B118" s="102"/>
      <c r="C118" s="323"/>
      <c r="D118" s="102"/>
      <c r="E118" s="102"/>
      <c r="F118" s="102"/>
      <c r="G118" s="102"/>
      <c r="H118" s="102"/>
      <c r="I118" s="102"/>
      <c r="J118" s="102"/>
      <c r="K118" s="102"/>
      <c r="L118" s="102"/>
      <c r="M118" s="323"/>
      <c r="N118" s="102"/>
      <c r="O118" s="136"/>
      <c r="P118" s="136"/>
    </row>
    <row r="119" spans="1:69" ht="45" hidden="1" outlineLevel="1">
      <c r="A119" s="102"/>
      <c r="B119" s="102"/>
      <c r="C119" s="323"/>
      <c r="D119" s="102"/>
      <c r="E119" s="102"/>
      <c r="F119" s="244"/>
      <c r="G119" s="244"/>
      <c r="H119" s="102"/>
      <c r="I119" s="102"/>
      <c r="J119" s="102"/>
      <c r="K119" s="102"/>
      <c r="L119" s="102"/>
      <c r="M119" s="323"/>
      <c r="N119" s="102"/>
      <c r="O119" s="136"/>
      <c r="P119" s="136"/>
    </row>
    <row r="120" spans="1:69" ht="60.75" hidden="1" customHeight="1" outlineLevel="1" thickBot="1">
      <c r="A120" s="244" t="s">
        <v>1787</v>
      </c>
      <c r="B120" s="244"/>
      <c r="C120" s="324"/>
      <c r="D120" s="244"/>
      <c r="E120" s="244"/>
      <c r="F120" s="102"/>
      <c r="G120" s="102"/>
      <c r="H120" s="362" t="s">
        <v>441</v>
      </c>
      <c r="I120" s="362"/>
      <c r="J120" s="362"/>
      <c r="K120" s="362" t="s">
        <v>628</v>
      </c>
      <c r="L120" s="362"/>
      <c r="M120" s="362"/>
      <c r="N120" s="138" t="s">
        <v>374</v>
      </c>
      <c r="O120" s="102"/>
      <c r="P120" s="102"/>
    </row>
    <row r="121" spans="1:69" ht="30" hidden="1" customHeight="1" outlineLevel="1" thickBot="1">
      <c r="A121" s="219" t="s">
        <v>1570</v>
      </c>
      <c r="B121" s="473" t="str">
        <f>B1</f>
        <v>METRO</v>
      </c>
      <c r="C121" s="474"/>
      <c r="D121" s="475"/>
      <c r="E121" s="102"/>
      <c r="F121" s="102"/>
      <c r="G121" s="102"/>
      <c r="H121" s="220" t="s">
        <v>444</v>
      </c>
      <c r="I121" s="221"/>
      <c r="J121" s="221"/>
      <c r="K121" s="221"/>
      <c r="L121" s="222"/>
      <c r="M121" s="340"/>
      <c r="N121" s="221"/>
      <c r="O121" s="102"/>
      <c r="P121" s="102"/>
    </row>
    <row r="122" spans="1:69" s="107" customFormat="1" ht="3" hidden="1" customHeight="1" outlineLevel="1">
      <c r="A122" s="102"/>
      <c r="B122" s="102"/>
      <c r="C122" s="323"/>
      <c r="D122" s="102"/>
      <c r="E122" s="102"/>
      <c r="F122" s="138"/>
      <c r="G122" s="138"/>
      <c r="H122" s="471" t="str">
        <f>IF(K122=0,"",VLOOKUP($O28,#REF!,3,))</f>
        <v/>
      </c>
      <c r="I122" s="472"/>
      <c r="J122" s="472"/>
      <c r="K122" s="342">
        <f>M28</f>
        <v>0</v>
      </c>
      <c r="L122" s="342"/>
      <c r="M122" s="323"/>
      <c r="N122" s="142" t="str">
        <f>IF(K122=0,"",VLOOKUP($O28,#REF!,2,))</f>
        <v/>
      </c>
      <c r="O122" s="102"/>
      <c r="P122" s="102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N122" s="17"/>
      <c r="BO122" s="17"/>
      <c r="BQ122" s="17"/>
    </row>
    <row r="123" spans="1:69" ht="29.25" hidden="1" customHeight="1" outlineLevel="1" thickBot="1">
      <c r="A123" s="138" t="s">
        <v>441</v>
      </c>
      <c r="B123" s="362" t="s">
        <v>628</v>
      </c>
      <c r="C123" s="362"/>
      <c r="D123" s="362"/>
      <c r="E123" s="138" t="s">
        <v>374</v>
      </c>
      <c r="F123" s="223"/>
      <c r="G123" s="136"/>
      <c r="H123" s="471" t="str">
        <f>IF(K123=0,"",VLOOKUP($H31,#REF!,3,))</f>
        <v/>
      </c>
      <c r="I123" s="472"/>
      <c r="J123" s="472"/>
      <c r="K123" s="342">
        <f>M31</f>
        <v>0</v>
      </c>
      <c r="L123" s="342"/>
      <c r="M123" s="323"/>
      <c r="N123" s="142" t="str">
        <f>IF(K123=0,"",VLOOKUP($H31,#REF!,2,))</f>
        <v/>
      </c>
      <c r="O123" s="138"/>
      <c r="P123" s="138"/>
    </row>
    <row r="124" spans="1:69" ht="18.75" hidden="1" customHeight="1" outlineLevel="1" thickBot="1">
      <c r="A124" s="481" t="s">
        <v>1044</v>
      </c>
      <c r="B124" s="482"/>
      <c r="C124" s="482"/>
      <c r="D124" s="482"/>
      <c r="E124" s="486"/>
      <c r="F124" s="223">
        <f t="shared" ref="F124:F138" ca="1" si="11">IF(ISERROR((VLOOKUP(E125,poidscaisson,4,FALSE))*B125),,(VLOOKUP(E125,poidscaisson,4,FALSE))*B125)</f>
        <v>0</v>
      </c>
      <c r="G124" s="160">
        <f>IF(E125=0,"",B125*K9)</f>
        <v>0</v>
      </c>
      <c r="H124" s="471" t="str">
        <f>IF(K124=0,"",VLOOKUP($H32,#REF!,3,))</f>
        <v/>
      </c>
      <c r="I124" s="472"/>
      <c r="J124" s="472"/>
      <c r="K124" s="342">
        <f>M32</f>
        <v>0</v>
      </c>
      <c r="L124" s="342"/>
      <c r="M124" s="323"/>
      <c r="N124" s="142" t="str">
        <f>IF(K124=0,"",VLOOKUP($H32,#REF!,2,))</f>
        <v/>
      </c>
      <c r="O124" s="221"/>
      <c r="P124" s="221"/>
      <c r="U124" s="107"/>
      <c r="V124" s="107"/>
      <c r="W124" s="107"/>
      <c r="X124" s="107"/>
      <c r="Y124" s="107"/>
      <c r="Z124" s="107"/>
      <c r="AA124" s="107"/>
      <c r="AB124" s="107"/>
      <c r="AC124" s="107"/>
      <c r="AD124" s="107"/>
      <c r="AE124" s="107"/>
      <c r="AF124" s="107"/>
      <c r="AG124" s="107"/>
      <c r="AH124" s="107"/>
      <c r="AI124" s="107"/>
      <c r="AJ124" s="107"/>
      <c r="AK124" s="107"/>
      <c r="AL124" s="107"/>
      <c r="AM124" s="107"/>
      <c r="AN124" s="107"/>
      <c r="AO124" s="107"/>
      <c r="AP124" s="107"/>
      <c r="AQ124" s="107"/>
      <c r="AR124" s="107"/>
      <c r="AS124" s="107"/>
      <c r="AT124" s="107"/>
      <c r="AU124" s="107"/>
      <c r="AV124" s="107"/>
      <c r="AW124" s="107"/>
      <c r="AX124" s="107"/>
      <c r="AY124" s="107"/>
      <c r="AZ124" s="107"/>
      <c r="BA124" s="107"/>
      <c r="BB124" s="107"/>
      <c r="BC124" s="107"/>
      <c r="BD124" s="107"/>
      <c r="BE124" s="107"/>
      <c r="BF124" s="107"/>
      <c r="BG124" s="107"/>
      <c r="BH124" s="107"/>
      <c r="BI124" s="107"/>
      <c r="BJ124" s="107"/>
    </row>
    <row r="125" spans="1:69" ht="18.75" hidden="1" customHeight="1" outlineLevel="1" thickBot="1">
      <c r="A125" s="139" t="str">
        <f>IF(B125=0," ","CAISSON BAS 40 BLANC")</f>
        <v xml:space="preserve"> </v>
      </c>
      <c r="B125" s="467">
        <f>U91</f>
        <v>0</v>
      </c>
      <c r="C125" s="468"/>
      <c r="D125" s="469"/>
      <c r="E125" s="146" t="str">
        <f>IF(B125=0,"",343121)</f>
        <v/>
      </c>
      <c r="F125" s="223">
        <f t="shared" ca="1" si="11"/>
        <v>0</v>
      </c>
      <c r="G125" s="160">
        <f>IF(E126=0,"",B126*L9)</f>
        <v>0</v>
      </c>
      <c r="H125" s="471" t="str">
        <f>IF(K125=0,"",VLOOKUP($H34,#REF!,3,))</f>
        <v/>
      </c>
      <c r="I125" s="472"/>
      <c r="J125" s="472"/>
      <c r="K125" s="342">
        <f>M34</f>
        <v>0</v>
      </c>
      <c r="L125" s="342"/>
      <c r="M125" s="323"/>
      <c r="N125" s="142" t="str">
        <f>IF(K125=0,"",VLOOKUP($H34,#REF!,2,))</f>
        <v/>
      </c>
      <c r="O125" s="102">
        <f ca="1">IF(K122=0,,K122*(VLOOKUP(N122,'Poids PT &amp; Accessoire'!$A$1:$J$109,9)))</f>
        <v>0</v>
      </c>
      <c r="P125" s="102">
        <f>IF(K122=0,,K122*(VLOOKUP(N122,#REF!,3)))</f>
        <v>0</v>
      </c>
      <c r="R125" s="107"/>
      <c r="S125" s="107"/>
      <c r="T125" s="107"/>
    </row>
    <row r="126" spans="1:69" ht="18.75" hidden="1" customHeight="1" outlineLevel="1">
      <c r="A126" s="139" t="str">
        <f>IF(B126=0," ","CAISSON BAS 60 BLANC")</f>
        <v xml:space="preserve"> </v>
      </c>
      <c r="B126" s="467">
        <f>V91</f>
        <v>0</v>
      </c>
      <c r="C126" s="468"/>
      <c r="D126" s="469"/>
      <c r="E126" s="146" t="str">
        <f>IF(B126=0,"",343122)</f>
        <v/>
      </c>
      <c r="F126" s="223">
        <f t="shared" ca="1" si="11"/>
        <v>0</v>
      </c>
      <c r="G126" s="160">
        <f>IF(E127=0,"",B127*$M$9)</f>
        <v>0</v>
      </c>
      <c r="H126" s="471" t="str">
        <f>IF(K126=0,"",VLOOKUP($H35,#REF!,3,))</f>
        <v/>
      </c>
      <c r="I126" s="472"/>
      <c r="J126" s="472"/>
      <c r="K126" s="342">
        <f>M35</f>
        <v>0</v>
      </c>
      <c r="L126" s="342"/>
      <c r="M126" s="323"/>
      <c r="N126" s="142" t="str">
        <f>IF(K126=0,"",VLOOKUP($H35,#REF!,2,))</f>
        <v/>
      </c>
      <c r="O126" s="102">
        <f ca="1">IF(K123=0,,K123*(VLOOKUP(N123,'Poids PT &amp; Accessoire'!$A$1:$J$109,9)))</f>
        <v>0</v>
      </c>
      <c r="P126" s="102">
        <f>IF(K123=0,,K123*(VLOOKUP(N123,#REF!,4)))</f>
        <v>0</v>
      </c>
    </row>
    <row r="127" spans="1:69" ht="18.75" hidden="1" customHeight="1" outlineLevel="1">
      <c r="A127" s="139" t="str">
        <f>IF(B127=0," ","CAISSON BAS 80 BLANC")</f>
        <v xml:space="preserve"> </v>
      </c>
      <c r="B127" s="467">
        <f>W91</f>
        <v>0</v>
      </c>
      <c r="C127" s="468"/>
      <c r="D127" s="469"/>
      <c r="E127" s="146" t="str">
        <f>IF(B127=0,"",343123)</f>
        <v/>
      </c>
      <c r="F127" s="223">
        <f t="shared" ca="1" si="11"/>
        <v>0</v>
      </c>
      <c r="G127" s="160" t="e">
        <f>IF(E128=0,"",B128*$N$9)</f>
        <v>#REF!</v>
      </c>
      <c r="H127" s="471" t="str">
        <f>IF(K127=0,"",VLOOKUP($H36,#REF!,3,))</f>
        <v/>
      </c>
      <c r="I127" s="472"/>
      <c r="J127" s="472"/>
      <c r="K127" s="342">
        <f>M36</f>
        <v>0</v>
      </c>
      <c r="L127" s="342"/>
      <c r="M127" s="323"/>
      <c r="N127" s="142" t="str">
        <f>IF(K127=0,"",VLOOKUP($H36,#REF!,2,))</f>
        <v/>
      </c>
      <c r="O127" s="102">
        <f ca="1">IF(K124=0,,K124*(VLOOKUP(N124,'Poids PT &amp; Accessoire'!$A$1:$J$109,9)))</f>
        <v>0</v>
      </c>
      <c r="P127" s="102">
        <f>IF(K124=0,,K124*(VLOOKUP(N124,#REF!,3)))</f>
        <v>0</v>
      </c>
    </row>
    <row r="128" spans="1:69" ht="18.75" hidden="1" customHeight="1" outlineLevel="1">
      <c r="A128" s="139" t="e">
        <f>IF(B128=0," ","CAISSON BAS 120 BLANC")</f>
        <v>#REF!</v>
      </c>
      <c r="B128" s="467" t="e">
        <f>Y91</f>
        <v>#REF!</v>
      </c>
      <c r="C128" s="468"/>
      <c r="D128" s="469"/>
      <c r="E128" s="146" t="e">
        <f>IF(B128=0,"",343124)</f>
        <v>#REF!</v>
      </c>
      <c r="F128" s="223">
        <f t="shared" ca="1" si="11"/>
        <v>0</v>
      </c>
      <c r="G128" s="160">
        <f>IF(E129=0,"",B129*$O$9)</f>
        <v>0</v>
      </c>
      <c r="H128" s="472" t="str">
        <f>IF(K128=0,"",VLOOKUP($H37,#REF!,3,))</f>
        <v/>
      </c>
      <c r="I128" s="472"/>
      <c r="J128" s="472"/>
      <c r="K128" s="470">
        <f>M37</f>
        <v>0</v>
      </c>
      <c r="L128" s="470"/>
      <c r="M128" s="323"/>
      <c r="N128" s="142" t="str">
        <f>IF(K128=0,"",VLOOKUP($H37,#REF!,2,))</f>
        <v/>
      </c>
      <c r="O128" s="102">
        <f ca="1">IF(K125=0,,K125*(VLOOKUP(N125,'Poids PT &amp; Accessoire'!$A$1:$J$109,9)))</f>
        <v>0</v>
      </c>
      <c r="P128" s="102">
        <f>IF(K125=0,,K125*(VLOOKUP(N125,#REF!,3)))</f>
        <v>0</v>
      </c>
    </row>
    <row r="129" spans="1:16" ht="18.75" hidden="1" customHeight="1" outlineLevel="1" thickBot="1">
      <c r="A129" s="139" t="str">
        <f>IF(B129=0," ","CAISSON ANGLE BAS BLANC")</f>
        <v xml:space="preserve"> </v>
      </c>
      <c r="B129" s="467">
        <f>X91</f>
        <v>0</v>
      </c>
      <c r="C129" s="468"/>
      <c r="D129" s="469"/>
      <c r="E129" s="146" t="str">
        <f>IF(B129=0,"",343125)</f>
        <v/>
      </c>
      <c r="F129" s="223">
        <f t="shared" ca="1" si="11"/>
        <v>0</v>
      </c>
      <c r="G129" s="160">
        <f>IF(E130=0,"",B130*$J$9)</f>
        <v>0</v>
      </c>
      <c r="H129" s="472"/>
      <c r="I129" s="472"/>
      <c r="J129" s="472"/>
      <c r="K129" s="470"/>
      <c r="L129" s="470"/>
      <c r="M129" s="323"/>
      <c r="N129" s="102"/>
      <c r="O129" s="102">
        <f ca="1">IF(K126=0,,K126*(VLOOKUP(N126,'Poids PT &amp; Accessoire'!$A$1:$J$109,9)))</f>
        <v>0</v>
      </c>
      <c r="P129" s="102">
        <f>IF(K126=0,,K126*(VLOOKUP(N126,#REF!,3)))</f>
        <v>0</v>
      </c>
    </row>
    <row r="130" spans="1:16" ht="18.75" hidden="1" customHeight="1" outlineLevel="1" thickBot="1">
      <c r="A130" s="139" t="str">
        <f>IF(B130=0," ","CAISSON COLONNE BLANC")</f>
        <v xml:space="preserve"> </v>
      </c>
      <c r="B130" s="467">
        <f>AG91</f>
        <v>0</v>
      </c>
      <c r="C130" s="468"/>
      <c r="D130" s="469"/>
      <c r="E130" s="146" t="str">
        <f>IF(B130=0,"",343127)</f>
        <v/>
      </c>
      <c r="F130" s="223">
        <f t="shared" ca="1" si="11"/>
        <v>0</v>
      </c>
      <c r="G130" s="163">
        <f>IF(E131=0,"",B131*$B$9)</f>
        <v>0</v>
      </c>
      <c r="H130" s="481" t="s">
        <v>1935</v>
      </c>
      <c r="I130" s="482"/>
      <c r="J130" s="482"/>
      <c r="K130" s="482"/>
      <c r="L130" s="486"/>
      <c r="M130" s="340"/>
      <c r="N130" s="245"/>
      <c r="O130" s="102">
        <f ca="1">IF(K127=0,,K127*(VLOOKUP(N127,'Poids PT &amp; Accessoire'!$A$1:$J$109,9)))</f>
        <v>0</v>
      </c>
      <c r="P130" s="102">
        <f>IF(K127=0,,K127*(VLOOKUP(N127,#REF!,3)))</f>
        <v>0</v>
      </c>
    </row>
    <row r="131" spans="1:16" ht="18.75" hidden="1" customHeight="1" outlineLevel="1">
      <c r="A131" s="139" t="str">
        <f>IF(B131=0," ","CAISSON HAUT 40 BLANC")</f>
        <v xml:space="preserve"> </v>
      </c>
      <c r="B131" s="467">
        <f>Z91</f>
        <v>0</v>
      </c>
      <c r="C131" s="468"/>
      <c r="D131" s="469"/>
      <c r="E131" s="146" t="str">
        <f>IF(B131=0,"",343128)</f>
        <v/>
      </c>
      <c r="F131" s="223">
        <f t="shared" ca="1" si="11"/>
        <v>0</v>
      </c>
      <c r="G131" s="163">
        <f>IF(E132=0,"",B132*$C$9)</f>
        <v>0</v>
      </c>
      <c r="H131" s="478" t="str">
        <f>IF(K131=0,"",H56)</f>
        <v/>
      </c>
      <c r="I131" s="478"/>
      <c r="J131" s="478"/>
      <c r="K131" s="342">
        <f>C62</f>
        <v>0</v>
      </c>
      <c r="L131" s="342"/>
      <c r="M131" s="323"/>
      <c r="N131" s="142" t="str">
        <f>IF(K131=0,"",#REF!)</f>
        <v/>
      </c>
      <c r="O131" s="102">
        <f ca="1">IF(K128=0,,K128*(VLOOKUP(N128,'Poids PT &amp; Accessoire'!$A$1:$J$109,9)))</f>
        <v>0</v>
      </c>
      <c r="P131" s="102">
        <f>IF(K128=0,,K128*(VLOOKUP(N128,#REF!,3)))</f>
        <v>0</v>
      </c>
    </row>
    <row r="132" spans="1:16" ht="18.75" hidden="1" customHeight="1" outlineLevel="1" thickBot="1">
      <c r="A132" s="139" t="str">
        <f>IF(B132=0," ","CAISSON HAUT 60 BLANC")</f>
        <v xml:space="preserve"> </v>
      </c>
      <c r="B132" s="467">
        <f>AA91</f>
        <v>0</v>
      </c>
      <c r="C132" s="468"/>
      <c r="D132" s="469"/>
      <c r="E132" s="146" t="str">
        <f>IF(B132=0,"",343129)</f>
        <v/>
      </c>
      <c r="F132" s="223">
        <f t="shared" ca="1" si="11"/>
        <v>0</v>
      </c>
      <c r="G132" s="160">
        <f>IF(E133=0,"",B133*$D$9)</f>
        <v>0</v>
      </c>
      <c r="H132" s="478"/>
      <c r="I132" s="478"/>
      <c r="J132" s="478"/>
      <c r="K132" s="342">
        <f t="shared" ref="K132:K149" si="12">+M48</f>
        <v>0</v>
      </c>
      <c r="L132" s="342"/>
      <c r="M132" s="323"/>
      <c r="N132" s="142" t="str">
        <f>IF(K132=0,"",#REF!)</f>
        <v/>
      </c>
      <c r="O132" s="102">
        <f ca="1">IF(K129=0,,K129*(VLOOKUP(N129,'Poids PT &amp; Accessoire'!$A$1:$J$109,9)))</f>
        <v>0</v>
      </c>
      <c r="P132" s="102">
        <f>IF(K129=0,,K129*(VLOOKUP(N129,#REF!,3)))</f>
        <v>0</v>
      </c>
    </row>
    <row r="133" spans="1:16" ht="18.75" hidden="1" customHeight="1" outlineLevel="1" thickBot="1">
      <c r="A133" s="139" t="str">
        <f>IF(B133=0," ","CAISSON HAUT 80 BLANC")</f>
        <v xml:space="preserve"> </v>
      </c>
      <c r="B133" s="467">
        <f>AB91</f>
        <v>0</v>
      </c>
      <c r="C133" s="468"/>
      <c r="D133" s="469"/>
      <c r="E133" s="146" t="str">
        <f>IF(B133=0,"",343130)</f>
        <v/>
      </c>
      <c r="F133" s="223">
        <f t="shared" ca="1" si="11"/>
        <v>0</v>
      </c>
      <c r="G133" s="163">
        <f>IF(E134=0,"",B134*$I$9)</f>
        <v>0</v>
      </c>
      <c r="H133" s="478"/>
      <c r="I133" s="478"/>
      <c r="J133" s="478"/>
      <c r="K133" s="342">
        <f t="shared" si="12"/>
        <v>0</v>
      </c>
      <c r="L133" s="342"/>
      <c r="M133" s="323"/>
      <c r="N133" s="142" t="str">
        <f>IF(K133=0,"",#REF!)</f>
        <v/>
      </c>
      <c r="O133" s="245"/>
      <c r="P133" s="245"/>
    </row>
    <row r="134" spans="1:16" ht="18.75" hidden="1" customHeight="1" outlineLevel="1">
      <c r="A134" s="139" t="str">
        <f>IF(B134=0," ","CAISSON ANGLE HAUT BLANC")</f>
        <v xml:space="preserve"> </v>
      </c>
      <c r="B134" s="467">
        <f>AE91</f>
        <v>0</v>
      </c>
      <c r="C134" s="468"/>
      <c r="D134" s="469"/>
      <c r="E134" s="146" t="str">
        <f>IF(B134=0,"",343132)</f>
        <v/>
      </c>
      <c r="F134" s="223">
        <f t="shared" ca="1" si="11"/>
        <v>0</v>
      </c>
      <c r="G134" s="163">
        <f>IF(E135=0,"",B135*$H$9)</f>
        <v>0</v>
      </c>
      <c r="H134" s="478"/>
      <c r="I134" s="478"/>
      <c r="J134" s="478"/>
      <c r="K134" s="342">
        <f t="shared" si="12"/>
        <v>0</v>
      </c>
      <c r="L134" s="342"/>
      <c r="M134" s="323"/>
      <c r="N134" s="142" t="str">
        <f>IF(K134=0,"",#REF!)</f>
        <v/>
      </c>
      <c r="O134" s="102">
        <f ca="1">IF(K131=0,,K131*(VLOOKUP(N131,'Poids PT &amp; Accessoire'!$A$1:$J$109,9)))</f>
        <v>0</v>
      </c>
      <c r="P134" s="102">
        <f>IF(K131=0,,K131*L56)</f>
        <v>0</v>
      </c>
    </row>
    <row r="135" spans="1:16" ht="18.75" hidden="1" customHeight="1" outlineLevel="1">
      <c r="A135" s="139" t="str">
        <f>IF(B135=0," ","CAISSON HOTTE BLANC")</f>
        <v xml:space="preserve"> </v>
      </c>
      <c r="B135" s="467">
        <f>AF91</f>
        <v>0</v>
      </c>
      <c r="C135" s="468"/>
      <c r="D135" s="469"/>
      <c r="E135" s="146" t="str">
        <f>IF(B135=0,"",343134)</f>
        <v/>
      </c>
      <c r="F135" s="223">
        <f t="shared" ca="1" si="11"/>
        <v>0</v>
      </c>
      <c r="G135" s="163">
        <f>IF(E136=0,"",B136*$P$12)</f>
        <v>0</v>
      </c>
      <c r="H135" s="478"/>
      <c r="I135" s="478"/>
      <c r="J135" s="478"/>
      <c r="K135" s="342">
        <f t="shared" si="12"/>
        <v>0</v>
      </c>
      <c r="L135" s="342"/>
      <c r="M135" s="323"/>
      <c r="N135" s="142" t="str">
        <f>IF(K135=0,"",#REF!)</f>
        <v/>
      </c>
      <c r="O135" s="102"/>
      <c r="P135" s="102"/>
    </row>
    <row r="136" spans="1:16" ht="18.75" hidden="1" customHeight="1" outlineLevel="1">
      <c r="A136" s="139" t="str">
        <f>IF(B136=0," ","CAISSON BAS 15 BLANC")</f>
        <v xml:space="preserve"> </v>
      </c>
      <c r="B136" s="467">
        <f>C83</f>
        <v>0</v>
      </c>
      <c r="C136" s="468"/>
      <c r="D136" s="469"/>
      <c r="E136" s="146" t="str">
        <f>IF(B136=0,"",343153)</f>
        <v/>
      </c>
      <c r="F136" s="223">
        <f t="shared" ca="1" si="11"/>
        <v>0</v>
      </c>
      <c r="G136" s="163">
        <f>IF(E137=0,"",B137*$J$11)</f>
        <v>0</v>
      </c>
      <c r="H136" s="478"/>
      <c r="I136" s="478"/>
      <c r="J136" s="478"/>
      <c r="K136" s="342">
        <f t="shared" si="12"/>
        <v>0</v>
      </c>
      <c r="L136" s="342"/>
      <c r="M136" s="323"/>
      <c r="N136" s="142" t="str">
        <f>IF(K136=0,"",#REF!)</f>
        <v/>
      </c>
      <c r="O136" s="102"/>
      <c r="P136" s="102"/>
    </row>
    <row r="137" spans="1:16" ht="18.75" hidden="1" customHeight="1" outlineLevel="1">
      <c r="A137" s="139" t="str">
        <f>IF(B137=0," ","CAISSON DEMI COLONNE 130×60")</f>
        <v xml:space="preserve"> </v>
      </c>
      <c r="B137" s="467">
        <f>AH91</f>
        <v>0</v>
      </c>
      <c r="C137" s="468"/>
      <c r="D137" s="469"/>
      <c r="E137" s="146" t="str">
        <f>IF(B137=0,"",343157)</f>
        <v/>
      </c>
      <c r="F137" s="223">
        <f t="shared" ca="1" si="11"/>
        <v>0</v>
      </c>
      <c r="G137" s="163">
        <f>IF(E138=0,"",B138*$E$9)</f>
        <v>0</v>
      </c>
      <c r="H137" s="478"/>
      <c r="I137" s="478"/>
      <c r="J137" s="478"/>
      <c r="K137" s="342">
        <f t="shared" si="12"/>
        <v>0</v>
      </c>
      <c r="L137" s="342"/>
      <c r="M137" s="323"/>
      <c r="N137" s="142" t="str">
        <f>IF(K137=0,"",#REF!)</f>
        <v/>
      </c>
      <c r="O137" s="102"/>
      <c r="P137" s="102"/>
    </row>
    <row r="138" spans="1:16" ht="18.75" hidden="1" customHeight="1" outlineLevel="1">
      <c r="A138" s="139" t="str">
        <f>IF(B138=0," ","CAISSON HAUT 42X80 BLANC")</f>
        <v xml:space="preserve"> </v>
      </c>
      <c r="B138" s="467">
        <f>AD91</f>
        <v>0</v>
      </c>
      <c r="C138" s="468"/>
      <c r="D138" s="469"/>
      <c r="E138" s="146" t="str">
        <f>IF(B138=0,"",343234)</f>
        <v/>
      </c>
      <c r="F138" s="223">
        <f t="shared" ca="1" si="11"/>
        <v>0</v>
      </c>
      <c r="G138" s="163" t="str">
        <f>IF(E139=0,"",C139*$B$5)</f>
        <v/>
      </c>
      <c r="H138" s="478"/>
      <c r="I138" s="478"/>
      <c r="J138" s="478"/>
      <c r="K138" s="342">
        <f t="shared" si="12"/>
        <v>0</v>
      </c>
      <c r="L138" s="342"/>
      <c r="M138" s="323"/>
      <c r="N138" s="142" t="str">
        <f>IF(K138=0,"",#REF!)</f>
        <v/>
      </c>
      <c r="O138" s="102"/>
      <c r="P138" s="102"/>
    </row>
    <row r="139" spans="1:16" ht="18.75" hidden="1" customHeight="1" outlineLevel="1">
      <c r="A139" s="140"/>
      <c r="B139" s="484"/>
      <c r="C139" s="485"/>
      <c r="D139" s="485"/>
      <c r="E139" s="102"/>
      <c r="F139" s="223">
        <f ca="1">IF(ISERROR(VLOOKUP(E140,poidscaisson,4,FALSE)),,VLOOKUP(E140,poidscaisson,4,FALSE))</f>
        <v>0</v>
      </c>
      <c r="G139" s="136"/>
      <c r="H139" s="478"/>
      <c r="I139" s="478"/>
      <c r="J139" s="478"/>
      <c r="K139" s="342">
        <f t="shared" si="12"/>
        <v>0</v>
      </c>
      <c r="L139" s="342"/>
      <c r="M139" s="323"/>
      <c r="N139" s="142" t="str">
        <f>IF(K139=0,"",#REF!)</f>
        <v/>
      </c>
      <c r="O139" s="102"/>
      <c r="P139" s="102"/>
    </row>
    <row r="140" spans="1:16" ht="18.75" hidden="1" customHeight="1" outlineLevel="1" thickBot="1">
      <c r="A140" s="481" t="str">
        <f>"FACADES "&amp;B1</f>
        <v>FACADES METRO</v>
      </c>
      <c r="B140" s="482"/>
      <c r="C140" s="482"/>
      <c r="D140" s="482"/>
      <c r="E140" s="486"/>
      <c r="F140" s="223">
        <f t="shared" ref="F140:F158" ca="1" si="13">IF(ISERROR((VLOOKUP(E141,PoidsFacade,4,FALSE))*C141),,(VLOOKUP(E141,PoidsFacade,4,FALSE))*C141)</f>
        <v>0</v>
      </c>
      <c r="G140" s="163">
        <f>IF(E141=0,"",C141*$B$5)</f>
        <v>0</v>
      </c>
      <c r="H140" s="478"/>
      <c r="I140" s="478"/>
      <c r="J140" s="478"/>
      <c r="K140" s="342">
        <f t="shared" si="12"/>
        <v>0</v>
      </c>
      <c r="L140" s="342"/>
      <c r="M140" s="323"/>
      <c r="N140" s="142" t="str">
        <f>IF(K140=0,"",#REF!)</f>
        <v/>
      </c>
      <c r="O140" s="102"/>
      <c r="P140" s="102"/>
    </row>
    <row r="141" spans="1:16" ht="18.75" hidden="1" customHeight="1" outlineLevel="1" thickBot="1">
      <c r="A141" s="148" t="str">
        <f>IF(C141=0,"","FACADE 1P 70X40")</f>
        <v/>
      </c>
      <c r="B141" s="142" t="str">
        <f>IF(C141=0,"","A")</f>
        <v/>
      </c>
      <c r="C141" s="325">
        <f>AK91</f>
        <v>0</v>
      </c>
      <c r="E141" s="146" t="str">
        <f>IF(C141=0,"",IF(HLOOKUP(($B$1&amp;1),#REF!,2,FALSE)=0,"ND",HLOOKUP(($B$1&amp;1),#REF!,2,FALSE)))</f>
        <v/>
      </c>
      <c r="F141" s="223">
        <f t="shared" ca="1" si="13"/>
        <v>0</v>
      </c>
      <c r="G141" s="163">
        <f>IF(E142=0,"",C142*$C$5)</f>
        <v>0</v>
      </c>
      <c r="H141" s="478"/>
      <c r="I141" s="478"/>
      <c r="J141" s="478"/>
      <c r="K141" s="342">
        <f t="shared" si="12"/>
        <v>0</v>
      </c>
      <c r="L141" s="342"/>
      <c r="M141" s="323"/>
      <c r="N141" s="142" t="str">
        <f>IF(K141=0,"",#REF!)</f>
        <v/>
      </c>
      <c r="O141" s="102"/>
      <c r="P141" s="102"/>
    </row>
    <row r="142" spans="1:16" ht="18.75" hidden="1" customHeight="1" outlineLevel="1">
      <c r="A142" s="148" t="str">
        <f>IF(C142=0,"","FACADE 1P+1T 70X40")</f>
        <v/>
      </c>
      <c r="B142" s="142" t="str">
        <f>IF(C142=0,"","B")</f>
        <v/>
      </c>
      <c r="C142" s="325">
        <f>AL91</f>
        <v>0</v>
      </c>
      <c r="E142" s="146" t="str">
        <f>IF(C142=0,"",IF(HLOOKUP(($B$1&amp;1),#REF!,3,FALSE)=0,"ND",HLOOKUP(($B$1&amp;1),#REF!,3,FALSE)))</f>
        <v/>
      </c>
      <c r="F142" s="223">
        <f t="shared" ca="1" si="13"/>
        <v>0</v>
      </c>
      <c r="G142" s="163">
        <f>IF(E143=0,"",C143*$D$5)</f>
        <v>0</v>
      </c>
      <c r="H142" s="478"/>
      <c r="I142" s="478"/>
      <c r="J142" s="478"/>
      <c r="K142" s="342">
        <f t="shared" si="12"/>
        <v>0</v>
      </c>
      <c r="L142" s="342"/>
      <c r="M142" s="323"/>
      <c r="N142" s="142" t="str">
        <f>IF(K142=0,"",#REF!)</f>
        <v/>
      </c>
      <c r="O142" s="102"/>
      <c r="P142" s="102"/>
    </row>
    <row r="143" spans="1:16" ht="18.75" hidden="1" customHeight="1" outlineLevel="1">
      <c r="A143" s="148" t="str">
        <f>IF(C143=0,"","FACADE 1P 70X60")</f>
        <v/>
      </c>
      <c r="B143" s="142" t="str">
        <f>IF(C143=0,"","C")</f>
        <v/>
      </c>
      <c r="C143" s="325">
        <f>AR91</f>
        <v>0</v>
      </c>
      <c r="E143" s="146" t="str">
        <f>IF(C143=0,"",IF(HLOOKUP(($B$1&amp;1),#REF!,4,FALSE)=0,"ND",HLOOKUP(($B$1&amp;1),#REF!,4,FALSE)))</f>
        <v/>
      </c>
      <c r="F143" s="223">
        <f t="shared" ca="1" si="13"/>
        <v>0</v>
      </c>
      <c r="G143" s="163">
        <f>IF(E144=0,"",C144*$H$5)</f>
        <v>0</v>
      </c>
      <c r="H143" s="478"/>
      <c r="I143" s="478"/>
      <c r="J143" s="478"/>
      <c r="K143" s="342">
        <f t="shared" si="12"/>
        <v>0</v>
      </c>
      <c r="L143" s="342"/>
      <c r="M143" s="323"/>
      <c r="N143" s="142" t="str">
        <f>IF(K143=0,"",#REF!)</f>
        <v/>
      </c>
      <c r="O143" s="102"/>
      <c r="P143" s="102"/>
    </row>
    <row r="144" spans="1:16" ht="18.75" hidden="1" customHeight="1" outlineLevel="1">
      <c r="A144" s="148" t="str">
        <f>IF(C144=0,"","FACADE 1P+1T 70X60")</f>
        <v/>
      </c>
      <c r="B144" s="142" t="str">
        <f>IF(C144=0,"","D")</f>
        <v/>
      </c>
      <c r="C144" s="325">
        <f>AS91</f>
        <v>0</v>
      </c>
      <c r="E144" s="146" t="str">
        <f>IF(C144=0,"",IF(HLOOKUP(($B$1&amp;1),#REF!,5,FALSE)=0,"ND",HLOOKUP(($B$1&amp;1),#REF!,5,FALSE)))</f>
        <v/>
      </c>
      <c r="F144" s="223">
        <f t="shared" ca="1" si="13"/>
        <v>0</v>
      </c>
      <c r="G144" s="163">
        <f>IF(E145=0,"",C145*$J$5)</f>
        <v>0</v>
      </c>
      <c r="H144" s="478"/>
      <c r="I144" s="478"/>
      <c r="J144" s="478"/>
      <c r="K144" s="342">
        <f t="shared" si="12"/>
        <v>0</v>
      </c>
      <c r="L144" s="342"/>
      <c r="M144" s="323"/>
      <c r="N144" s="142" t="str">
        <f>IF(K144=0,"",#REF!)</f>
        <v/>
      </c>
      <c r="O144" s="102"/>
      <c r="P144" s="102"/>
    </row>
    <row r="145" spans="1:16" ht="18.75" hidden="1" customHeight="1" outlineLevel="1">
      <c r="A145" s="148" t="str">
        <f>IF(C145=0,"","FACADE HOTTE 42X60")</f>
        <v/>
      </c>
      <c r="B145" s="142" t="str">
        <f>IF(C145=0,"","E")</f>
        <v/>
      </c>
      <c r="C145" s="325">
        <f>AO91</f>
        <v>0</v>
      </c>
      <c r="E145" s="146" t="str">
        <f>IF(C145=0,"",IF(HLOOKUP(($B$1&amp;1),#REF!,6,FALSE)=0,"ND",HLOOKUP(($B$1&amp;1),#REF!,6,FALSE)))</f>
        <v/>
      </c>
      <c r="F145" s="223">
        <f t="shared" ca="1" si="13"/>
        <v>0</v>
      </c>
      <c r="G145" s="163">
        <f>IF(E146=0,"",C146*$B$6)</f>
        <v>0</v>
      </c>
      <c r="H145" s="478"/>
      <c r="I145" s="478"/>
      <c r="J145" s="478"/>
      <c r="K145" s="342">
        <f t="shared" si="12"/>
        <v>0</v>
      </c>
      <c r="L145" s="342"/>
      <c r="M145" s="323"/>
      <c r="N145" s="142" t="str">
        <f>IF(K145=0,"",#REF!)</f>
        <v/>
      </c>
      <c r="O145" s="102"/>
      <c r="P145" s="102"/>
    </row>
    <row r="146" spans="1:16" ht="18.75" hidden="1" customHeight="1" outlineLevel="1">
      <c r="A146" s="148" t="str">
        <f>IF(C146=0,"","FACADE 1P 70X40 VITREE")</f>
        <v/>
      </c>
      <c r="B146" s="142" t="str">
        <f>IF(C146=0,"","F")</f>
        <v/>
      </c>
      <c r="C146" s="325">
        <f>AM91</f>
        <v>0</v>
      </c>
      <c r="E146" s="146" t="str">
        <f>IF(C146=0,"",IF(HLOOKUP(($B$1&amp;1),#REF!,7,FALSE)=0,"""ND",HLOOKUP(($B$1&amp;1),#REF!,7,FALSE)))</f>
        <v/>
      </c>
      <c r="F146" s="223">
        <f t="shared" ca="1" si="13"/>
        <v>0</v>
      </c>
      <c r="G146" s="163">
        <f>IF(E147=0,"",C147*$J$6)</f>
        <v>0</v>
      </c>
      <c r="H146" s="478"/>
      <c r="I146" s="478"/>
      <c r="J146" s="478"/>
      <c r="K146" s="342">
        <f t="shared" si="12"/>
        <v>0</v>
      </c>
      <c r="L146" s="342"/>
      <c r="M146" s="323"/>
      <c r="N146" s="142" t="str">
        <f>IF(K146=0,"",#REF!)</f>
        <v/>
      </c>
      <c r="O146" s="102"/>
      <c r="P146" s="102"/>
    </row>
    <row r="147" spans="1:16" ht="18.75" hidden="1" customHeight="1" outlineLevel="1">
      <c r="A147" s="148" t="str">
        <f>IF(C147=0,"","FACADE HOTTE 42X60 VITRE")</f>
        <v/>
      </c>
      <c r="B147" s="142" t="str">
        <f>IF(C147=0,"","P")</f>
        <v/>
      </c>
      <c r="C147" s="325">
        <f>+AP91</f>
        <v>0</v>
      </c>
      <c r="E147" s="146" t="str">
        <f>IF(C147=0,"",IF(HLOOKUP(($B$1&amp;1),#REF!,17,FALSE)=0,"ND",HLOOKUP(($B$1&amp;1),#REF!,17,FALSE)))</f>
        <v/>
      </c>
      <c r="F147" s="223">
        <f t="shared" ca="1" si="13"/>
        <v>0</v>
      </c>
      <c r="G147" s="163">
        <f>IF(E148=0,"",C148*$K$5)</f>
        <v>0</v>
      </c>
      <c r="H147" s="478"/>
      <c r="I147" s="478"/>
      <c r="J147" s="478"/>
      <c r="K147" s="342">
        <f t="shared" si="12"/>
        <v>0</v>
      </c>
      <c r="L147" s="342"/>
      <c r="M147" s="323"/>
      <c r="N147" s="142" t="str">
        <f>IF(K147=0,"",#REF!)</f>
        <v/>
      </c>
      <c r="O147" s="102"/>
      <c r="P147" s="102"/>
    </row>
    <row r="148" spans="1:16" ht="18.75" hidden="1" customHeight="1" outlineLevel="1">
      <c r="A148" s="148" t="str">
        <f>IF(C148=0,"","FACADE 3T 70X60")</f>
        <v/>
      </c>
      <c r="B148" s="142" t="str">
        <f>IF(C148=0,"","G")</f>
        <v/>
      </c>
      <c r="C148" s="325">
        <f>AT91</f>
        <v>0</v>
      </c>
      <c r="E148" s="146" t="str">
        <f>IF(C148=0,"",IF(HLOOKUP(($B$1&amp;1),#REF!,8,FALSE)=0,"ND",HLOOKUP(($B$1&amp;1),#REF!,8,FALSE)))</f>
        <v/>
      </c>
      <c r="F148" s="223">
        <f t="shared" ca="1" si="13"/>
        <v>0</v>
      </c>
      <c r="G148" s="163">
        <f>IF(E149=0,"",C149*$L$5)</f>
        <v>0</v>
      </c>
      <c r="H148" s="478"/>
      <c r="I148" s="478"/>
      <c r="J148" s="478"/>
      <c r="K148" s="342">
        <f t="shared" si="12"/>
        <v>0</v>
      </c>
      <c r="L148" s="342"/>
      <c r="M148" s="323"/>
      <c r="N148" s="142" t="str">
        <f>IF(K148=0,"",#REF!)</f>
        <v/>
      </c>
      <c r="O148" s="102"/>
      <c r="P148" s="102"/>
    </row>
    <row r="149" spans="1:16" ht="18.75" hidden="1" customHeight="1" outlineLevel="1" thickBot="1">
      <c r="A149" s="148" t="str">
        <f>IF(C149=0,"","FACADE 3T 70X80")</f>
        <v/>
      </c>
      <c r="B149" s="142" t="str">
        <f>IF(C149=0,"","H")</f>
        <v/>
      </c>
      <c r="C149" s="325">
        <f>AW91</f>
        <v>0</v>
      </c>
      <c r="E149" s="146" t="str">
        <f>IF(C149=0,"",IF(HLOOKUP(($B$1&amp;1),#REF!,9,FALSE)=0,"ND",HLOOKUP(($B$1&amp;1),#REF!,9,FALSE)))</f>
        <v/>
      </c>
      <c r="F149" s="223">
        <f t="shared" ca="1" si="13"/>
        <v>0</v>
      </c>
      <c r="G149" s="163">
        <f>IF(E150=0,"",C150*$M$5)</f>
        <v>0</v>
      </c>
      <c r="H149" s="478"/>
      <c r="I149" s="478"/>
      <c r="J149" s="478"/>
      <c r="K149" s="342">
        <f t="shared" si="12"/>
        <v>0</v>
      </c>
      <c r="L149" s="342"/>
      <c r="M149" s="323"/>
      <c r="N149" s="142" t="str">
        <f>IF(K149=0,"",#REF!)</f>
        <v/>
      </c>
      <c r="O149" s="102"/>
      <c r="P149" s="102"/>
    </row>
    <row r="150" spans="1:16" ht="18.75" hidden="1" customHeight="1" outlineLevel="1" thickBot="1">
      <c r="A150" s="148" t="str">
        <f>IF(C150=0,"","FACADE LATERALE HAUTE")</f>
        <v/>
      </c>
      <c r="B150" s="142" t="str">
        <f>IF(C150=0,"","I")</f>
        <v/>
      </c>
      <c r="C150" s="325">
        <f>C86</f>
        <v>0</v>
      </c>
      <c r="E150" s="146" t="str">
        <f>IF(C150=0,"",IF(HLOOKUP(($B$1&amp;1),#REF!,10,FALSE)=0,"ND",HLOOKUP(($B$1&amp;1),#REF!,10,FALSE)))</f>
        <v/>
      </c>
      <c r="F150" s="223">
        <f t="shared" ca="1" si="13"/>
        <v>0</v>
      </c>
      <c r="G150" s="163">
        <f>IF(E151=0,"",C151*$N$5)</f>
        <v>0</v>
      </c>
      <c r="H150" s="481" t="s">
        <v>414</v>
      </c>
      <c r="I150" s="482"/>
      <c r="J150" s="482"/>
      <c r="K150" s="482"/>
      <c r="L150" s="482"/>
      <c r="M150" s="482"/>
      <c r="N150" s="482"/>
      <c r="O150" s="102"/>
      <c r="P150" s="102"/>
    </row>
    <row r="151" spans="1:16" ht="18.75" hidden="1" customHeight="1" outlineLevel="1">
      <c r="A151" s="148" t="str">
        <f>IF(C151=0,"","FACADE LATERALE BASSE")</f>
        <v/>
      </c>
      <c r="B151" s="142" t="str">
        <f>IF(C151=0,"","J")</f>
        <v/>
      </c>
      <c r="C151" s="325">
        <f>C85</f>
        <v>0</v>
      </c>
      <c r="E151" s="146" t="str">
        <f>IF(C151=0,"",IF(HLOOKUP(($B$1&amp;1),#REF!,11,FALSE)=0,"ND",HLOOKUP(($B$1&amp;1),#REF!,11,FALSE)))</f>
        <v/>
      </c>
      <c r="F151" s="223">
        <f t="shared" ca="1" si="13"/>
        <v>0</v>
      </c>
      <c r="G151" s="163">
        <f>IF(E152=0,"",C152*$O$5)</f>
        <v>0</v>
      </c>
      <c r="H151" s="146"/>
      <c r="I151" s="102"/>
      <c r="J151" s="102"/>
      <c r="K151" s="102"/>
      <c r="L151" s="102"/>
      <c r="M151" s="323"/>
      <c r="N151" s="102"/>
      <c r="O151" s="102"/>
      <c r="P151" s="102"/>
    </row>
    <row r="152" spans="1:16" ht="18.75" hidden="1" customHeight="1" outlineLevel="1" thickBot="1">
      <c r="A152" s="148" t="str">
        <f>IF(C152=0,"","FACADE 1P 130X60")</f>
        <v/>
      </c>
      <c r="B152" s="142" t="str">
        <f>IF(C152=0,"","K")</f>
        <v/>
      </c>
      <c r="C152" s="325">
        <f>BA91</f>
        <v>0</v>
      </c>
      <c r="E152" s="146" t="str">
        <f>IF(C152=0,"",IF(HLOOKUP(($B$1&amp;1),#REF!,12,FALSE)=0,"ND",HLOOKUP(($B$1&amp;1),#REF!,12,FALSE)))</f>
        <v/>
      </c>
      <c r="F152" s="223">
        <f t="shared" ca="1" si="13"/>
        <v>0</v>
      </c>
      <c r="G152" s="160">
        <f>IF(E153=0,"",C153*$P$5)</f>
        <v>0</v>
      </c>
      <c r="H152" s="146"/>
      <c r="I152" s="479" t="s">
        <v>1018</v>
      </c>
      <c r="J152" s="480"/>
      <c r="K152" s="102"/>
      <c r="L152" s="102"/>
      <c r="M152" s="323"/>
      <c r="N152" s="102"/>
      <c r="O152" s="102"/>
      <c r="P152" s="102"/>
    </row>
    <row r="153" spans="1:16" ht="18.75" hidden="1" customHeight="1" outlineLevel="1" thickBot="1">
      <c r="A153" s="148" t="str">
        <f>IF(C153=0,"","FACADE 1P 70X15")</f>
        <v/>
      </c>
      <c r="B153" s="142" t="str">
        <f>IF(C153=0,"","L")</f>
        <v/>
      </c>
      <c r="C153" s="325">
        <f>C83</f>
        <v>0</v>
      </c>
      <c r="E153" s="146" t="str">
        <f>IF(C153=0,"",IF(HLOOKUP(($B$1&amp;1),#REF!,13,FALSE)=0,"ND",HLOOKUP(($B$1&amp;1),#REF!,13,FALSE)))</f>
        <v/>
      </c>
      <c r="F153" s="223">
        <f t="shared" ca="1" si="13"/>
        <v>0</v>
      </c>
      <c r="G153" s="160">
        <f>IF(E154=0,"",C154*$I$5)</f>
        <v>0</v>
      </c>
      <c r="H153" s="146"/>
      <c r="I153" s="479"/>
      <c r="J153" s="480"/>
      <c r="K153" s="102"/>
      <c r="L153" s="102"/>
      <c r="M153" s="323"/>
      <c r="N153" s="102"/>
      <c r="O153" s="221"/>
      <c r="P153" s="221"/>
    </row>
    <row r="154" spans="1:16" ht="18.75" hidden="1" customHeight="1" outlineLevel="1">
      <c r="A154" s="148" t="str">
        <f>IF(C154=0,"","FACADE 1P 42X80")</f>
        <v/>
      </c>
      <c r="B154" s="142" t="str">
        <f>IF(C154=0,"","R")</f>
        <v/>
      </c>
      <c r="C154" s="325">
        <f>C34</f>
        <v>0</v>
      </c>
      <c r="E154" s="146" t="str">
        <f>IF(C154=0,"",IF(HLOOKUP(($B$1&amp;1),#REF!,19,FALSE)=0,"ND",HLOOKUP(($B$1&amp;1),#REF!,19,FALSE)))</f>
        <v/>
      </c>
      <c r="F154" s="223">
        <f t="shared" ca="1" si="13"/>
        <v>0</v>
      </c>
      <c r="G154" s="160">
        <f>IF(E155=0,"",C155*$I$6)</f>
        <v>0</v>
      </c>
      <c r="H154" s="146"/>
      <c r="I154" s="102"/>
      <c r="J154" s="102"/>
      <c r="K154" s="102"/>
      <c r="L154" s="102"/>
      <c r="M154" s="323"/>
      <c r="N154" s="102"/>
      <c r="O154" s="102"/>
      <c r="P154" s="102"/>
    </row>
    <row r="155" spans="1:16" ht="18.75" hidden="1" customHeight="1" outlineLevel="1">
      <c r="A155" s="148" t="str">
        <f>IF(C155=0,"","FACADE 1 P 42X80 VITREE")</f>
        <v/>
      </c>
      <c r="B155" s="142" t="str">
        <f>IF(C155=0,"","S")</f>
        <v/>
      </c>
      <c r="C155" s="325">
        <f>C35</f>
        <v>0</v>
      </c>
      <c r="E155" s="146" t="str">
        <f>IF(C155=0,"",IF(HLOOKUP(($B$1&amp;1),#REF!,20,FALSE)=0,"ND",HLOOKUP(($B$1&amp;1),#REF!,20,FALSE)))</f>
        <v/>
      </c>
      <c r="F155" s="223">
        <f t="shared" ca="1" si="13"/>
        <v>0</v>
      </c>
      <c r="G155" s="160">
        <f>IF(E156=0,"",C156*$N$12)</f>
        <v>0</v>
      </c>
      <c r="H155" s="146"/>
      <c r="I155" s="102"/>
      <c r="J155" s="102"/>
      <c r="K155" s="102"/>
      <c r="L155" s="102"/>
      <c r="M155" s="323"/>
      <c r="N155" s="102"/>
      <c r="O155" s="102"/>
      <c r="P155" s="102"/>
    </row>
    <row r="156" spans="1:16" ht="18.75" hidden="1" customHeight="1" outlineLevel="1">
      <c r="A156" s="148" t="str">
        <f>IF(C156=0,"","PLINTHE 2M40" )</f>
        <v/>
      </c>
      <c r="B156" s="142"/>
      <c r="C156" s="325">
        <f>M23</f>
        <v>0</v>
      </c>
      <c r="E156" s="146" t="str">
        <f>IF(C156=0,"",IF(HLOOKUP(($B$1&amp;1),#REF!,23,FALSE)=0,"ND",HLOOKUP(($B$1&amp;1),#REF!,23,FALSE)))</f>
        <v/>
      </c>
      <c r="F156" s="223">
        <f t="shared" ca="1" si="13"/>
        <v>0</v>
      </c>
      <c r="G156" s="160">
        <f>IF(E157=0,"",C157*$B$87)</f>
        <v>0</v>
      </c>
      <c r="H156" s="146"/>
      <c r="I156" s="102"/>
      <c r="J156" s="102"/>
      <c r="K156" s="102"/>
      <c r="L156" s="102"/>
      <c r="M156" s="323"/>
      <c r="N156" s="102"/>
      <c r="O156" s="102"/>
      <c r="P156" s="102"/>
    </row>
    <row r="157" spans="1:16" ht="18.75" hidden="1" customHeight="1" outlineLevel="1">
      <c r="A157" s="148" t="str">
        <f>IF(C157=0,"","COTE FINITION DE COLONNE")</f>
        <v/>
      </c>
      <c r="B157" s="142" t="str">
        <f>IF(C157=0,"","M")</f>
        <v/>
      </c>
      <c r="C157" s="325">
        <f>+C87</f>
        <v>0</v>
      </c>
      <c r="E157" s="146" t="str">
        <f>IF(C157=0,"",IF(HLOOKUP(($B$1&amp;1),#REF!,14,FALSE)=0,"ND",HLOOKUP(($B$1&amp;1),#REF!,14,FALSE)))</f>
        <v/>
      </c>
      <c r="F157" s="223">
        <f t="shared" ca="1" si="13"/>
        <v>0</v>
      </c>
      <c r="G157" s="160" t="e">
        <f>IF(E158=0,"",C158*$N$10)</f>
        <v>#REF!</v>
      </c>
      <c r="H157" s="102"/>
      <c r="I157" s="102"/>
      <c r="J157" s="102"/>
      <c r="K157" s="102"/>
      <c r="L157" s="102"/>
      <c r="M157" s="323"/>
      <c r="N157" s="102"/>
      <c r="O157" s="102"/>
      <c r="P157" s="102"/>
    </row>
    <row r="158" spans="1:16" ht="18.75" hidden="1" customHeight="1" outlineLevel="1">
      <c r="A158" s="148" t="str">
        <f>IF(C158=0,"","FILEUR D'ANGLE 70X4X4CM")</f>
        <v>FILEUR D'ANGLE 70X4X4CM</v>
      </c>
      <c r="B158" s="142" t="str">
        <f>IF(C158=0,"","N")</f>
        <v>N</v>
      </c>
      <c r="C158" s="325">
        <f>M45</f>
        <v>1</v>
      </c>
      <c r="E158" s="146" t="e">
        <f>IF(C158=0,"",IF(HLOOKUP(($B$1&amp;1),#REF!,15,FALSE)=0,"ND",HLOOKUP(($B$1&amp;1),#REF!,15,FALSE)))</f>
        <v>#REF!</v>
      </c>
      <c r="F158" s="223">
        <f t="shared" ca="1" si="13"/>
        <v>0</v>
      </c>
      <c r="G158" s="160">
        <f>IF(E159=0,"",C159*$N$11)</f>
        <v>0</v>
      </c>
      <c r="H158" s="102"/>
      <c r="I158" s="102"/>
      <c r="J158" s="102"/>
      <c r="K158" s="102"/>
      <c r="L158" s="102"/>
      <c r="M158" s="323"/>
      <c r="N158" s="102"/>
      <c r="O158" s="102"/>
      <c r="P158" s="102"/>
    </row>
    <row r="159" spans="1:16" ht="18.75" hidden="1" customHeight="1" outlineLevel="1">
      <c r="A159" s="148" t="str">
        <f>IF(C159=0,"","BANDEAU FOUR")</f>
        <v/>
      </c>
      <c r="B159" s="142" t="str">
        <f>IF(C159=0,"","O")</f>
        <v/>
      </c>
      <c r="C159" s="325">
        <f>+M46</f>
        <v>0</v>
      </c>
      <c r="E159" s="146" t="str">
        <f>IF(C159=0,"",IF(HLOOKUP(($B$1&amp;1),#REF!,16,FALSE)=0,"ND",HLOOKUP(($B$1&amp;1),#REF!,16,FALSE)))</f>
        <v/>
      </c>
      <c r="F159" s="223">
        <f t="shared" ref="F159:F167" ca="1" si="14">IF(ISERROR(VLOOKUP(E160,poidscaisson,4,FALSE)),,VLOOKUP(E160,poidscaisson,4))</f>
        <v>0</v>
      </c>
      <c r="G159" s="161"/>
      <c r="H159" s="102"/>
      <c r="I159" s="102"/>
      <c r="J159" s="102"/>
      <c r="K159" s="102"/>
      <c r="L159" s="102"/>
      <c r="M159" s="323"/>
      <c r="N159" s="102"/>
      <c r="O159" s="102"/>
      <c r="P159" s="102"/>
    </row>
    <row r="160" spans="1:16" ht="18.75" hidden="1" customHeight="1" outlineLevel="1" thickBot="1">
      <c r="A160" s="481" t="s">
        <v>440</v>
      </c>
      <c r="B160" s="482"/>
      <c r="C160" s="482"/>
      <c r="D160" s="482"/>
      <c r="E160" s="486"/>
      <c r="F160" s="223">
        <f t="shared" ca="1" si="14"/>
        <v>0</v>
      </c>
      <c r="G160" s="160">
        <f>IF(E161=0,"",B161*$B$14)</f>
        <v>0</v>
      </c>
      <c r="H160" s="102"/>
      <c r="I160" s="102"/>
      <c r="J160" s="102"/>
      <c r="K160" s="102"/>
      <c r="L160" s="102"/>
      <c r="M160" s="323"/>
      <c r="N160" s="102"/>
      <c r="O160" s="102"/>
      <c r="P160" s="102"/>
    </row>
    <row r="161" spans="1:16" ht="18.75" hidden="1" customHeight="1" outlineLevel="1" thickBot="1">
      <c r="A161" s="148" t="str">
        <f>IF(B161=0,"",IF(J2="non","CHARNIERES CLASSIQUES","CHARNIERES AMORTIES"))</f>
        <v/>
      </c>
      <c r="B161" s="467">
        <f>+S91</f>
        <v>0</v>
      </c>
      <c r="C161" s="468"/>
      <c r="D161" s="469"/>
      <c r="E161" s="146" t="str">
        <f>IF(B161=0,"",IF(J2="non",#REF!,#REF!))</f>
        <v/>
      </c>
      <c r="F161" s="223">
        <f t="shared" ca="1" si="14"/>
        <v>0</v>
      </c>
      <c r="G161" s="160" t="str">
        <f>IF(B162=0,"",IF(D2="non",VLOOKUP(E162,#REF!,2,)*B162,VLOOKUP(E162,#REF!,2,)*B162))</f>
        <v/>
      </c>
      <c r="H161" s="102"/>
      <c r="I161" s="102"/>
      <c r="J161" s="102"/>
      <c r="K161" s="102"/>
      <c r="L161" s="102"/>
      <c r="M161" s="323"/>
      <c r="N161" s="102"/>
      <c r="O161" s="102"/>
      <c r="P161" s="102"/>
    </row>
    <row r="162" spans="1:16" ht="18.75" hidden="1" customHeight="1" outlineLevel="1">
      <c r="A162" s="148" t="str">
        <f>IF(B162=0,"",IF($D$2="non","KIT TIROIR Standard 40","KIT TIROIR SILENT SYSTEM 40"))</f>
        <v/>
      </c>
      <c r="B162" s="467">
        <f>+BB91</f>
        <v>0</v>
      </c>
      <c r="C162" s="468"/>
      <c r="D162" s="469"/>
      <c r="E162" s="146" t="str">
        <f>IF(B162=0,"",IF(D2="non",#REF!,#REF!))</f>
        <v/>
      </c>
      <c r="F162" s="223">
        <f t="shared" ca="1" si="14"/>
        <v>0</v>
      </c>
      <c r="G162" s="160">
        <f>IF(E163=0,"",B163*D13)</f>
        <v>0</v>
      </c>
      <c r="H162" s="102"/>
      <c r="I162" s="102"/>
      <c r="J162" s="102"/>
      <c r="K162" s="102"/>
      <c r="L162" s="102"/>
      <c r="M162" s="323"/>
      <c r="N162" s="102"/>
      <c r="O162" s="102"/>
      <c r="P162" s="102"/>
    </row>
    <row r="163" spans="1:16" ht="18.75" hidden="1" customHeight="1" outlineLevel="1">
      <c r="A163" s="148" t="str">
        <f>IF(B163=0,"",IF($D$2="non","KIT TIROIR Standard 60","KIT TIROIR SILENT SYSTEM 60"))</f>
        <v/>
      </c>
      <c r="B163" s="467">
        <f>+BC91</f>
        <v>0</v>
      </c>
      <c r="C163" s="468"/>
      <c r="D163" s="469"/>
      <c r="E163" s="146" t="str">
        <f>IF(B163=0,"",IF(D2="non",#REF!,#REF!))</f>
        <v/>
      </c>
      <c r="F163" s="223">
        <f t="shared" ca="1" si="14"/>
        <v>0</v>
      </c>
      <c r="G163" s="160">
        <f>IF(E164=0,"",B164*$H$13)</f>
        <v>0</v>
      </c>
      <c r="H163" s="102"/>
      <c r="I163" s="102"/>
      <c r="J163" s="102"/>
      <c r="K163" s="102"/>
      <c r="L163" s="102"/>
      <c r="M163" s="323"/>
      <c r="N163" s="102"/>
      <c r="O163" s="102"/>
      <c r="P163" s="102"/>
    </row>
    <row r="164" spans="1:16" ht="18.75" hidden="1" customHeight="1" outlineLevel="1">
      <c r="A164" s="148" t="str">
        <f>IF(B164=0,"",IF($D$2="non","KIT CASS Standard 60","KIT CASS SILENT SYSTEM 60"))</f>
        <v/>
      </c>
      <c r="B164" s="467">
        <f>+BF91</f>
        <v>0</v>
      </c>
      <c r="C164" s="468"/>
      <c r="D164" s="469"/>
      <c r="E164" s="146" t="str">
        <f>IF(B164=0,"",IF(D2="non",#REF!,#REF!))</f>
        <v/>
      </c>
      <c r="F164" s="223">
        <f t="shared" ca="1" si="14"/>
        <v>0</v>
      </c>
      <c r="G164" s="160">
        <f>IF(E165=0,"",B165*I13)</f>
        <v>0</v>
      </c>
      <c r="H164" s="102"/>
      <c r="I164" s="102"/>
      <c r="J164" s="102"/>
      <c r="K164" s="102"/>
      <c r="L164" s="102"/>
      <c r="M164" s="323"/>
      <c r="N164" s="102"/>
      <c r="O164" s="102"/>
      <c r="P164" s="102"/>
    </row>
    <row r="165" spans="1:16" ht="18.75" hidden="1" customHeight="1" outlineLevel="1">
      <c r="A165" s="148" t="str">
        <f>IF(B165=0,"","KIT TIROIR 80 CM SILENT SYSTEM")</f>
        <v/>
      </c>
      <c r="B165" s="467">
        <f>+BD91</f>
        <v>0</v>
      </c>
      <c r="C165" s="468"/>
      <c r="D165" s="469"/>
      <c r="E165" s="146" t="str">
        <f>IF(B165=0,"",#REF!)</f>
        <v/>
      </c>
      <c r="F165" s="223">
        <f t="shared" ca="1" si="14"/>
        <v>0</v>
      </c>
      <c r="G165" s="160">
        <f>IF(E166=0,"",B166*J13)</f>
        <v>0</v>
      </c>
      <c r="H165" s="102"/>
      <c r="I165" s="102"/>
      <c r="J165" s="102"/>
      <c r="K165" s="102"/>
      <c r="L165" s="102"/>
      <c r="M165" s="323"/>
      <c r="N165" s="102"/>
      <c r="O165" s="102"/>
      <c r="P165" s="102"/>
    </row>
    <row r="166" spans="1:16" ht="18.75" hidden="1" customHeight="1" outlineLevel="1">
      <c r="A166" s="148" t="str">
        <f>IF(B166=0,"","KIT TIROIR CASSEROL. 80CM SILENT SYSTEM")</f>
        <v/>
      </c>
      <c r="B166" s="467">
        <f>+BG91</f>
        <v>0</v>
      </c>
      <c r="C166" s="468"/>
      <c r="D166" s="469"/>
      <c r="E166" s="146" t="str">
        <f>IF(B166=0,"",#REF!)</f>
        <v/>
      </c>
      <c r="F166" s="223">
        <f t="shared" ca="1" si="14"/>
        <v>0</v>
      </c>
      <c r="G166" s="160" t="e">
        <f>IF(E167=0,"",B167*#REF!)</f>
        <v>#REF!</v>
      </c>
      <c r="H166" s="102"/>
      <c r="I166" s="102"/>
      <c r="J166" s="102"/>
      <c r="K166" s="102"/>
      <c r="L166" s="102"/>
      <c r="M166" s="323"/>
      <c r="N166" s="102"/>
      <c r="O166" s="102"/>
      <c r="P166" s="102"/>
    </row>
    <row r="167" spans="1:16" ht="17.399999999999999" hidden="1" outlineLevel="1">
      <c r="A167" s="148" t="str">
        <f>IF(B167=0,"","PANIER FIL EPICE/BOUT CAISSON 15CM")</f>
        <v/>
      </c>
      <c r="B167" s="483">
        <f>C83</f>
        <v>0</v>
      </c>
      <c r="C167" s="468"/>
      <c r="D167" s="469"/>
      <c r="E167" s="146" t="str">
        <f>IF(B167=0,"",#REF!)</f>
        <v/>
      </c>
      <c r="F167" s="223">
        <f t="shared" ca="1" si="14"/>
        <v>0</v>
      </c>
      <c r="G167" s="160" t="e">
        <f>IF(E168=0,"",B168*#REF!)</f>
        <v>#REF!</v>
      </c>
      <c r="H167" s="102"/>
      <c r="I167" s="102"/>
      <c r="J167" s="102"/>
      <c r="K167" s="102"/>
      <c r="L167" s="102"/>
      <c r="M167" s="323"/>
      <c r="N167" s="102"/>
      <c r="O167" s="102"/>
      <c r="P167" s="102"/>
    </row>
    <row r="168" spans="1:16" ht="15.75" hidden="1" customHeight="1" outlineLevel="1">
      <c r="A168" s="148" t="str">
        <f>IF(B168=0,"","VERRIN A GAZ ")</f>
        <v/>
      </c>
      <c r="B168" s="483">
        <f>AI91</f>
        <v>0</v>
      </c>
      <c r="C168" s="468"/>
      <c r="D168" s="469"/>
      <c r="E168" s="146" t="str">
        <f>IF(B168=0,"",#REF!)</f>
        <v/>
      </c>
      <c r="F168" s="223">
        <f t="shared" ref="F168:F175" ca="1" si="15">IF(ISERROR(VLOOKUP(E169,poidscaisson,4)),,VLOOKUP(E169,poidscaisson,4))</f>
        <v>0</v>
      </c>
      <c r="G168" s="160" t="str">
        <f t="shared" ref="G168:G175" si="16">IF(E169=0,"",B169*$B$14)</f>
        <v/>
      </c>
      <c r="H168" s="102"/>
      <c r="I168" s="102"/>
      <c r="J168" s="102"/>
      <c r="K168" s="102"/>
      <c r="L168" s="102"/>
      <c r="M168" s="323"/>
      <c r="N168" s="102"/>
      <c r="O168" s="102"/>
      <c r="P168" s="102"/>
    </row>
    <row r="169" spans="1:16" ht="17.399999999999999" hidden="1" outlineLevel="1">
      <c r="A169" s="148"/>
      <c r="B169" s="467"/>
      <c r="C169" s="468"/>
      <c r="D169" s="469"/>
      <c r="E169" s="146"/>
      <c r="F169" s="223">
        <f t="shared" ca="1" si="15"/>
        <v>0</v>
      </c>
      <c r="G169" s="160" t="str">
        <f t="shared" si="16"/>
        <v/>
      </c>
      <c r="H169" s="102"/>
      <c r="I169" s="102"/>
      <c r="J169" s="102"/>
      <c r="K169" s="102"/>
      <c r="L169" s="102"/>
      <c r="M169" s="323"/>
      <c r="N169" s="102"/>
      <c r="O169" s="102"/>
      <c r="P169" s="102"/>
    </row>
    <row r="170" spans="1:16" ht="17.399999999999999" hidden="1" outlineLevel="1">
      <c r="A170" s="148"/>
      <c r="B170" s="467"/>
      <c r="C170" s="468"/>
      <c r="D170" s="469"/>
      <c r="E170" s="146"/>
      <c r="F170" s="223">
        <f t="shared" ca="1" si="15"/>
        <v>0</v>
      </c>
      <c r="G170" s="160" t="str">
        <f t="shared" si="16"/>
        <v/>
      </c>
      <c r="H170" s="102"/>
      <c r="I170" s="102"/>
      <c r="J170" s="102"/>
      <c r="K170" s="102"/>
      <c r="L170" s="102"/>
      <c r="M170" s="323"/>
      <c r="N170" s="102"/>
      <c r="O170" s="102"/>
      <c r="P170" s="102"/>
    </row>
    <row r="171" spans="1:16" ht="17.399999999999999" hidden="1" outlineLevel="1">
      <c r="A171" s="148"/>
      <c r="B171" s="467"/>
      <c r="C171" s="468"/>
      <c r="D171" s="469"/>
      <c r="E171" s="146"/>
      <c r="F171" s="223">
        <f t="shared" ca="1" si="15"/>
        <v>0</v>
      </c>
      <c r="G171" s="160" t="str">
        <f t="shared" si="16"/>
        <v/>
      </c>
      <c r="H171" s="102"/>
      <c r="I171" s="102"/>
      <c r="J171" s="102"/>
      <c r="K171" s="102"/>
      <c r="L171" s="102"/>
      <c r="M171" s="323"/>
      <c r="N171" s="102"/>
      <c r="O171" s="102"/>
      <c r="P171" s="102"/>
    </row>
    <row r="172" spans="1:16" ht="17.399999999999999" hidden="1" outlineLevel="1">
      <c r="A172" s="148"/>
      <c r="B172" s="467"/>
      <c r="C172" s="468"/>
      <c r="D172" s="469"/>
      <c r="E172" s="146"/>
      <c r="F172" s="223">
        <f t="shared" ca="1" si="15"/>
        <v>0</v>
      </c>
      <c r="G172" s="160" t="str">
        <f t="shared" si="16"/>
        <v/>
      </c>
      <c r="H172" s="102"/>
      <c r="I172" s="102"/>
      <c r="J172" s="102"/>
      <c r="K172" s="102"/>
      <c r="L172" s="102"/>
      <c r="M172" s="323"/>
      <c r="N172" s="102"/>
      <c r="O172" s="102"/>
      <c r="P172" s="102"/>
    </row>
    <row r="173" spans="1:16" ht="17.399999999999999" hidden="1" outlineLevel="1">
      <c r="A173" s="148"/>
      <c r="B173" s="467"/>
      <c r="C173" s="468"/>
      <c r="D173" s="469"/>
      <c r="E173" s="146"/>
      <c r="F173" s="223">
        <f t="shared" ca="1" si="15"/>
        <v>0</v>
      </c>
      <c r="G173" s="160" t="str">
        <f t="shared" si="16"/>
        <v/>
      </c>
      <c r="H173" s="102"/>
      <c r="I173" s="102"/>
      <c r="J173" s="102"/>
      <c r="K173" s="102"/>
      <c r="L173" s="102"/>
      <c r="M173" s="323"/>
      <c r="N173" s="102"/>
      <c r="O173" s="102"/>
      <c r="P173" s="102"/>
    </row>
    <row r="174" spans="1:16" ht="17.399999999999999" hidden="1" outlineLevel="1">
      <c r="A174" s="148"/>
      <c r="B174" s="467"/>
      <c r="C174" s="468"/>
      <c r="D174" s="469"/>
      <c r="E174" s="146"/>
      <c r="F174" s="223">
        <f t="shared" ca="1" si="15"/>
        <v>0</v>
      </c>
      <c r="G174" s="160" t="str">
        <f t="shared" si="16"/>
        <v/>
      </c>
      <c r="H174" s="102"/>
      <c r="I174" s="102"/>
      <c r="J174" s="102"/>
      <c r="K174" s="102"/>
      <c r="L174" s="102"/>
      <c r="M174" s="323"/>
      <c r="N174" s="102"/>
      <c r="O174" s="102"/>
      <c r="P174" s="102"/>
    </row>
    <row r="175" spans="1:16" ht="17.399999999999999" hidden="1" outlineLevel="1">
      <c r="A175" s="148"/>
      <c r="B175" s="467"/>
      <c r="C175" s="468"/>
      <c r="D175" s="469"/>
      <c r="E175" s="146"/>
      <c r="F175" s="223">
        <f t="shared" ca="1" si="15"/>
        <v>0</v>
      </c>
      <c r="G175" s="160" t="str">
        <f t="shared" si="16"/>
        <v/>
      </c>
      <c r="H175" s="102"/>
      <c r="I175" s="102"/>
      <c r="J175" s="102"/>
      <c r="K175" s="102"/>
      <c r="L175" s="102"/>
      <c r="M175" s="323"/>
      <c r="N175" s="102"/>
      <c r="O175" s="102"/>
      <c r="P175" s="102"/>
    </row>
    <row r="176" spans="1:16" ht="17.399999999999999" hidden="1">
      <c r="A176" s="148"/>
      <c r="B176" s="467"/>
      <c r="C176" s="468"/>
      <c r="D176" s="469"/>
      <c r="E176" s="146"/>
      <c r="F176" s="223">
        <f>SUM(F124:F175)</f>
        <v>0</v>
      </c>
      <c r="G176" s="159" t="e">
        <f>SUM(G124:G175)</f>
        <v>#REF!</v>
      </c>
      <c r="H176" s="102"/>
      <c r="I176" s="102"/>
      <c r="J176" s="102"/>
      <c r="K176" s="102"/>
      <c r="L176" s="102"/>
      <c r="M176" s="323"/>
      <c r="N176" s="102"/>
      <c r="O176" s="102"/>
      <c r="P176" s="102"/>
    </row>
    <row r="177" spans="1:16" hidden="1">
      <c r="A177" s="102"/>
      <c r="B177" s="102"/>
      <c r="C177" s="323"/>
      <c r="D177" s="102"/>
      <c r="E177" s="102"/>
      <c r="F177" s="223"/>
      <c r="G177" s="102"/>
      <c r="H177" s="83"/>
      <c r="I177" s="83"/>
      <c r="J177" s="83"/>
      <c r="K177" s="83"/>
      <c r="L177" s="83"/>
      <c r="M177" s="327"/>
      <c r="N177" s="83"/>
      <c r="O177" s="102">
        <f>SUM(O125:O132)+SUM(O134:O152)</f>
        <v>0</v>
      </c>
      <c r="P177" s="159">
        <f>SUM(P154:P176)+SUM(P134:P152)+SUM(P125:P132)</f>
        <v>0</v>
      </c>
    </row>
    <row r="178" spans="1:16" ht="19.5" hidden="1" customHeight="1">
      <c r="A178" s="153" t="s">
        <v>406</v>
      </c>
      <c r="B178" s="154">
        <f>F176+O177</f>
        <v>0</v>
      </c>
      <c r="C178" s="326" t="s">
        <v>407</v>
      </c>
      <c r="D178" s="102"/>
      <c r="E178" s="102"/>
      <c r="F178" s="223"/>
      <c r="G178" s="102"/>
      <c r="H178" s="83"/>
      <c r="I178" s="83"/>
      <c r="J178" s="83"/>
      <c r="K178" s="83"/>
      <c r="L178" s="83"/>
      <c r="M178" s="327"/>
      <c r="N178" s="83"/>
      <c r="O178" s="102"/>
      <c r="P178" s="102"/>
    </row>
    <row r="179" spans="1:16" ht="17.399999999999999" hidden="1">
      <c r="A179" s="153" t="s">
        <v>411</v>
      </c>
      <c r="B179" s="158" t="e">
        <f>K93-G176-P177-SUM(N72:N87)</f>
        <v>#REF!</v>
      </c>
      <c r="C179" s="323"/>
      <c r="D179" s="102"/>
      <c r="E179" s="102"/>
      <c r="F179" s="83"/>
      <c r="G179" s="83"/>
      <c r="H179" s="83"/>
      <c r="I179" s="83"/>
      <c r="J179" s="83"/>
      <c r="K179" s="83"/>
      <c r="L179" s="83"/>
      <c r="M179" s="327"/>
      <c r="N179" s="83"/>
      <c r="O179" s="102"/>
      <c r="P179" s="102"/>
    </row>
    <row r="180" spans="1:16" hidden="1">
      <c r="A180" s="83"/>
      <c r="B180" s="83"/>
      <c r="C180" s="327"/>
      <c r="D180" s="83"/>
      <c r="E180" s="83"/>
      <c r="F180" s="83"/>
      <c r="G180" s="83"/>
      <c r="H180" s="83"/>
      <c r="I180" s="83"/>
      <c r="J180" s="83"/>
      <c r="K180" s="83"/>
      <c r="L180" s="83"/>
      <c r="M180" s="327"/>
      <c r="N180" s="83"/>
    </row>
    <row r="181" spans="1:16" hidden="1">
      <c r="A181" s="83" t="s">
        <v>1633</v>
      </c>
      <c r="B181" s="83"/>
      <c r="C181" s="327"/>
      <c r="D181" s="83"/>
      <c r="E181" s="83"/>
      <c r="F181" s="83"/>
      <c r="G181" s="83"/>
      <c r="H181" s="83"/>
      <c r="I181" s="83"/>
      <c r="J181" s="83"/>
      <c r="K181" s="83"/>
      <c r="L181" s="83"/>
      <c r="M181" s="327"/>
      <c r="N181" s="83"/>
    </row>
    <row r="182" spans="1:16" hidden="1">
      <c r="A182" s="83"/>
      <c r="B182" s="83"/>
      <c r="C182" s="327"/>
      <c r="D182" s="83"/>
      <c r="E182" s="83"/>
      <c r="F182" s="83"/>
      <c r="G182" s="83"/>
      <c r="H182" s="83"/>
      <c r="I182" s="83"/>
      <c r="J182" s="83"/>
      <c r="K182" s="83"/>
      <c r="L182" s="83"/>
      <c r="M182" s="327"/>
      <c r="N182" s="83"/>
    </row>
    <row r="183" spans="1:16" hidden="1">
      <c r="A183" s="83"/>
      <c r="B183" s="83"/>
      <c r="C183" s="327"/>
      <c r="D183" s="83"/>
      <c r="E183" s="83"/>
      <c r="F183" s="83"/>
      <c r="G183" s="83"/>
      <c r="H183" s="83"/>
      <c r="I183" s="83"/>
      <c r="J183" s="83"/>
      <c r="K183" s="83"/>
      <c r="L183" s="83"/>
      <c r="M183" s="327"/>
      <c r="N183" s="83"/>
    </row>
    <row r="184" spans="1:16" hidden="1">
      <c r="A184" s="83"/>
      <c r="B184" s="83"/>
      <c r="C184" s="327"/>
      <c r="D184" s="83"/>
      <c r="E184" s="83"/>
      <c r="F184" s="83"/>
      <c r="G184" s="83"/>
      <c r="H184" s="83"/>
      <c r="I184" s="83"/>
      <c r="J184" s="83"/>
      <c r="K184" s="83"/>
      <c r="L184" s="83"/>
      <c r="M184" s="327"/>
      <c r="N184" s="83"/>
    </row>
    <row r="185" spans="1:16" hidden="1">
      <c r="A185" s="83"/>
      <c r="B185" s="83"/>
      <c r="C185" s="327"/>
      <c r="D185" s="83"/>
      <c r="E185" s="83"/>
      <c r="F185" s="83"/>
      <c r="G185" s="83"/>
      <c r="H185" s="83"/>
      <c r="I185" s="83"/>
      <c r="J185" s="83"/>
      <c r="K185" s="83"/>
      <c r="L185" s="83"/>
      <c r="M185" s="327"/>
      <c r="N185" s="83"/>
    </row>
    <row r="186" spans="1:16" hidden="1">
      <c r="A186" s="83"/>
      <c r="B186" s="83"/>
      <c r="C186" s="327"/>
      <c r="D186" s="83"/>
      <c r="E186" s="83"/>
      <c r="F186" s="83"/>
      <c r="G186" s="83"/>
      <c r="H186" s="83"/>
      <c r="I186" s="83"/>
      <c r="J186" s="83"/>
      <c r="K186" s="83"/>
      <c r="L186" s="83"/>
      <c r="M186" s="327"/>
      <c r="N186" s="83"/>
    </row>
    <row r="187" spans="1:16" hidden="1">
      <c r="A187" s="83"/>
      <c r="C187" s="327"/>
      <c r="D187" s="83"/>
      <c r="E187" s="83"/>
      <c r="F187" s="83"/>
      <c r="G187" s="83"/>
      <c r="H187" s="83"/>
      <c r="I187" s="83"/>
      <c r="J187" s="83"/>
      <c r="K187" s="83"/>
      <c r="L187" s="83"/>
      <c r="M187" s="327"/>
      <c r="N187" s="83"/>
    </row>
    <row r="188" spans="1:16" hidden="1">
      <c r="A188" s="83"/>
      <c r="C188" s="327"/>
      <c r="D188" s="83"/>
      <c r="E188" s="83"/>
      <c r="F188" s="83"/>
      <c r="G188" s="83"/>
      <c r="H188" s="83"/>
      <c r="I188" s="83"/>
      <c r="J188" s="83"/>
      <c r="K188" s="83"/>
      <c r="L188" s="83"/>
      <c r="M188" s="327"/>
      <c r="N188" s="83"/>
    </row>
    <row r="189" spans="1:16" hidden="1">
      <c r="C189" s="327"/>
      <c r="D189" s="83"/>
      <c r="E189" s="83"/>
      <c r="F189" s="83"/>
      <c r="G189" s="83"/>
      <c r="H189" s="83"/>
      <c r="I189" s="83"/>
      <c r="J189" s="83"/>
      <c r="K189" s="83"/>
      <c r="L189" s="83"/>
      <c r="M189" s="327"/>
      <c r="N189" s="83"/>
    </row>
    <row r="190" spans="1:16" hidden="1">
      <c r="C190" s="327"/>
      <c r="D190" s="83"/>
      <c r="E190" s="83"/>
      <c r="F190" s="83"/>
      <c r="G190" s="83"/>
      <c r="H190" s="83"/>
      <c r="I190" s="83"/>
      <c r="J190" s="83"/>
      <c r="K190" s="83"/>
      <c r="L190" s="83"/>
      <c r="M190" s="327"/>
      <c r="N190" s="83"/>
    </row>
    <row r="191" spans="1:16" hidden="1">
      <c r="C191" s="327"/>
      <c r="D191" s="83"/>
      <c r="E191" s="83"/>
      <c r="F191" s="83"/>
      <c r="G191" s="83"/>
      <c r="H191" s="83"/>
      <c r="I191" s="83"/>
      <c r="J191" s="83"/>
      <c r="K191" s="83"/>
      <c r="L191" s="83"/>
      <c r="M191" s="327"/>
      <c r="N191" s="83"/>
    </row>
    <row r="192" spans="1:16" hidden="1">
      <c r="C192" s="327"/>
      <c r="D192" s="83"/>
      <c r="E192" s="83"/>
      <c r="F192" s="83"/>
      <c r="G192" s="83"/>
      <c r="H192" s="83"/>
      <c r="I192" s="83"/>
      <c r="J192" s="83"/>
      <c r="K192" s="83"/>
      <c r="L192" s="83"/>
      <c r="M192" s="327"/>
      <c r="N192" s="83"/>
    </row>
    <row r="193" spans="3:14" hidden="1">
      <c r="C193" s="327"/>
      <c r="D193" s="83"/>
      <c r="E193" s="83"/>
      <c r="F193" s="83"/>
      <c r="G193" s="83"/>
      <c r="H193" s="83"/>
      <c r="I193" s="83"/>
      <c r="J193" s="83"/>
      <c r="K193" s="83"/>
      <c r="L193" s="83"/>
      <c r="M193" s="327"/>
      <c r="N193" s="83"/>
    </row>
    <row r="194" spans="3:14" hidden="1">
      <c r="C194" s="327"/>
      <c r="D194" s="83"/>
      <c r="E194" s="83"/>
      <c r="F194" s="83"/>
      <c r="G194" s="83"/>
      <c r="H194" s="83"/>
      <c r="I194" s="83"/>
      <c r="J194" s="83"/>
      <c r="K194" s="83"/>
      <c r="L194" s="83"/>
      <c r="M194" s="327"/>
      <c r="N194" s="83"/>
    </row>
    <row r="195" spans="3:14" hidden="1">
      <c r="C195" s="327"/>
      <c r="D195" s="83"/>
      <c r="E195" s="83"/>
      <c r="F195" s="83"/>
      <c r="G195" s="83"/>
      <c r="H195" s="83"/>
      <c r="I195" s="83"/>
      <c r="J195" s="83"/>
      <c r="K195" s="83"/>
      <c r="L195" s="83"/>
      <c r="M195" s="327"/>
      <c r="N195" s="83"/>
    </row>
    <row r="196" spans="3:14" hidden="1">
      <c r="C196" s="327"/>
      <c r="D196" s="83"/>
      <c r="E196" s="83"/>
      <c r="F196" s="83"/>
      <c r="G196" s="83"/>
      <c r="H196" s="83"/>
      <c r="I196" s="83"/>
      <c r="J196" s="83"/>
      <c r="K196" s="83"/>
      <c r="L196" s="83"/>
      <c r="M196" s="327"/>
      <c r="N196" s="83"/>
    </row>
    <row r="197" spans="3:14" hidden="1">
      <c r="C197" s="327"/>
      <c r="D197" s="83"/>
      <c r="E197" s="83"/>
      <c r="F197" s="83"/>
      <c r="G197" s="83"/>
      <c r="H197" s="83"/>
      <c r="I197" s="83"/>
      <c r="J197" s="83"/>
      <c r="K197" s="83"/>
      <c r="L197" s="83"/>
      <c r="M197" s="327"/>
      <c r="N197" s="83"/>
    </row>
    <row r="198" spans="3:14" hidden="1">
      <c r="C198" s="327"/>
      <c r="D198" s="83"/>
      <c r="E198" s="83"/>
      <c r="F198" s="83"/>
      <c r="G198" s="83"/>
      <c r="H198" s="83"/>
      <c r="I198" s="83"/>
      <c r="J198" s="83"/>
      <c r="K198" s="83"/>
      <c r="L198" s="83"/>
      <c r="M198" s="327"/>
      <c r="N198" s="83"/>
    </row>
    <row r="199" spans="3:14" hidden="1">
      <c r="C199" s="327"/>
      <c r="D199" s="83"/>
      <c r="E199" s="83"/>
      <c r="F199" s="83"/>
      <c r="G199" s="83"/>
      <c r="H199" s="83"/>
      <c r="I199" s="83"/>
      <c r="J199" s="83"/>
      <c r="K199" s="83"/>
      <c r="L199" s="83"/>
      <c r="M199" s="327"/>
      <c r="N199" s="83"/>
    </row>
    <row r="200" spans="3:14" hidden="1">
      <c r="C200" s="327"/>
      <c r="D200" s="83"/>
      <c r="E200" s="83"/>
      <c r="F200" s="83"/>
      <c r="G200" s="83"/>
      <c r="H200" s="83"/>
      <c r="I200" s="83"/>
      <c r="J200" s="83"/>
      <c r="K200" s="83"/>
      <c r="L200" s="83"/>
      <c r="M200" s="327"/>
      <c r="N200" s="83"/>
    </row>
    <row r="201" spans="3:14" hidden="1">
      <c r="C201" s="327"/>
      <c r="D201" s="83"/>
      <c r="E201" s="83"/>
      <c r="F201" s="83"/>
      <c r="G201" s="83"/>
      <c r="H201" s="83"/>
      <c r="I201" s="83"/>
      <c r="J201" s="83"/>
      <c r="K201" s="83"/>
      <c r="L201" s="83"/>
      <c r="M201" s="327"/>
      <c r="N201" s="83"/>
    </row>
    <row r="202" spans="3:14" hidden="1">
      <c r="C202" s="327"/>
      <c r="D202" s="83"/>
      <c r="E202" s="83"/>
      <c r="F202" s="83"/>
      <c r="G202" s="83"/>
      <c r="H202" s="83"/>
      <c r="I202" s="83"/>
      <c r="J202" s="83"/>
      <c r="K202" s="83"/>
      <c r="L202" s="83"/>
      <c r="M202" s="327"/>
      <c r="N202" s="83"/>
    </row>
    <row r="203" spans="3:14" hidden="1">
      <c r="C203" s="327"/>
      <c r="D203" s="83"/>
      <c r="E203" s="83"/>
      <c r="F203" s="83"/>
      <c r="G203" s="83"/>
      <c r="H203" s="83"/>
      <c r="I203" s="83"/>
      <c r="J203" s="83"/>
      <c r="K203" s="83"/>
      <c r="L203" s="83"/>
      <c r="M203" s="327"/>
      <c r="N203" s="83"/>
    </row>
    <row r="204" spans="3:14" hidden="1">
      <c r="C204" s="327"/>
      <c r="D204" s="83"/>
      <c r="E204" s="83"/>
      <c r="F204" s="83"/>
      <c r="G204" s="83"/>
      <c r="H204" s="83"/>
      <c r="I204" s="83"/>
      <c r="J204" s="83"/>
      <c r="K204" s="83"/>
      <c r="L204" s="83"/>
      <c r="M204" s="327"/>
      <c r="N204" s="83"/>
    </row>
    <row r="205" spans="3:14" hidden="1">
      <c r="C205" s="327"/>
      <c r="D205" s="83"/>
      <c r="E205" s="83"/>
      <c r="F205" s="83"/>
      <c r="G205" s="83"/>
      <c r="H205" s="83"/>
      <c r="I205" s="83"/>
      <c r="J205" s="83"/>
      <c r="K205" s="83"/>
      <c r="L205" s="83"/>
      <c r="M205" s="327"/>
      <c r="N205" s="83"/>
    </row>
    <row r="206" spans="3:14" hidden="1">
      <c r="C206" s="327"/>
      <c r="D206" s="83"/>
      <c r="E206" s="83"/>
      <c r="F206" s="83"/>
      <c r="G206" s="83"/>
      <c r="H206" s="83"/>
      <c r="I206" s="83"/>
      <c r="J206" s="83"/>
      <c r="K206" s="83"/>
      <c r="L206" s="83"/>
      <c r="M206" s="327"/>
      <c r="N206" s="83"/>
    </row>
    <row r="207" spans="3:14" hidden="1">
      <c r="C207" s="327"/>
      <c r="D207" s="83"/>
      <c r="E207" s="83"/>
      <c r="F207" s="83"/>
      <c r="G207" s="83"/>
      <c r="H207" s="83"/>
      <c r="I207" s="83"/>
      <c r="J207" s="83"/>
      <c r="K207" s="83"/>
      <c r="L207" s="83"/>
      <c r="M207" s="327"/>
      <c r="N207" s="83"/>
    </row>
    <row r="208" spans="3:14" hidden="1">
      <c r="C208" s="327"/>
      <c r="D208" s="83"/>
      <c r="E208" s="83"/>
      <c r="F208" s="83"/>
      <c r="G208" s="83"/>
      <c r="H208" s="83"/>
      <c r="I208" s="83"/>
      <c r="J208" s="83"/>
      <c r="K208" s="83"/>
      <c r="L208" s="83"/>
      <c r="M208" s="327"/>
      <c r="N208" s="83"/>
    </row>
    <row r="209" spans="3:14" hidden="1">
      <c r="C209" s="327"/>
      <c r="D209" s="83"/>
      <c r="E209" s="83"/>
      <c r="F209" s="83"/>
      <c r="G209" s="83"/>
      <c r="H209" s="83"/>
      <c r="I209" s="83"/>
      <c r="J209" s="83"/>
      <c r="K209" s="83"/>
      <c r="L209" s="83"/>
      <c r="M209" s="327"/>
      <c r="N209" s="83"/>
    </row>
    <row r="210" spans="3:14" hidden="1">
      <c r="C210" s="327"/>
      <c r="D210" s="83"/>
      <c r="E210" s="83"/>
      <c r="F210" s="83"/>
      <c r="G210" s="83"/>
      <c r="H210" s="83"/>
      <c r="I210" s="83"/>
      <c r="J210" s="83"/>
      <c r="K210" s="83"/>
      <c r="L210" s="83"/>
      <c r="M210" s="327"/>
      <c r="N210" s="83"/>
    </row>
    <row r="211" spans="3:14" hidden="1">
      <c r="C211" s="327"/>
      <c r="D211" s="83"/>
      <c r="E211" s="83"/>
      <c r="F211" s="83"/>
      <c r="G211" s="83"/>
      <c r="H211" s="83"/>
      <c r="I211" s="83"/>
      <c r="J211" s="83"/>
      <c r="K211" s="83"/>
      <c r="L211" s="83"/>
      <c r="M211" s="327"/>
      <c r="N211" s="83"/>
    </row>
    <row r="212" spans="3:14" hidden="1">
      <c r="C212" s="327"/>
      <c r="D212" s="83"/>
      <c r="E212" s="83"/>
      <c r="F212" s="83"/>
      <c r="G212" s="83"/>
      <c r="H212" s="83"/>
      <c r="I212" s="83"/>
      <c r="J212" s="83"/>
      <c r="K212" s="83"/>
      <c r="L212" s="83"/>
      <c r="M212" s="327"/>
      <c r="N212" s="83"/>
    </row>
    <row r="213" spans="3:14" hidden="1">
      <c r="C213" s="327"/>
      <c r="D213" s="83"/>
      <c r="E213" s="83"/>
      <c r="F213" s="83"/>
      <c r="G213" s="83"/>
      <c r="H213" s="83"/>
      <c r="I213" s="83"/>
      <c r="J213" s="83"/>
      <c r="K213" s="83"/>
      <c r="L213" s="83"/>
      <c r="M213" s="327"/>
      <c r="N213" s="83"/>
    </row>
    <row r="214" spans="3:14" hidden="1">
      <c r="C214" s="327"/>
      <c r="D214" s="83"/>
      <c r="E214" s="83"/>
      <c r="F214" s="83"/>
      <c r="G214" s="83"/>
      <c r="H214" s="83"/>
      <c r="I214" s="83"/>
      <c r="J214" s="83"/>
      <c r="K214" s="83"/>
      <c r="L214" s="83"/>
      <c r="M214" s="327"/>
      <c r="N214" s="83"/>
    </row>
    <row r="215" spans="3:14" hidden="1">
      <c r="C215" s="327"/>
      <c r="D215" s="83"/>
      <c r="E215" s="83"/>
      <c r="F215" s="83"/>
      <c r="G215" s="83"/>
      <c r="H215" s="83"/>
      <c r="I215" s="83"/>
      <c r="J215" s="83"/>
      <c r="K215" s="83"/>
      <c r="L215" s="83"/>
      <c r="M215" s="327"/>
      <c r="N215" s="83"/>
    </row>
    <row r="216" spans="3:14" hidden="1">
      <c r="C216" s="327"/>
      <c r="D216" s="83"/>
      <c r="E216" s="83"/>
      <c r="F216" s="83"/>
      <c r="G216" s="83"/>
      <c r="H216" s="83"/>
      <c r="I216" s="83"/>
      <c r="J216" s="83"/>
      <c r="K216" s="83"/>
      <c r="L216" s="83"/>
      <c r="M216" s="327"/>
      <c r="N216" s="83"/>
    </row>
    <row r="217" spans="3:14" hidden="1">
      <c r="C217" s="327"/>
      <c r="D217" s="83"/>
      <c r="E217" s="83"/>
      <c r="F217" s="83"/>
      <c r="G217" s="83"/>
      <c r="H217" s="83"/>
      <c r="I217" s="83"/>
      <c r="J217" s="83"/>
      <c r="K217" s="83"/>
      <c r="L217" s="83"/>
      <c r="M217" s="327"/>
      <c r="N217" s="83"/>
    </row>
    <row r="218" spans="3:14" hidden="1">
      <c r="C218" s="327"/>
      <c r="D218" s="83"/>
      <c r="E218" s="83"/>
      <c r="F218" s="83"/>
      <c r="G218" s="83"/>
      <c r="H218" s="83"/>
      <c r="I218" s="83"/>
      <c r="J218" s="83"/>
      <c r="K218" s="83"/>
      <c r="L218" s="83"/>
      <c r="M218" s="327"/>
      <c r="N218" s="83"/>
    </row>
    <row r="219" spans="3:14" hidden="1">
      <c r="C219" s="327"/>
      <c r="D219" s="83"/>
      <c r="E219" s="83"/>
      <c r="F219" s="83"/>
      <c r="G219" s="83"/>
      <c r="H219" s="83"/>
      <c r="I219" s="83"/>
      <c r="J219" s="83"/>
      <c r="K219" s="83"/>
      <c r="L219" s="83"/>
      <c r="M219" s="327"/>
      <c r="N219" s="83"/>
    </row>
    <row r="220" spans="3:14" hidden="1">
      <c r="C220" s="327"/>
      <c r="D220" s="83"/>
      <c r="E220" s="83"/>
      <c r="F220" s="83"/>
      <c r="G220" s="83"/>
      <c r="H220" s="83"/>
      <c r="I220" s="83"/>
      <c r="J220" s="83"/>
      <c r="K220" s="83"/>
      <c r="L220" s="83"/>
      <c r="M220" s="327"/>
      <c r="N220" s="83"/>
    </row>
    <row r="221" spans="3:14" hidden="1">
      <c r="C221" s="327"/>
      <c r="D221" s="83"/>
      <c r="E221" s="83"/>
      <c r="F221" s="83"/>
      <c r="G221" s="83"/>
      <c r="H221" s="83"/>
      <c r="I221" s="83"/>
      <c r="J221" s="83"/>
      <c r="K221" s="83"/>
      <c r="L221" s="83"/>
      <c r="M221" s="327"/>
      <c r="N221" s="83"/>
    </row>
    <row r="222" spans="3:14" hidden="1">
      <c r="C222" s="327"/>
      <c r="D222" s="83"/>
      <c r="E222" s="83"/>
      <c r="F222" s="83"/>
      <c r="G222" s="83"/>
      <c r="H222" s="83"/>
      <c r="I222" s="83"/>
      <c r="J222" s="83"/>
      <c r="K222" s="83"/>
      <c r="L222" s="83"/>
      <c r="M222" s="327"/>
      <c r="N222" s="83"/>
    </row>
    <row r="223" spans="3:14" hidden="1">
      <c r="C223" s="327"/>
      <c r="D223" s="83"/>
      <c r="E223" s="83"/>
      <c r="F223" s="83"/>
      <c r="G223" s="83"/>
      <c r="H223" s="83"/>
      <c r="I223" s="83"/>
      <c r="J223" s="83"/>
      <c r="K223" s="83"/>
      <c r="L223" s="83"/>
      <c r="M223" s="327"/>
      <c r="N223" s="83"/>
    </row>
    <row r="224" spans="3:14" hidden="1">
      <c r="C224" s="327"/>
      <c r="D224" s="83"/>
      <c r="E224" s="83"/>
      <c r="F224" s="83"/>
      <c r="G224" s="83"/>
      <c r="H224" s="83"/>
      <c r="I224" s="83"/>
      <c r="J224" s="83"/>
      <c r="K224" s="83"/>
      <c r="L224" s="83"/>
      <c r="M224" s="327"/>
      <c r="N224" s="83"/>
    </row>
    <row r="225" spans="3:14" hidden="1">
      <c r="C225" s="327"/>
      <c r="D225" s="83"/>
      <c r="E225" s="83"/>
      <c r="F225" s="83"/>
      <c r="G225" s="83"/>
      <c r="H225" s="83"/>
      <c r="I225" s="83"/>
      <c r="J225" s="83"/>
      <c r="K225" s="83"/>
      <c r="L225" s="83"/>
      <c r="M225" s="327"/>
      <c r="N225" s="83"/>
    </row>
    <row r="226" spans="3:14" hidden="1">
      <c r="C226" s="327"/>
      <c r="D226" s="83"/>
      <c r="E226" s="83"/>
      <c r="F226" s="83"/>
      <c r="G226" s="83"/>
      <c r="H226" s="83"/>
      <c r="I226" s="83"/>
      <c r="J226" s="83"/>
      <c r="K226" s="83"/>
      <c r="L226" s="83"/>
      <c r="M226" s="327"/>
      <c r="N226" s="83"/>
    </row>
    <row r="227" spans="3:14" hidden="1">
      <c r="C227" s="327"/>
      <c r="D227" s="83"/>
      <c r="E227" s="83"/>
      <c r="F227" s="83"/>
      <c r="G227" s="83"/>
      <c r="H227" s="83"/>
      <c r="I227" s="83"/>
      <c r="J227" s="83"/>
      <c r="K227" s="83"/>
      <c r="L227" s="83"/>
      <c r="M227" s="327"/>
      <c r="N227" s="83"/>
    </row>
    <row r="228" spans="3:14" hidden="1">
      <c r="C228" s="327"/>
      <c r="D228" s="83"/>
      <c r="E228" s="83"/>
      <c r="F228" s="83"/>
      <c r="G228" s="83"/>
      <c r="H228" s="83"/>
      <c r="I228" s="83"/>
      <c r="J228" s="83"/>
      <c r="K228" s="83"/>
      <c r="L228" s="83"/>
      <c r="M228" s="327"/>
      <c r="N228" s="83"/>
    </row>
    <row r="229" spans="3:14" hidden="1">
      <c r="C229" s="327"/>
      <c r="D229" s="83"/>
      <c r="E229" s="83"/>
      <c r="F229" s="83"/>
      <c r="G229" s="83"/>
      <c r="H229" s="83"/>
      <c r="I229" s="83"/>
      <c r="J229" s="83"/>
      <c r="K229" s="83"/>
      <c r="L229" s="83"/>
      <c r="M229" s="327"/>
      <c r="N229" s="83"/>
    </row>
    <row r="230" spans="3:14" hidden="1">
      <c r="C230" s="327"/>
      <c r="D230" s="83"/>
      <c r="E230" s="83"/>
      <c r="F230" s="83"/>
      <c r="G230" s="83"/>
      <c r="H230" s="83"/>
      <c r="I230" s="83"/>
      <c r="J230" s="83"/>
      <c r="K230" s="83"/>
      <c r="L230" s="83"/>
      <c r="M230" s="327"/>
      <c r="N230" s="83"/>
    </row>
    <row r="231" spans="3:14" hidden="1">
      <c r="C231" s="327"/>
      <c r="D231" s="83"/>
      <c r="E231" s="83"/>
      <c r="F231" s="83"/>
      <c r="G231" s="83"/>
    </row>
    <row r="232" spans="3:14" hidden="1">
      <c r="C232" s="327"/>
      <c r="D232" s="83"/>
      <c r="E232" s="83"/>
      <c r="F232" s="83"/>
      <c r="G232" s="83"/>
    </row>
    <row r="233" spans="3:14" hidden="1">
      <c r="C233" s="327"/>
      <c r="D233" s="83"/>
      <c r="E233" s="83"/>
    </row>
    <row r="234" spans="3:14" hidden="1"/>
    <row r="235" spans="3:14" hidden="1"/>
    <row r="236" spans="3:14" hidden="1"/>
    <row r="237" spans="3:14" hidden="1"/>
    <row r="238" spans="3:14" hidden="1"/>
    <row r="239" spans="3:14" hidden="1"/>
    <row r="240" spans="3:14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625" spans="1:14">
      <c r="H625" s="83"/>
      <c r="I625" s="83"/>
      <c r="J625" s="83"/>
      <c r="K625" s="83"/>
      <c r="L625" s="83"/>
      <c r="M625" s="327"/>
      <c r="N625" s="83"/>
    </row>
    <row r="627" spans="1:14">
      <c r="F627" s="83"/>
      <c r="G627" s="83"/>
    </row>
    <row r="628" spans="1:14">
      <c r="A628" s="83"/>
      <c r="B628" s="83"/>
      <c r="C628" s="327"/>
      <c r="D628" s="83"/>
      <c r="E628" s="83"/>
    </row>
    <row r="8828" ht="12" customHeight="1"/>
  </sheetData>
  <sheetProtection selectLockedCells="1"/>
  <mergeCells count="329">
    <mergeCell ref="D42:E42"/>
    <mergeCell ref="D44:E44"/>
    <mergeCell ref="BF93:BF97"/>
    <mergeCell ref="BG93:BG97"/>
    <mergeCell ref="H73:K73"/>
    <mergeCell ref="T93:T97"/>
    <mergeCell ref="BB93:BB97"/>
    <mergeCell ref="BC93:BC97"/>
    <mergeCell ref="BD93:BD97"/>
    <mergeCell ref="AR93:AR97"/>
    <mergeCell ref="BH19:BJ19"/>
    <mergeCell ref="BH92:BJ92"/>
    <mergeCell ref="BH93:BH97"/>
    <mergeCell ref="AW92:AZ92"/>
    <mergeCell ref="BB19:BD19"/>
    <mergeCell ref="BI93:BI97"/>
    <mergeCell ref="AZ93:AZ97"/>
    <mergeCell ref="BA93:BA97"/>
    <mergeCell ref="BJ93:BJ97"/>
    <mergeCell ref="AY93:AY97"/>
    <mergeCell ref="AQ93:AQ97"/>
    <mergeCell ref="AK93:AK97"/>
    <mergeCell ref="AW93:AW97"/>
    <mergeCell ref="AT93:AT97"/>
    <mergeCell ref="AU93:AU97"/>
    <mergeCell ref="AV93:AV97"/>
    <mergeCell ref="AL93:AL97"/>
    <mergeCell ref="B176:D176"/>
    <mergeCell ref="B172:D172"/>
    <mergeCell ref="B173:D173"/>
    <mergeCell ref="B174:D174"/>
    <mergeCell ref="B175:D175"/>
    <mergeCell ref="BE93:BE97"/>
    <mergeCell ref="AX93:AX97"/>
    <mergeCell ref="AM93:AM97"/>
    <mergeCell ref="AS93:AS97"/>
    <mergeCell ref="AO93:AO97"/>
    <mergeCell ref="B171:D171"/>
    <mergeCell ref="B163:D163"/>
    <mergeCell ref="V93:V97"/>
    <mergeCell ref="W93:W97"/>
    <mergeCell ref="B169:D169"/>
    <mergeCell ref="B170:D170"/>
    <mergeCell ref="H127:J127"/>
    <mergeCell ref="B165:D165"/>
    <mergeCell ref="B166:D166"/>
    <mergeCell ref="B168:D168"/>
    <mergeCell ref="AO92:AQ92"/>
    <mergeCell ref="AK92:AN92"/>
    <mergeCell ref="AA93:AA97"/>
    <mergeCell ref="AB93:AB97"/>
    <mergeCell ref="AC93:AC97"/>
    <mergeCell ref="B138:D138"/>
    <mergeCell ref="H129:J129"/>
    <mergeCell ref="H132:J132"/>
    <mergeCell ref="AP93:AP97"/>
    <mergeCell ref="AN93:AN97"/>
    <mergeCell ref="AH93:AH97"/>
    <mergeCell ref="AJ93:AJ97"/>
    <mergeCell ref="Z93:Z97"/>
    <mergeCell ref="AG93:AG97"/>
    <mergeCell ref="AI93:AI97"/>
    <mergeCell ref="B133:D133"/>
    <mergeCell ref="K125:L125"/>
    <mergeCell ref="K129:L129"/>
    <mergeCell ref="K126:L126"/>
    <mergeCell ref="H136:J136"/>
    <mergeCell ref="K131:L131"/>
    <mergeCell ref="K132:L132"/>
    <mergeCell ref="H125:J125"/>
    <mergeCell ref="H128:J128"/>
    <mergeCell ref="H135:J135"/>
    <mergeCell ref="K134:L134"/>
    <mergeCell ref="K137:L137"/>
    <mergeCell ref="K133:L133"/>
    <mergeCell ref="K135:L135"/>
    <mergeCell ref="K136:L136"/>
    <mergeCell ref="B136:D136"/>
    <mergeCell ref="B135:D135"/>
    <mergeCell ref="K139:L139"/>
    <mergeCell ref="K140:L140"/>
    <mergeCell ref="K149:L149"/>
    <mergeCell ref="K145:L145"/>
    <mergeCell ref="K146:L146"/>
    <mergeCell ref="K147:L147"/>
    <mergeCell ref="K148:L148"/>
    <mergeCell ref="K141:L141"/>
    <mergeCell ref="K142:L142"/>
    <mergeCell ref="K143:L143"/>
    <mergeCell ref="B128:D128"/>
    <mergeCell ref="B129:D129"/>
    <mergeCell ref="H137:J137"/>
    <mergeCell ref="B162:D162"/>
    <mergeCell ref="B164:D164"/>
    <mergeCell ref="B130:D130"/>
    <mergeCell ref="B139:D139"/>
    <mergeCell ref="B161:D161"/>
    <mergeCell ref="H130:L130"/>
    <mergeCell ref="H133:J133"/>
    <mergeCell ref="B137:D137"/>
    <mergeCell ref="B131:D131"/>
    <mergeCell ref="B132:D132"/>
    <mergeCell ref="H140:J140"/>
    <mergeCell ref="H146:J146"/>
    <mergeCell ref="B167:D167"/>
    <mergeCell ref="B134:D134"/>
    <mergeCell ref="H134:J134"/>
    <mergeCell ref="A160:E160"/>
    <mergeCell ref="A140:E140"/>
    <mergeCell ref="H145:J145"/>
    <mergeCell ref="H148:J148"/>
    <mergeCell ref="H149:J149"/>
    <mergeCell ref="H141:J141"/>
    <mergeCell ref="H131:J131"/>
    <mergeCell ref="H139:J139"/>
    <mergeCell ref="H138:J138"/>
    <mergeCell ref="A98:A101"/>
    <mergeCell ref="B126:D126"/>
    <mergeCell ref="B125:D125"/>
    <mergeCell ref="H142:J142"/>
    <mergeCell ref="H147:J147"/>
    <mergeCell ref="I152:J153"/>
    <mergeCell ref="H143:J143"/>
    <mergeCell ref="H150:N150"/>
    <mergeCell ref="K144:L144"/>
    <mergeCell ref="H144:J144"/>
    <mergeCell ref="K128:L128"/>
    <mergeCell ref="K122:L122"/>
    <mergeCell ref="H122:J122"/>
    <mergeCell ref="K123:L123"/>
    <mergeCell ref="K124:L124"/>
    <mergeCell ref="H124:J124"/>
    <mergeCell ref="H123:J123"/>
    <mergeCell ref="H126:J126"/>
    <mergeCell ref="AF93:AF97"/>
    <mergeCell ref="X93:X97"/>
    <mergeCell ref="Y93:Y97"/>
    <mergeCell ref="AD93:AD97"/>
    <mergeCell ref="AE93:AE97"/>
    <mergeCell ref="B127:D127"/>
    <mergeCell ref="B121:D121"/>
    <mergeCell ref="A97:E97"/>
    <mergeCell ref="A124:E124"/>
    <mergeCell ref="B98:E101"/>
    <mergeCell ref="K120:M120"/>
    <mergeCell ref="H99:N99"/>
    <mergeCell ref="K98:N98"/>
    <mergeCell ref="U93:U97"/>
    <mergeCell ref="K93:N94"/>
    <mergeCell ref="H120:J120"/>
    <mergeCell ref="AR92:AU92"/>
    <mergeCell ref="AR19:AV19"/>
    <mergeCell ref="K39:L39"/>
    <mergeCell ref="K40:L40"/>
    <mergeCell ref="K41:L41"/>
    <mergeCell ref="H84:K84"/>
    <mergeCell ref="H40:J40"/>
    <mergeCell ref="H41:J41"/>
    <mergeCell ref="H39:J39"/>
    <mergeCell ref="H49:K49"/>
    <mergeCell ref="BB92:BD92"/>
    <mergeCell ref="B16:E16"/>
    <mergeCell ref="AG15:AG21"/>
    <mergeCell ref="AH15:AH21"/>
    <mergeCell ref="K21:L21"/>
    <mergeCell ref="B18:E18"/>
    <mergeCell ref="A21:C21"/>
    <mergeCell ref="AE15:AE21"/>
    <mergeCell ref="D26:E26"/>
    <mergeCell ref="H15:N15"/>
    <mergeCell ref="K43:L43"/>
    <mergeCell ref="K42:L42"/>
    <mergeCell ref="H43:J43"/>
    <mergeCell ref="H47:K47"/>
    <mergeCell ref="H48:K48"/>
    <mergeCell ref="H42:J42"/>
    <mergeCell ref="BB14:BC14"/>
    <mergeCell ref="AR14:AT14"/>
    <mergeCell ref="K23:L23"/>
    <mergeCell ref="I19:K19"/>
    <mergeCell ref="AO14:AP14"/>
    <mergeCell ref="AK14:AM14"/>
    <mergeCell ref="AW19:AZ19"/>
    <mergeCell ref="AK19:AN19"/>
    <mergeCell ref="I17:N18"/>
    <mergeCell ref="O12:O14"/>
    <mergeCell ref="P12:P14"/>
    <mergeCell ref="H21:J21"/>
    <mergeCell ref="AO19:AQ19"/>
    <mergeCell ref="AI15:AI21"/>
    <mergeCell ref="AF15:AF21"/>
    <mergeCell ref="AD15:AD21"/>
    <mergeCell ref="L13:M13"/>
    <mergeCell ref="J13:K13"/>
    <mergeCell ref="B14:K14"/>
    <mergeCell ref="D30:E30"/>
    <mergeCell ref="D31:E31"/>
    <mergeCell ref="D36:E36"/>
    <mergeCell ref="D37:E37"/>
    <mergeCell ref="D40:E40"/>
    <mergeCell ref="D23:E23"/>
    <mergeCell ref="D25:E25"/>
    <mergeCell ref="D27:E27"/>
    <mergeCell ref="D34:E34"/>
    <mergeCell ref="D29:E29"/>
    <mergeCell ref="D33:E33"/>
    <mergeCell ref="D32:E32"/>
    <mergeCell ref="H26:K26"/>
    <mergeCell ref="D21:E21"/>
    <mergeCell ref="D24:E24"/>
    <mergeCell ref="D39:E39"/>
    <mergeCell ref="K38:L38"/>
    <mergeCell ref="H28:K28"/>
    <mergeCell ref="D35:E35"/>
    <mergeCell ref="D28:E28"/>
    <mergeCell ref="H45:J45"/>
    <mergeCell ref="H46:K46"/>
    <mergeCell ref="H44:L44"/>
    <mergeCell ref="H52:L52"/>
    <mergeCell ref="B17:E17"/>
    <mergeCell ref="H36:K36"/>
    <mergeCell ref="H37:K37"/>
    <mergeCell ref="H32:K32"/>
    <mergeCell ref="E22:F22"/>
    <mergeCell ref="H35:K35"/>
    <mergeCell ref="D73:E73"/>
    <mergeCell ref="D81:E81"/>
    <mergeCell ref="D69:E69"/>
    <mergeCell ref="D71:E71"/>
    <mergeCell ref="D43:E43"/>
    <mergeCell ref="D47:E47"/>
    <mergeCell ref="D58:E58"/>
    <mergeCell ref="D48:E48"/>
    <mergeCell ref="D46:E46"/>
    <mergeCell ref="D66:E66"/>
    <mergeCell ref="D53:E53"/>
    <mergeCell ref="D57:E57"/>
    <mergeCell ref="D52:E52"/>
    <mergeCell ref="D51:E51"/>
    <mergeCell ref="D56:E56"/>
    <mergeCell ref="H60:K60"/>
    <mergeCell ref="H61:K61"/>
    <mergeCell ref="D55:E55"/>
    <mergeCell ref="H58:L58"/>
    <mergeCell ref="D65:E65"/>
    <mergeCell ref="D49:E49"/>
    <mergeCell ref="D50:E50"/>
    <mergeCell ref="H57:K57"/>
    <mergeCell ref="H50:K50"/>
    <mergeCell ref="D86:E86"/>
    <mergeCell ref="D61:E61"/>
    <mergeCell ref="D68:E68"/>
    <mergeCell ref="D63:E63"/>
    <mergeCell ref="D80:E80"/>
    <mergeCell ref="D78:E78"/>
    <mergeCell ref="D74:E74"/>
    <mergeCell ref="D70:E70"/>
    <mergeCell ref="D72:E72"/>
    <mergeCell ref="D64:E64"/>
    <mergeCell ref="H82:K82"/>
    <mergeCell ref="H78:K78"/>
    <mergeCell ref="H70:L70"/>
    <mergeCell ref="H75:K75"/>
    <mergeCell ref="H51:K51"/>
    <mergeCell ref="H54:K54"/>
    <mergeCell ref="H55:K55"/>
    <mergeCell ref="H56:K56"/>
    <mergeCell ref="H53:L53"/>
    <mergeCell ref="H59:K59"/>
    <mergeCell ref="E2:I2"/>
    <mergeCell ref="L10:M10"/>
    <mergeCell ref="J10:K10"/>
    <mergeCell ref="B10:I10"/>
    <mergeCell ref="H31:K31"/>
    <mergeCell ref="L14:M14"/>
    <mergeCell ref="L12:M12"/>
    <mergeCell ref="J12:K12"/>
    <mergeCell ref="H23:J23"/>
    <mergeCell ref="H29:K29"/>
    <mergeCell ref="B2:C2"/>
    <mergeCell ref="D38:E38"/>
    <mergeCell ref="D75:E75"/>
    <mergeCell ref="D84:E84"/>
    <mergeCell ref="J11:K11"/>
    <mergeCell ref="L11:M11"/>
    <mergeCell ref="B19:E19"/>
    <mergeCell ref="H24:J24"/>
    <mergeCell ref="H34:K34"/>
    <mergeCell ref="K2:M2"/>
    <mergeCell ref="D83:E83"/>
    <mergeCell ref="D87:E87"/>
    <mergeCell ref="D59:E59"/>
    <mergeCell ref="D76:E76"/>
    <mergeCell ref="B1:D1"/>
    <mergeCell ref="B123:D123"/>
    <mergeCell ref="A112:B112"/>
    <mergeCell ref="D67:E67"/>
    <mergeCell ref="D77:E77"/>
    <mergeCell ref="D79:E79"/>
    <mergeCell ref="D45:E45"/>
    <mergeCell ref="D41:E41"/>
    <mergeCell ref="H62:K62"/>
    <mergeCell ref="H63:K63"/>
    <mergeCell ref="A89:E93"/>
    <mergeCell ref="D54:E54"/>
    <mergeCell ref="D82:E82"/>
    <mergeCell ref="D62:E62"/>
    <mergeCell ref="D60:E60"/>
    <mergeCell ref="D85:E85"/>
    <mergeCell ref="H80:K80"/>
    <mergeCell ref="H81:K81"/>
    <mergeCell ref="H64:K64"/>
    <mergeCell ref="H69:K69"/>
    <mergeCell ref="H71:K71"/>
    <mergeCell ref="H85:K85"/>
    <mergeCell ref="H77:K77"/>
    <mergeCell ref="H68:K68"/>
    <mergeCell ref="H66:K66"/>
    <mergeCell ref="H67:K67"/>
    <mergeCell ref="K138:L138"/>
    <mergeCell ref="K127:L127"/>
    <mergeCell ref="H86:K86"/>
    <mergeCell ref="H87:K87"/>
    <mergeCell ref="L90:M90"/>
    <mergeCell ref="H65:L65"/>
    <mergeCell ref="H72:K72"/>
    <mergeCell ref="H74:K74"/>
    <mergeCell ref="H83:K83"/>
    <mergeCell ref="H79:K79"/>
  </mergeCells>
  <phoneticPr fontId="24" type="noConversion"/>
  <conditionalFormatting sqref="B179">
    <cfRule type="cellIs" dxfId="1" priority="1" stopIfTrue="1" operator="equal">
      <formula>0</formula>
    </cfRule>
    <cfRule type="cellIs" dxfId="0" priority="2" stopIfTrue="1" operator="notEqual">
      <formula>0</formula>
    </cfRule>
  </conditionalFormatting>
  <dataValidations count="4">
    <dataValidation type="list" allowBlank="1" showInputMessage="1" showErrorMessage="1" sqref="N3:P3">
      <formula1>Couleurcaissons</formula1>
    </dataValidation>
    <dataValidation errorStyle="warning" allowBlank="1" showInputMessage="1" showErrorMessage="1" error="Vous devez saisir votre Nom et Prénom !" sqref="K98"/>
    <dataValidation type="list" allowBlank="1" sqref="B1:D1">
      <formula1>cuisine</formula1>
    </dataValidation>
    <dataValidation type="list" allowBlank="1" showInputMessage="1" showErrorMessage="1" sqref="D2 J2 N2">
      <formula1>$BM$24:$BM$25</formula1>
    </dataValidation>
  </dataValidations>
  <pageMargins left="0.27559055118110237" right="0.43307086614173229" top="0.27" bottom="0.64" header="0.59055118110236227" footer="0.31"/>
  <pageSetup paperSize="9" scale="51" fitToHeight="2" orientation="portrait" r:id="rId1"/>
  <headerFooter alignWithMargins="0"/>
  <legacyDrawing r:id="rId2"/>
  <controls>
    <control shapeId="326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2:AR78"/>
  <sheetViews>
    <sheetView zoomScale="55" workbookViewId="0">
      <pane xSplit="4" ySplit="4" topLeftCell="E5" activePane="bottomRight" state="frozen"/>
      <selection activeCell="B18" sqref="B18:E18"/>
      <selection pane="topRight" activeCell="B18" sqref="B18:E18"/>
      <selection pane="bottomLeft" activeCell="B18" sqref="B18:E18"/>
      <selection pane="bottomRight" activeCell="C52" sqref="C52"/>
    </sheetView>
  </sheetViews>
  <sheetFormatPr baseColWidth="10" defaultRowHeight="13.2"/>
  <cols>
    <col min="3" max="3" width="30.88671875" customWidth="1"/>
    <col min="4" max="4" width="17.5546875" customWidth="1"/>
  </cols>
  <sheetData>
    <row r="2" spans="1:44">
      <c r="A2" s="2"/>
      <c r="B2" s="1"/>
      <c r="C2" s="502" t="s">
        <v>1574</v>
      </c>
      <c r="D2" s="50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>
        <v>0.85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Q2" s="2"/>
      <c r="AR2" s="2"/>
    </row>
    <row r="3" spans="1:44" ht="13.8" thickBot="1">
      <c r="A3" s="2"/>
      <c r="B3" s="1"/>
      <c r="C3" s="503"/>
      <c r="D3" s="503"/>
      <c r="E3" s="27"/>
      <c r="F3" s="28"/>
      <c r="G3" s="29"/>
      <c r="H3" s="30"/>
      <c r="I3" s="31"/>
      <c r="J3" s="32"/>
      <c r="K3" s="33"/>
      <c r="L3" s="34"/>
      <c r="M3" s="35"/>
      <c r="N3" s="36"/>
      <c r="O3" s="37"/>
      <c r="P3" s="38"/>
      <c r="Q3" s="39"/>
      <c r="R3" s="40"/>
      <c r="S3" s="42"/>
      <c r="T3" s="43"/>
      <c r="U3" s="41"/>
      <c r="V3" s="26"/>
      <c r="W3" s="25"/>
      <c r="X3" s="24"/>
      <c r="Y3" s="23"/>
      <c r="Z3" s="22"/>
      <c r="AA3" s="23"/>
      <c r="AB3" s="22"/>
      <c r="AC3" s="23"/>
      <c r="AD3" s="22"/>
      <c r="AE3" s="23"/>
      <c r="AF3" s="22"/>
      <c r="AG3" s="23"/>
      <c r="AH3" s="22"/>
      <c r="AI3" s="23"/>
      <c r="AJ3" s="22"/>
      <c r="AK3" s="23"/>
      <c r="AL3" s="22"/>
      <c r="AM3" s="23"/>
      <c r="AN3" s="22"/>
      <c r="AQ3" s="23"/>
      <c r="AR3" s="22"/>
    </row>
    <row r="4" spans="1:44" ht="13.8" thickBot="1">
      <c r="A4" s="7"/>
      <c r="B4" s="4" t="s">
        <v>1575</v>
      </c>
      <c r="C4" s="5" t="s">
        <v>1576</v>
      </c>
      <c r="D4" s="6" t="s">
        <v>1577</v>
      </c>
      <c r="E4" s="497"/>
      <c r="F4" s="498"/>
      <c r="G4" s="497" t="s">
        <v>1579</v>
      </c>
      <c r="H4" s="498"/>
      <c r="I4" s="497" t="s">
        <v>1580</v>
      </c>
      <c r="J4" s="498"/>
      <c r="K4" s="497"/>
      <c r="L4" s="498"/>
      <c r="M4" s="497" t="s">
        <v>554</v>
      </c>
      <c r="N4" s="498"/>
      <c r="O4" s="497" t="s">
        <v>962</v>
      </c>
      <c r="P4" s="498"/>
      <c r="Q4" s="497"/>
      <c r="R4" s="498"/>
      <c r="S4" s="497" t="s">
        <v>551</v>
      </c>
      <c r="T4" s="498"/>
      <c r="U4" s="497"/>
      <c r="V4" s="498"/>
      <c r="W4" s="497" t="s">
        <v>552</v>
      </c>
      <c r="X4" s="498" t="s">
        <v>1645</v>
      </c>
      <c r="Y4" s="497" t="s">
        <v>643</v>
      </c>
      <c r="Z4" s="498"/>
      <c r="AA4" s="497" t="s">
        <v>642</v>
      </c>
      <c r="AB4" s="498"/>
      <c r="AC4" s="497" t="s">
        <v>1427</v>
      </c>
      <c r="AD4" s="498"/>
      <c r="AE4" s="497" t="s">
        <v>1429</v>
      </c>
      <c r="AF4" s="498"/>
      <c r="AG4" s="497" t="s">
        <v>1068</v>
      </c>
      <c r="AH4" s="498"/>
      <c r="AI4" s="497" t="s">
        <v>641</v>
      </c>
      <c r="AJ4" s="498"/>
      <c r="AK4" s="497" t="s">
        <v>1070</v>
      </c>
      <c r="AL4" s="498"/>
      <c r="AM4" s="497" t="s">
        <v>1321</v>
      </c>
      <c r="AN4" s="498"/>
      <c r="AQ4" s="290" t="s">
        <v>1322</v>
      </c>
      <c r="AR4" s="291"/>
    </row>
    <row r="5" spans="1:44">
      <c r="A5" s="2">
        <v>2</v>
      </c>
      <c r="B5" s="8" t="s">
        <v>1582</v>
      </c>
      <c r="C5" s="9">
        <v>40</v>
      </c>
      <c r="D5" s="10" t="s">
        <v>1583</v>
      </c>
      <c r="E5" s="46" t="e">
        <f ca="1">VLOOKUP(F5,'Base SAP'!A:O,6,FALSE)</f>
        <v>#N/A</v>
      </c>
      <c r="F5" s="44"/>
      <c r="G5" s="46">
        <f ca="1">VLOOKUP(H5,'Base SAP'!A:O,6,FALSE)</f>
        <v>18</v>
      </c>
      <c r="H5" s="44">
        <v>346400</v>
      </c>
      <c r="I5" s="46">
        <f ca="1">VLOOKUP(J5,'Base SAP'!A:O,6,FALSE)</f>
        <v>18</v>
      </c>
      <c r="J5" s="44">
        <v>346430</v>
      </c>
      <c r="K5" s="46" t="e">
        <f ca="1">VLOOKUP(L5,'Base SAP'!A:O,6,FALSE)</f>
        <v>#N/A</v>
      </c>
      <c r="L5" s="44"/>
      <c r="M5" s="46">
        <f ca="1">VLOOKUP(N5,'Base SAP'!A:O,6,FALSE)</f>
        <v>40</v>
      </c>
      <c r="N5" s="44">
        <v>346920</v>
      </c>
      <c r="O5" s="46">
        <f ca="1">VLOOKUP(P5,'Base SAP'!A:O,6,FALSE)</f>
        <v>37</v>
      </c>
      <c r="P5" s="44">
        <v>346640</v>
      </c>
      <c r="Q5" s="46" t="e">
        <f ca="1">VLOOKUP(R5,'Base SAP'!A:O,6,FALSE)</f>
        <v>#N/A</v>
      </c>
      <c r="R5" s="44"/>
      <c r="S5" s="46">
        <f ca="1">VLOOKUP(T5,'Base SAP'!A:O,6,FALSE)</f>
        <v>28</v>
      </c>
      <c r="T5" s="44">
        <v>346980</v>
      </c>
      <c r="U5" s="46" t="e">
        <f ca="1">VLOOKUP(V5,'Base SAP'!A:O,6,FALSE)</f>
        <v>#N/A</v>
      </c>
      <c r="V5" s="44"/>
      <c r="W5" s="46">
        <f ca="1">VLOOKUP(X5,'Base SAP'!A:O,6,FALSE)</f>
        <v>15.5</v>
      </c>
      <c r="X5" s="44">
        <v>346470</v>
      </c>
      <c r="Y5" s="46">
        <f ca="1">VLOOKUP(Z5,'Base SAP'!A:O,6,FALSE)</f>
        <v>63</v>
      </c>
      <c r="Z5" s="44">
        <v>347040</v>
      </c>
      <c r="AA5" s="46">
        <f ca="1">VLOOKUP(AB5,'Base SAP'!A:O,6,FALSE)</f>
        <v>32</v>
      </c>
      <c r="AB5" s="44">
        <v>347100</v>
      </c>
      <c r="AC5" s="46">
        <f ca="1">VLOOKUP(AD5,'Base SAP'!A:O,6,FALSE)</f>
        <v>18</v>
      </c>
      <c r="AD5" s="44">
        <v>346570</v>
      </c>
      <c r="AE5" s="46">
        <f ca="1">VLOOKUP(AF5,'Base SAP'!A:O,6,FALSE)</f>
        <v>25.5</v>
      </c>
      <c r="AF5" s="44">
        <v>346800</v>
      </c>
      <c r="AG5" s="46">
        <f ca="1">VLOOKUP(AH5,'Base SAP'!A:O,6,FALSE)</f>
        <v>32</v>
      </c>
      <c r="AH5" s="44">
        <v>346660</v>
      </c>
      <c r="AI5" s="46">
        <f ca="1">VLOOKUP(AJ5,'Base SAP'!A:O,6,FALSE)</f>
        <v>32</v>
      </c>
      <c r="AJ5" s="44">
        <v>346679</v>
      </c>
      <c r="AK5" s="46">
        <f ca="1">VLOOKUP(AL5,'Base SAP'!A:O,6,FALSE)</f>
        <v>18</v>
      </c>
      <c r="AL5" s="44">
        <v>346260</v>
      </c>
      <c r="AM5" s="46">
        <f ca="1">VLOOKUP(AN5,'Base SAP'!A:O,6,FALSE)</f>
        <v>32.5</v>
      </c>
      <c r="AN5" s="44">
        <v>346820</v>
      </c>
      <c r="AQ5" s="46">
        <f t="shared" ref="AQ5:AQ24" ca="1" si="0">VLOOKUP(AR5,Base_tarif,6,FALSE)</f>
        <v>17</v>
      </c>
      <c r="AR5" s="44">
        <v>346305</v>
      </c>
    </row>
    <row r="6" spans="1:44">
      <c r="A6" s="2">
        <v>3</v>
      </c>
      <c r="B6" s="8" t="s">
        <v>1584</v>
      </c>
      <c r="C6" s="9">
        <v>40</v>
      </c>
      <c r="D6" s="10" t="s">
        <v>1585</v>
      </c>
      <c r="E6" s="46" t="e">
        <f ca="1">VLOOKUP(F6,'Base SAP'!A:O,6,FALSE)</f>
        <v>#N/A</v>
      </c>
      <c r="F6" s="44"/>
      <c r="G6" s="46">
        <f ca="1">VLOOKUP(H6,'Base SAP'!A:O,6,FALSE)</f>
        <v>24</v>
      </c>
      <c r="H6" s="44">
        <v>346401</v>
      </c>
      <c r="I6" s="46">
        <f ca="1">VLOOKUP(J6,'Base SAP'!A:O,6,FALSE)</f>
        <v>24</v>
      </c>
      <c r="J6" s="44">
        <v>346431</v>
      </c>
      <c r="K6" s="46" t="e">
        <f ca="1">VLOOKUP(L6,'Base SAP'!A:O,6,FALSE)</f>
        <v>#N/A</v>
      </c>
      <c r="L6" s="44"/>
      <c r="M6" s="46">
        <f ca="1">VLOOKUP(N6,'Base SAP'!A:O,6,FALSE)</f>
        <v>44.5</v>
      </c>
      <c r="N6" s="44">
        <v>346921</v>
      </c>
      <c r="O6" s="46">
        <f ca="1">VLOOKUP(P6,'Base SAP'!A:O,6,FALSE)</f>
        <v>42</v>
      </c>
      <c r="P6" s="44">
        <v>346641</v>
      </c>
      <c r="Q6" s="46" t="e">
        <f ca="1">VLOOKUP(R6,'Base SAP'!A:O,6,FALSE)</f>
        <v>#N/A</v>
      </c>
      <c r="R6" s="44"/>
      <c r="S6" s="46">
        <f ca="1">VLOOKUP(T6,'Base SAP'!A:O,6,FALSE)</f>
        <v>31.5</v>
      </c>
      <c r="T6" s="44">
        <v>346981</v>
      </c>
      <c r="U6" s="46" t="e">
        <f ca="1">VLOOKUP(V6,'Base SAP'!A:O,6,FALSE)</f>
        <v>#N/A</v>
      </c>
      <c r="V6" s="44"/>
      <c r="W6" s="46">
        <f ca="1">VLOOKUP(X6,'Base SAP'!A:O,6,FALSE)</f>
        <v>23.5</v>
      </c>
      <c r="X6" s="44">
        <v>346471</v>
      </c>
      <c r="Y6" s="46">
        <f ca="1">VLOOKUP(Z6,'Base SAP'!A:O,6,FALSE)</f>
        <v>64</v>
      </c>
      <c r="Z6" s="44">
        <v>347041</v>
      </c>
      <c r="AA6" s="46">
        <f ca="1">VLOOKUP(AB6,'Base SAP'!A:O,6,FALSE)</f>
        <v>38</v>
      </c>
      <c r="AB6" s="44">
        <v>347101</v>
      </c>
      <c r="AC6" s="46">
        <f ca="1">VLOOKUP(AD6,'Base SAP'!A:O,6,FALSE)</f>
        <v>24</v>
      </c>
      <c r="AD6" s="44">
        <v>346571</v>
      </c>
      <c r="AE6" s="46">
        <f ca="1">VLOOKUP(AF6,'Base SAP'!A:O,6,FALSE)</f>
        <v>29.5</v>
      </c>
      <c r="AF6" s="44">
        <v>346801</v>
      </c>
      <c r="AG6" s="46">
        <f ca="1">VLOOKUP(AH6,'Base SAP'!A:O,6,FALSE)</f>
        <v>38</v>
      </c>
      <c r="AH6" s="44">
        <v>346662</v>
      </c>
      <c r="AI6" s="46">
        <f ca="1">VLOOKUP(AJ6,'Base SAP'!A:O,6,FALSE)</f>
        <v>33</v>
      </c>
      <c r="AJ6" s="44">
        <v>346680</v>
      </c>
      <c r="AK6" s="46">
        <f ca="1">VLOOKUP(AL6,'Base SAP'!A:O,6,FALSE)</f>
        <v>24</v>
      </c>
      <c r="AL6" s="44">
        <v>346261</v>
      </c>
      <c r="AM6" s="46">
        <f ca="1">VLOOKUP(AN6,'Base SAP'!A:O,6,FALSE)</f>
        <v>38</v>
      </c>
      <c r="AN6" s="44">
        <v>346821</v>
      </c>
      <c r="AQ6" s="46"/>
      <c r="AR6" s="44"/>
    </row>
    <row r="7" spans="1:44">
      <c r="A7" s="2">
        <v>4</v>
      </c>
      <c r="B7" s="8" t="s">
        <v>1586</v>
      </c>
      <c r="C7" s="9">
        <v>60</v>
      </c>
      <c r="D7" s="10" t="s">
        <v>1583</v>
      </c>
      <c r="E7" s="46" t="e">
        <f ca="1">VLOOKUP(F7,'Base SAP'!A:O,6,FALSE)</f>
        <v>#N/A</v>
      </c>
      <c r="F7" s="44"/>
      <c r="G7" s="46">
        <f ca="1">VLOOKUP(H7,'Base SAP'!A:O,6,FALSE)</f>
        <v>25.5</v>
      </c>
      <c r="H7" s="44">
        <v>346402</v>
      </c>
      <c r="I7" s="46">
        <f ca="1">VLOOKUP(J7,'Base SAP'!A:O,6,FALSE)</f>
        <v>25.5</v>
      </c>
      <c r="J7" s="44">
        <v>346432</v>
      </c>
      <c r="K7" s="46" t="e">
        <f ca="1">VLOOKUP(L7,'Base SAP'!A:O,6,FALSE)</f>
        <v>#N/A</v>
      </c>
      <c r="L7" s="44"/>
      <c r="M7" s="46">
        <f ca="1">VLOOKUP(N7,'Base SAP'!A:O,6,FALSE)</f>
        <v>50</v>
      </c>
      <c r="N7" s="44">
        <v>346922</v>
      </c>
      <c r="O7" s="46">
        <f ca="1">VLOOKUP(P7,'Base SAP'!A:O,6,FALSE)</f>
        <v>50</v>
      </c>
      <c r="P7" s="44">
        <v>346642</v>
      </c>
      <c r="Q7" s="46" t="e">
        <f ca="1">VLOOKUP(R7,'Base SAP'!A:O,6,FALSE)</f>
        <v>#N/A</v>
      </c>
      <c r="R7" s="44"/>
      <c r="S7" s="46">
        <f ca="1">VLOOKUP(T7,'Base SAP'!A:O,6,FALSE)</f>
        <v>36.5</v>
      </c>
      <c r="T7" s="44">
        <v>346982</v>
      </c>
      <c r="U7" s="46" t="e">
        <f ca="1">VLOOKUP(V7,'Base SAP'!A:O,6,FALSE)</f>
        <v>#N/A</v>
      </c>
      <c r="V7" s="44"/>
      <c r="W7" s="46">
        <f ca="1">VLOOKUP(X7,'Base SAP'!A:O,6,FALSE)</f>
        <v>25</v>
      </c>
      <c r="X7" s="44">
        <v>346472</v>
      </c>
      <c r="Y7" s="46">
        <f ca="1">VLOOKUP(Z7,'Base SAP'!A:O,6,FALSE)</f>
        <v>70.5</v>
      </c>
      <c r="Z7" s="44">
        <v>347042</v>
      </c>
      <c r="AA7" s="46">
        <f ca="1">VLOOKUP(AB7,'Base SAP'!A:O,6,FALSE)</f>
        <v>43</v>
      </c>
      <c r="AB7" s="44">
        <v>347102</v>
      </c>
      <c r="AC7" s="46">
        <f ca="1">VLOOKUP(AD7,'Base SAP'!A:O,6,FALSE)</f>
        <v>25.5</v>
      </c>
      <c r="AD7" s="44">
        <v>346572</v>
      </c>
      <c r="AE7" s="46">
        <f ca="1">VLOOKUP(AF7,'Base SAP'!A:O,6,FALSE)</f>
        <v>32</v>
      </c>
      <c r="AF7" s="44">
        <v>346802</v>
      </c>
      <c r="AG7" s="46">
        <f ca="1">VLOOKUP(AH7,'Base SAP'!A:O,6,FALSE)</f>
        <v>43</v>
      </c>
      <c r="AH7" s="44">
        <v>346663</v>
      </c>
      <c r="AI7" s="46">
        <f ca="1">VLOOKUP(AJ7,'Base SAP'!A:O,6,FALSE)</f>
        <v>35</v>
      </c>
      <c r="AJ7" s="44">
        <v>346681</v>
      </c>
      <c r="AK7" s="46">
        <f ca="1">VLOOKUP(AL7,'Base SAP'!A:O,6,FALSE)</f>
        <v>25.5</v>
      </c>
      <c r="AL7" s="44">
        <v>346262</v>
      </c>
      <c r="AM7" s="46">
        <f ca="1">VLOOKUP(AN7,'Base SAP'!A:O,6,FALSE)</f>
        <v>42.5</v>
      </c>
      <c r="AN7" s="44">
        <v>346822</v>
      </c>
      <c r="AQ7" s="46">
        <f t="shared" ca="1" si="0"/>
        <v>35.5</v>
      </c>
      <c r="AR7" s="44">
        <v>346306</v>
      </c>
    </row>
    <row r="8" spans="1:44">
      <c r="A8" s="2">
        <v>5</v>
      </c>
      <c r="B8" s="8" t="s">
        <v>1587</v>
      </c>
      <c r="C8" s="9">
        <v>60</v>
      </c>
      <c r="D8" s="10" t="s">
        <v>1588</v>
      </c>
      <c r="E8" s="46" t="e">
        <f ca="1">VLOOKUP(F8,'Base SAP'!A:O,6,FALSE)</f>
        <v>#N/A</v>
      </c>
      <c r="F8" s="44"/>
      <c r="G8" s="46">
        <f ca="1">VLOOKUP(H8,'Base SAP'!A:O,6,FALSE)</f>
        <v>31</v>
      </c>
      <c r="H8" s="44">
        <v>346403</v>
      </c>
      <c r="I8" s="46">
        <f ca="1">VLOOKUP(J8,'Base SAP'!A:O,6,FALSE)</f>
        <v>31</v>
      </c>
      <c r="J8" s="44">
        <v>346433</v>
      </c>
      <c r="K8" s="46" t="e">
        <f ca="1">VLOOKUP(L8,'Base SAP'!A:O,6,FALSE)</f>
        <v>#N/A</v>
      </c>
      <c r="L8" s="44"/>
      <c r="M8" s="46">
        <f ca="1">VLOOKUP(N8,'Base SAP'!A:O,6,FALSE)</f>
        <v>53</v>
      </c>
      <c r="N8" s="44">
        <v>346923</v>
      </c>
      <c r="O8" s="46">
        <f ca="1">VLOOKUP(P8,'Base SAP'!A:O,6,FALSE)</f>
        <v>52</v>
      </c>
      <c r="P8" s="44">
        <v>346643</v>
      </c>
      <c r="Q8" s="46" t="e">
        <f ca="1">VLOOKUP(R8,'Base SAP'!A:O,6,FALSE)</f>
        <v>#N/A</v>
      </c>
      <c r="R8" s="44"/>
      <c r="S8" s="46">
        <f ca="1">VLOOKUP(T8,'Base SAP'!A:O,6,FALSE)</f>
        <v>41.5</v>
      </c>
      <c r="T8" s="44">
        <v>346983</v>
      </c>
      <c r="U8" s="46" t="e">
        <f ca="1">VLOOKUP(V8,'Base SAP'!A:O,6,FALSE)</f>
        <v>#N/A</v>
      </c>
      <c r="V8" s="44"/>
      <c r="W8" s="46">
        <f ca="1">VLOOKUP(X8,'Base SAP'!A:O,6,FALSE)</f>
        <v>30.5</v>
      </c>
      <c r="X8" s="44">
        <v>346473</v>
      </c>
      <c r="Y8" s="46">
        <f ca="1">VLOOKUP(Z8,'Base SAP'!A:O,6,FALSE)</f>
        <v>77</v>
      </c>
      <c r="Z8" s="44">
        <v>347043</v>
      </c>
      <c r="AA8" s="46">
        <f ca="1">VLOOKUP(AB8,'Base SAP'!A:O,6,FALSE)</f>
        <v>46</v>
      </c>
      <c r="AB8" s="44">
        <v>347103</v>
      </c>
      <c r="AC8" s="46">
        <f ca="1">VLOOKUP(AD8,'Base SAP'!A:O,6,FALSE)</f>
        <v>31</v>
      </c>
      <c r="AD8" s="44">
        <v>346573</v>
      </c>
      <c r="AE8" s="46">
        <f ca="1">VLOOKUP(AF8,'Base SAP'!A:O,6,FALSE)</f>
        <v>37</v>
      </c>
      <c r="AF8" s="44">
        <v>346803</v>
      </c>
      <c r="AG8" s="46">
        <f ca="1">VLOOKUP(AH8,'Base SAP'!A:O,6,FALSE)</f>
        <v>46</v>
      </c>
      <c r="AH8" s="44">
        <v>346664</v>
      </c>
      <c r="AI8" s="46">
        <f ca="1">VLOOKUP(AJ8,'Base SAP'!A:O,6,FALSE)</f>
        <v>40</v>
      </c>
      <c r="AJ8" s="44">
        <v>346682</v>
      </c>
      <c r="AK8" s="46">
        <f ca="1">VLOOKUP(AL8,'Base SAP'!A:O,6,FALSE)</f>
        <v>31</v>
      </c>
      <c r="AL8" s="44">
        <v>346263</v>
      </c>
      <c r="AM8" s="46">
        <f ca="1">VLOOKUP(AN8,'Base SAP'!A:O,6,FALSE)</f>
        <v>46</v>
      </c>
      <c r="AN8" s="44">
        <v>346823</v>
      </c>
      <c r="AQ8" s="46"/>
      <c r="AR8" s="44"/>
    </row>
    <row r="9" spans="1:44">
      <c r="A9" s="2">
        <v>6</v>
      </c>
      <c r="B9" s="8" t="s">
        <v>1589</v>
      </c>
      <c r="C9" s="9">
        <v>60</v>
      </c>
      <c r="D9" s="10" t="s">
        <v>1850</v>
      </c>
      <c r="E9" s="46" t="e">
        <f ca="1">VLOOKUP(F9,'Base SAP'!A:O,6,FALSE)</f>
        <v>#N/A</v>
      </c>
      <c r="F9" s="44"/>
      <c r="G9" s="46">
        <f ca="1">VLOOKUP(H9,'Base SAP'!A:O,6,FALSE)</f>
        <v>20</v>
      </c>
      <c r="H9" s="44">
        <v>346404</v>
      </c>
      <c r="I9" s="46">
        <f ca="1">VLOOKUP(J9,'Base SAP'!A:O,6,FALSE)</f>
        <v>20</v>
      </c>
      <c r="J9" s="44">
        <v>346434</v>
      </c>
      <c r="K9" s="46" t="e">
        <f ca="1">VLOOKUP(L9,'Base SAP'!A:O,6,FALSE)</f>
        <v>#N/A</v>
      </c>
      <c r="L9" s="44"/>
      <c r="M9" s="46">
        <f ca="1">VLOOKUP(N9,'Base SAP'!A:O,6,FALSE)</f>
        <v>35</v>
      </c>
      <c r="N9" s="44">
        <v>346924</v>
      </c>
      <c r="O9" s="46">
        <f ca="1">VLOOKUP(P9,'Base SAP'!A:O,6,FALSE)</f>
        <v>33</v>
      </c>
      <c r="P9" s="44">
        <v>346644</v>
      </c>
      <c r="Q9" s="46" t="e">
        <f ca="1">VLOOKUP(R9,'Base SAP'!A:O,6,FALSE)</f>
        <v>#N/A</v>
      </c>
      <c r="R9" s="44"/>
      <c r="S9" s="46">
        <f ca="1">VLOOKUP(T9,'Base SAP'!A:O,6,FALSE)</f>
        <v>24</v>
      </c>
      <c r="T9" s="44">
        <v>346984</v>
      </c>
      <c r="U9" s="46" t="e">
        <f ca="1">VLOOKUP(V9,'Base SAP'!A:O,6,FALSE)</f>
        <v>#N/A</v>
      </c>
      <c r="V9" s="44"/>
      <c r="W9" s="46">
        <f ca="1">VLOOKUP(X9,'Base SAP'!A:O,6,FALSE)</f>
        <v>15.5</v>
      </c>
      <c r="X9" s="44">
        <v>346474</v>
      </c>
      <c r="Y9" s="46">
        <f ca="1">VLOOKUP(Z9,'Base SAP'!A:O,6,FALSE)</f>
        <v>58.5</v>
      </c>
      <c r="Z9" s="44">
        <v>347044</v>
      </c>
      <c r="AA9" s="46">
        <f ca="1">VLOOKUP(AB9,'Base SAP'!A:O,6,FALSE)</f>
        <v>30.5</v>
      </c>
      <c r="AB9" s="44">
        <v>347104</v>
      </c>
      <c r="AC9" s="46">
        <f ca="1">VLOOKUP(AD9,'Base SAP'!A:O,6,FALSE)</f>
        <v>20</v>
      </c>
      <c r="AD9" s="44">
        <v>346574</v>
      </c>
      <c r="AE9" s="46">
        <f ca="1">VLOOKUP(AF9,'Base SAP'!A:O,6,FALSE)</f>
        <v>23</v>
      </c>
      <c r="AF9" s="44">
        <v>346804</v>
      </c>
      <c r="AG9" s="46">
        <f ca="1">VLOOKUP(AH9,'Base SAP'!A:O,6,FALSE)</f>
        <v>30.5</v>
      </c>
      <c r="AH9" s="44">
        <v>346665</v>
      </c>
      <c r="AI9" s="46">
        <f ca="1">VLOOKUP(AJ9,'Base SAP'!A:O,6,FALSE)</f>
        <v>27</v>
      </c>
      <c r="AJ9" s="44">
        <v>346683</v>
      </c>
      <c r="AK9" s="46">
        <f ca="1">VLOOKUP(AL9,'Base SAP'!A:O,6,FALSE)</f>
        <v>20</v>
      </c>
      <c r="AL9" s="44">
        <v>346264</v>
      </c>
      <c r="AM9" s="46">
        <f ca="1">VLOOKUP(AN9,'Base SAP'!A:O,6,FALSE)</f>
        <v>30.5</v>
      </c>
      <c r="AN9" s="44">
        <v>346824</v>
      </c>
      <c r="AQ9" s="46"/>
      <c r="AR9" s="44"/>
    </row>
    <row r="10" spans="1:44">
      <c r="A10" s="2">
        <v>7</v>
      </c>
      <c r="B10" s="8" t="s">
        <v>1851</v>
      </c>
      <c r="C10" s="9">
        <v>40</v>
      </c>
      <c r="D10" s="10" t="s">
        <v>1852</v>
      </c>
      <c r="E10" s="46" t="e">
        <f ca="1">VLOOKUP(F10,'Base SAP'!A:O,6,FALSE)</f>
        <v>#N/A</v>
      </c>
      <c r="F10" s="44"/>
      <c r="G10" s="46">
        <f ca="1">VLOOKUP(H10,'Base SAP'!A:O,6,FALSE)</f>
        <v>52</v>
      </c>
      <c r="H10" s="44">
        <v>348342</v>
      </c>
      <c r="I10" s="46">
        <f ca="1">VLOOKUP(J10,'Base SAP'!A:O,6,FALSE)</f>
        <v>52</v>
      </c>
      <c r="J10" s="44">
        <v>348342</v>
      </c>
      <c r="K10" s="46" t="e">
        <f ca="1">VLOOKUP(L10,'Base SAP'!A:O,6,FALSE)</f>
        <v>#N/A</v>
      </c>
      <c r="L10" s="44"/>
      <c r="M10" s="46">
        <f ca="1">VLOOKUP(N10,'Base SAP'!A:O,6,FALSE)</f>
        <v>52</v>
      </c>
      <c r="N10" s="44">
        <v>348342</v>
      </c>
      <c r="O10" s="46">
        <f ca="1">VLOOKUP(P10,'Base SAP'!A:O,6,FALSE)</f>
        <v>52</v>
      </c>
      <c r="P10" s="44">
        <v>348342</v>
      </c>
      <c r="Q10" s="46" t="e">
        <f ca="1">VLOOKUP(R10,'Base SAP'!A:O,6,FALSE)</f>
        <v>#N/A</v>
      </c>
      <c r="R10" s="44"/>
      <c r="S10" s="46">
        <f ca="1">VLOOKUP(T10,'Base SAP'!A:O,6,FALSE)</f>
        <v>50</v>
      </c>
      <c r="T10" s="44">
        <v>346985</v>
      </c>
      <c r="U10" s="46" t="e">
        <f ca="1">VLOOKUP(V10,'Base SAP'!A:O,6,FALSE)</f>
        <v>#N/A</v>
      </c>
      <c r="V10" s="44"/>
      <c r="W10" s="46">
        <f ca="1">VLOOKUP(X10,'Base SAP'!A:O,6,FALSE)</f>
        <v>52</v>
      </c>
      <c r="X10" s="44">
        <v>348342</v>
      </c>
      <c r="Y10" s="46">
        <f ca="1">VLOOKUP(Z10,'Base SAP'!A:O,6,FALSE)</f>
        <v>52</v>
      </c>
      <c r="Z10" s="44">
        <v>348342</v>
      </c>
      <c r="AA10" s="46">
        <f ca="1">VLOOKUP(AB10,'Base SAP'!A:O,6,FALSE)</f>
        <v>52</v>
      </c>
      <c r="AB10" s="44">
        <v>348342</v>
      </c>
      <c r="AC10" s="46">
        <f ca="1">VLOOKUP(AD10,'Base SAP'!A:O,6,FALSE)</f>
        <v>52</v>
      </c>
      <c r="AD10" s="44">
        <v>348342</v>
      </c>
      <c r="AE10" s="46">
        <f ca="1">VLOOKUP(AF10,'Base SAP'!A:O,6,FALSE)</f>
        <v>52</v>
      </c>
      <c r="AF10" s="44">
        <v>348342</v>
      </c>
      <c r="AG10" s="46">
        <f ca="1">VLOOKUP(AH10,'Base SAP'!A:O,6,FALSE)</f>
        <v>51.5</v>
      </c>
      <c r="AH10" s="44">
        <v>346661</v>
      </c>
      <c r="AI10" s="46">
        <f ca="1">VLOOKUP(AJ10,'Base SAP'!A:O,6,FALSE)</f>
        <v>52</v>
      </c>
      <c r="AJ10" s="44">
        <v>348342</v>
      </c>
      <c r="AK10" s="46">
        <f ca="1">VLOOKUP(AL10,'Base SAP'!A:O,6,FALSE)</f>
        <v>52</v>
      </c>
      <c r="AL10" s="44">
        <v>348342</v>
      </c>
      <c r="AM10" s="46">
        <f ca="1">VLOOKUP(AN10,'Base SAP'!A:O,6,FALSE)</f>
        <v>52</v>
      </c>
      <c r="AN10" s="44">
        <v>348342</v>
      </c>
      <c r="AQ10" s="46"/>
      <c r="AR10" s="44">
        <v>348342</v>
      </c>
    </row>
    <row r="11" spans="1:44">
      <c r="A11" s="2">
        <v>8</v>
      </c>
      <c r="B11" s="8"/>
      <c r="C11" s="9">
        <v>40</v>
      </c>
      <c r="D11" s="10" t="s">
        <v>1324</v>
      </c>
      <c r="E11" s="46" t="e">
        <f ca="1">VLOOKUP(F11,'Base SAP'!A:O,6,FALSE)</f>
        <v>#N/A</v>
      </c>
      <c r="F11" s="44"/>
      <c r="G11" s="46">
        <f ca="1">VLOOKUP(H11,'Base SAP'!A:O,6,FALSE)</f>
        <v>55</v>
      </c>
      <c r="H11" s="44">
        <v>348350</v>
      </c>
      <c r="I11" s="46">
        <f ca="1">VLOOKUP(J11,'Base SAP'!A:O,6,FALSE)</f>
        <v>55</v>
      </c>
      <c r="J11" s="44">
        <v>348350</v>
      </c>
      <c r="K11" s="46" t="e">
        <f ca="1">VLOOKUP(L11,'Base SAP'!A:O,6,FALSE)</f>
        <v>#N/A</v>
      </c>
      <c r="L11" s="44"/>
      <c r="M11" s="46">
        <f ca="1">VLOOKUP(N11,'Base SAP'!A:O,6,FALSE)</f>
        <v>55</v>
      </c>
      <c r="N11" s="44">
        <v>348350</v>
      </c>
      <c r="O11" s="46">
        <f ca="1">VLOOKUP(P11,'Base SAP'!A:O,6,FALSE)</f>
        <v>55</v>
      </c>
      <c r="P11" s="44">
        <v>348350</v>
      </c>
      <c r="Q11" s="46" t="e">
        <f ca="1">VLOOKUP(R11,'Base SAP'!A:O,6,FALSE)</f>
        <v>#N/A</v>
      </c>
      <c r="R11" s="44"/>
      <c r="S11" s="46">
        <f ca="1">VLOOKUP(T11,'Base SAP'!A:O,6,FALSE)</f>
        <v>55</v>
      </c>
      <c r="T11" s="44">
        <v>348350</v>
      </c>
      <c r="U11" s="46" t="e">
        <f ca="1">VLOOKUP(V11,'Base SAP'!A:O,6,FALSE)</f>
        <v>#N/A</v>
      </c>
      <c r="V11" s="44"/>
      <c r="W11" s="46">
        <f ca="1">VLOOKUP(X11,'Base SAP'!A:O,6,FALSE)</f>
        <v>55</v>
      </c>
      <c r="X11" s="44">
        <v>348350</v>
      </c>
      <c r="Y11" s="46">
        <f ca="1">VLOOKUP(Z11,'Base SAP'!A:O,6,FALSE)</f>
        <v>55</v>
      </c>
      <c r="Z11" s="44">
        <v>348350</v>
      </c>
      <c r="AA11" s="46">
        <f ca="1">VLOOKUP(AB11,'Base SAP'!A:O,6,FALSE)</f>
        <v>55</v>
      </c>
      <c r="AB11" s="44">
        <v>348350</v>
      </c>
      <c r="AC11" s="46">
        <f ca="1">VLOOKUP(AD11,'Base SAP'!A:O,6,FALSE)</f>
        <v>55</v>
      </c>
      <c r="AD11" s="44">
        <v>348350</v>
      </c>
      <c r="AE11" s="46">
        <f ca="1">VLOOKUP(AF11,'Base SAP'!A:O,6,FALSE)</f>
        <v>55</v>
      </c>
      <c r="AF11" s="44">
        <v>348350</v>
      </c>
      <c r="AG11" s="46">
        <f ca="1">VLOOKUP(AH11,'Base SAP'!A:O,6,FALSE)</f>
        <v>55</v>
      </c>
      <c r="AH11" s="44">
        <v>348350</v>
      </c>
      <c r="AI11" s="46">
        <f ca="1">VLOOKUP(AJ11,'Base SAP'!A:O,6,FALSE)</f>
        <v>55</v>
      </c>
      <c r="AJ11" s="44">
        <v>348350</v>
      </c>
      <c r="AK11" s="46">
        <f ca="1">VLOOKUP(AL11,'Base SAP'!A:O,6,FALSE)</f>
        <v>55</v>
      </c>
      <c r="AL11" s="44">
        <v>348350</v>
      </c>
      <c r="AM11" s="46">
        <f ca="1">VLOOKUP(AN11,'Base SAP'!A:O,6,FALSE)</f>
        <v>55</v>
      </c>
      <c r="AN11" s="44">
        <v>348350</v>
      </c>
      <c r="AQ11" s="46"/>
      <c r="AR11" s="44"/>
    </row>
    <row r="12" spans="1:44">
      <c r="A12" s="2">
        <v>9</v>
      </c>
      <c r="B12" s="8"/>
      <c r="C12" s="9">
        <v>60</v>
      </c>
      <c r="D12" s="10" t="s">
        <v>1324</v>
      </c>
      <c r="E12" s="46" t="e">
        <f ca="1">VLOOKUP(F12,'Base SAP'!A:O,6,FALSE)</f>
        <v>#N/A</v>
      </c>
      <c r="F12" s="44"/>
      <c r="G12" s="46">
        <f ca="1">VLOOKUP(H12,'Base SAP'!A:O,6,FALSE)</f>
        <v>80</v>
      </c>
      <c r="H12" s="44">
        <v>348353</v>
      </c>
      <c r="I12" s="46">
        <f ca="1">VLOOKUP(J12,'Base SAP'!A:O,6,FALSE)</f>
        <v>80</v>
      </c>
      <c r="J12" s="44">
        <v>348353</v>
      </c>
      <c r="K12" s="46" t="e">
        <f ca="1">VLOOKUP(L12,'Base SAP'!A:O,6,FALSE)</f>
        <v>#N/A</v>
      </c>
      <c r="L12" s="44"/>
      <c r="M12" s="46">
        <f ca="1">VLOOKUP(N12,'Base SAP'!A:O,6,FALSE)</f>
        <v>80</v>
      </c>
      <c r="N12" s="44">
        <v>348353</v>
      </c>
      <c r="O12" s="46">
        <f ca="1">VLOOKUP(P12,'Base SAP'!A:O,6,FALSE)</f>
        <v>80</v>
      </c>
      <c r="P12" s="44">
        <v>348353</v>
      </c>
      <c r="Q12" s="46" t="e">
        <f ca="1">VLOOKUP(R12,'Base SAP'!A:O,6,FALSE)</f>
        <v>#N/A</v>
      </c>
      <c r="R12" s="44"/>
      <c r="S12" s="46">
        <f ca="1">VLOOKUP(T12,'Base SAP'!A:O,6,FALSE)</f>
        <v>80</v>
      </c>
      <c r="T12" s="44">
        <v>348353</v>
      </c>
      <c r="U12" s="46" t="e">
        <f ca="1">VLOOKUP(V12,'Base SAP'!A:O,6,FALSE)</f>
        <v>#N/A</v>
      </c>
      <c r="V12" s="44"/>
      <c r="W12" s="46">
        <f ca="1">VLOOKUP(X12,'Base SAP'!A:O,6,FALSE)</f>
        <v>80</v>
      </c>
      <c r="X12" s="44">
        <v>348353</v>
      </c>
      <c r="Y12" s="46">
        <f ca="1">VLOOKUP(Z12,'Base SAP'!A:O,6,FALSE)</f>
        <v>80</v>
      </c>
      <c r="Z12" s="44">
        <v>348353</v>
      </c>
      <c r="AA12" s="46">
        <f ca="1">VLOOKUP(AB12,'Base SAP'!A:O,6,FALSE)</f>
        <v>80</v>
      </c>
      <c r="AB12" s="44">
        <v>348353</v>
      </c>
      <c r="AC12" s="46">
        <f ca="1">VLOOKUP(AD12,'Base SAP'!A:O,6,FALSE)</f>
        <v>80</v>
      </c>
      <c r="AD12" s="44">
        <v>348353</v>
      </c>
      <c r="AE12" s="46">
        <f ca="1">VLOOKUP(AF12,'Base SAP'!A:O,6,FALSE)</f>
        <v>80</v>
      </c>
      <c r="AF12" s="44">
        <v>348353</v>
      </c>
      <c r="AG12" s="46">
        <f ca="1">VLOOKUP(AH12,'Base SAP'!A:O,6,FALSE)</f>
        <v>80</v>
      </c>
      <c r="AH12" s="44">
        <v>348353</v>
      </c>
      <c r="AI12" s="46">
        <f ca="1">VLOOKUP(AJ12,'Base SAP'!A:O,6,FALSE)</f>
        <v>80</v>
      </c>
      <c r="AJ12" s="44">
        <v>348353</v>
      </c>
      <c r="AK12" s="46">
        <f ca="1">VLOOKUP(AL12,'Base SAP'!A:O,6,FALSE)</f>
        <v>80</v>
      </c>
      <c r="AL12" s="44">
        <v>348353</v>
      </c>
      <c r="AM12" s="46">
        <f ca="1">VLOOKUP(AN12,'Base SAP'!A:O,6,FALSE)</f>
        <v>80</v>
      </c>
      <c r="AN12" s="44">
        <v>348353</v>
      </c>
      <c r="AQ12" s="46"/>
      <c r="AR12" s="44">
        <v>348353</v>
      </c>
    </row>
    <row r="13" spans="1:44">
      <c r="A13" s="2">
        <v>10</v>
      </c>
      <c r="B13" s="8"/>
      <c r="C13" s="9">
        <v>60</v>
      </c>
      <c r="D13" s="10" t="s">
        <v>1852</v>
      </c>
      <c r="E13" s="46" t="e">
        <f ca="1">VLOOKUP(F13,'Base SAP'!A:O,6,FALSE)</f>
        <v>#N/A</v>
      </c>
      <c r="F13" s="44"/>
      <c r="G13" s="46">
        <f ca="1">VLOOKUP(H13,'Base SAP'!A:O,6,FALSE)</f>
        <v>74</v>
      </c>
      <c r="H13" s="44">
        <v>348347</v>
      </c>
      <c r="I13" s="46">
        <f ca="1">VLOOKUP(J13,'Base SAP'!A:O,6,FALSE)</f>
        <v>74</v>
      </c>
      <c r="J13" s="44">
        <v>348347</v>
      </c>
      <c r="K13" s="46" t="e">
        <f ca="1">VLOOKUP(L13,'Base SAP'!A:O,6,FALSE)</f>
        <v>#N/A</v>
      </c>
      <c r="L13" s="44"/>
      <c r="M13" s="46">
        <f ca="1">VLOOKUP(N13,'Base SAP'!A:O,6,FALSE)</f>
        <v>74</v>
      </c>
      <c r="N13" s="44">
        <v>348347</v>
      </c>
      <c r="O13" s="46">
        <f ca="1">VLOOKUP(P13,'Base SAP'!A:O,6,FALSE)</f>
        <v>74</v>
      </c>
      <c r="P13" s="44">
        <v>348347</v>
      </c>
      <c r="Q13" s="46" t="e">
        <f ca="1">VLOOKUP(R13,'Base SAP'!A:O,6,FALSE)</f>
        <v>#N/A</v>
      </c>
      <c r="R13" s="44"/>
      <c r="S13" s="46">
        <f ca="1">VLOOKUP(T13,'Base SAP'!A:O,6,FALSE)</f>
        <v>74</v>
      </c>
      <c r="T13" s="44">
        <v>348347</v>
      </c>
      <c r="U13" s="46" t="e">
        <f ca="1">VLOOKUP(V13,'Base SAP'!A:O,6,FALSE)</f>
        <v>#N/A</v>
      </c>
      <c r="V13" s="44"/>
      <c r="W13" s="46">
        <f ca="1">VLOOKUP(X13,'Base SAP'!A:O,6,FALSE)</f>
        <v>74</v>
      </c>
      <c r="X13" s="44">
        <v>348347</v>
      </c>
      <c r="Y13" s="46">
        <f ca="1">VLOOKUP(Z13,'Base SAP'!A:O,6,FALSE)</f>
        <v>74</v>
      </c>
      <c r="Z13" s="44">
        <v>348347</v>
      </c>
      <c r="AA13" s="46">
        <f ca="1">VLOOKUP(AB13,'Base SAP'!A:O,6,FALSE)</f>
        <v>74</v>
      </c>
      <c r="AB13" s="44">
        <v>348347</v>
      </c>
      <c r="AC13" s="46">
        <f ca="1">VLOOKUP(AD13,'Base SAP'!A:O,6,FALSE)</f>
        <v>74</v>
      </c>
      <c r="AD13" s="44">
        <v>348347</v>
      </c>
      <c r="AE13" s="46">
        <f ca="1">VLOOKUP(AF13,'Base SAP'!A:O,6,FALSE)</f>
        <v>74</v>
      </c>
      <c r="AF13" s="44">
        <v>348347</v>
      </c>
      <c r="AG13" s="46">
        <f ca="1">VLOOKUP(AH13,'Base SAP'!A:O,6,FALSE)</f>
        <v>74</v>
      </c>
      <c r="AH13" s="44">
        <v>348347</v>
      </c>
      <c r="AI13" s="46">
        <f ca="1">VLOOKUP(AJ13,'Base SAP'!A:O,6,FALSE)</f>
        <v>74</v>
      </c>
      <c r="AJ13" s="44">
        <v>348347</v>
      </c>
      <c r="AK13" s="46">
        <f ca="1">VLOOKUP(AL13,'Base SAP'!A:O,6,FALSE)</f>
        <v>74</v>
      </c>
      <c r="AL13" s="44">
        <v>348347</v>
      </c>
      <c r="AM13" s="46">
        <f ca="1">VLOOKUP(AN13,'Base SAP'!A:O,6,FALSE)</f>
        <v>74</v>
      </c>
      <c r="AN13" s="44">
        <v>348347</v>
      </c>
      <c r="AQ13" s="46"/>
      <c r="AR13" s="44">
        <v>348347</v>
      </c>
    </row>
    <row r="14" spans="1:44">
      <c r="A14" s="2">
        <v>11</v>
      </c>
      <c r="B14" s="8" t="s">
        <v>1853</v>
      </c>
      <c r="C14" s="9">
        <v>60</v>
      </c>
      <c r="D14" s="10" t="s">
        <v>1854</v>
      </c>
      <c r="E14" s="46" t="e">
        <f ca="1">VLOOKUP(F14,'Base SAP'!A:O,6,FALSE)</f>
        <v>#N/A</v>
      </c>
      <c r="F14" s="44"/>
      <c r="G14" s="46">
        <f ca="1">VLOOKUP(H14,'Base SAP'!A:O,6,FALSE)</f>
        <v>33.5</v>
      </c>
      <c r="H14" s="44">
        <v>346405</v>
      </c>
      <c r="I14" s="46">
        <f ca="1">VLOOKUP(J14,'Base SAP'!A:O,6,FALSE)</f>
        <v>33.5</v>
      </c>
      <c r="J14" s="44">
        <v>346435</v>
      </c>
      <c r="K14" s="46" t="e">
        <f ca="1">VLOOKUP(L14,'Base SAP'!A:O,6,FALSE)</f>
        <v>#N/A</v>
      </c>
      <c r="L14" s="44"/>
      <c r="M14" s="46">
        <f ca="1">VLOOKUP(N14,'Base SAP'!A:O,6,FALSE)</f>
        <v>66</v>
      </c>
      <c r="N14" s="44">
        <v>346925</v>
      </c>
      <c r="O14" s="46">
        <f ca="1">VLOOKUP(P14,'Base SAP'!A:O,6,FALSE)</f>
        <v>66</v>
      </c>
      <c r="P14" s="44">
        <v>346645</v>
      </c>
      <c r="Q14" s="46" t="e">
        <f ca="1">VLOOKUP(R14,'Base SAP'!A:O,6,FALSE)</f>
        <v>#N/A</v>
      </c>
      <c r="R14" s="44"/>
      <c r="S14" s="46">
        <f ca="1">VLOOKUP(T14,'Base SAP'!A:O,6,FALSE)</f>
        <v>44</v>
      </c>
      <c r="T14" s="44">
        <v>346986</v>
      </c>
      <c r="U14" s="46" t="e">
        <f ca="1">VLOOKUP(V14,'Base SAP'!A:O,6,FALSE)</f>
        <v>#N/A</v>
      </c>
      <c r="V14" s="44"/>
      <c r="W14" s="46">
        <f ca="1">VLOOKUP(X14,'Base SAP'!A:O,6,FALSE)</f>
        <v>33</v>
      </c>
      <c r="X14" s="44">
        <v>346475</v>
      </c>
      <c r="Y14" s="46">
        <f ca="1">VLOOKUP(Z14,'Base SAP'!A:O,6,FALSE)</f>
        <v>91</v>
      </c>
      <c r="Z14" s="44">
        <v>347046</v>
      </c>
      <c r="AA14" s="46">
        <f ca="1">VLOOKUP(AB14,'Base SAP'!A:O,6,FALSE)</f>
        <v>63.5</v>
      </c>
      <c r="AB14" s="44">
        <v>347106</v>
      </c>
      <c r="AC14" s="46">
        <f ca="1">VLOOKUP(AD14,'Base SAP'!A:O,6,FALSE)</f>
        <v>33.5</v>
      </c>
      <c r="AD14" s="44">
        <v>346575</v>
      </c>
      <c r="AE14" s="46">
        <f ca="1">VLOOKUP(AF14,'Base SAP'!A:O,6,FALSE)</f>
        <v>37.5</v>
      </c>
      <c r="AF14" s="44">
        <v>346805</v>
      </c>
      <c r="AG14" s="46">
        <f ca="1">VLOOKUP(AH14,'Base SAP'!A:O,6,FALSE)</f>
        <v>63.5</v>
      </c>
      <c r="AH14" s="44">
        <v>346666</v>
      </c>
      <c r="AI14" s="46">
        <f ca="1">VLOOKUP(AJ14,'Base SAP'!A:O,6,FALSE)</f>
        <v>41</v>
      </c>
      <c r="AJ14" s="44">
        <v>346684</v>
      </c>
      <c r="AK14" s="46">
        <f ca="1">VLOOKUP(AL14,'Base SAP'!A:O,6,FALSE)</f>
        <v>33.5</v>
      </c>
      <c r="AL14" s="44">
        <v>346265</v>
      </c>
      <c r="AM14" s="46">
        <f ca="1">VLOOKUP(AN14,'Base SAP'!A:O,6,FALSE)</f>
        <v>65</v>
      </c>
      <c r="AN14" s="44">
        <v>346825</v>
      </c>
      <c r="AQ14" s="46">
        <f t="shared" ca="1" si="0"/>
        <v>52.5</v>
      </c>
      <c r="AR14" s="44">
        <v>346307</v>
      </c>
    </row>
    <row r="15" spans="1:44">
      <c r="A15" s="2">
        <v>12</v>
      </c>
      <c r="B15" s="8" t="s">
        <v>1855</v>
      </c>
      <c r="C15" s="9">
        <v>80</v>
      </c>
      <c r="D15" s="10" t="s">
        <v>1854</v>
      </c>
      <c r="E15" s="46" t="e">
        <f ca="1">VLOOKUP(F15,'Base SAP'!A:O,6,FALSE)</f>
        <v>#N/A</v>
      </c>
      <c r="F15" s="44"/>
      <c r="G15" s="46">
        <f ca="1">VLOOKUP(H15,'Base SAP'!A:O,6,FALSE)</f>
        <v>43</v>
      </c>
      <c r="H15" s="44">
        <v>346406</v>
      </c>
      <c r="I15" s="46">
        <f ca="1">VLOOKUP(J15,'Base SAP'!A:O,6,FALSE)</f>
        <v>43</v>
      </c>
      <c r="J15" s="44">
        <v>346436</v>
      </c>
      <c r="K15" s="46" t="e">
        <f ca="1">VLOOKUP(L15,'Base SAP'!A:O,6,FALSE)</f>
        <v>#N/A</v>
      </c>
      <c r="L15" s="44"/>
      <c r="M15" s="46">
        <f ca="1">VLOOKUP(N15,'Base SAP'!A:O,6,FALSE)</f>
        <v>76</v>
      </c>
      <c r="N15" s="44">
        <v>346926</v>
      </c>
      <c r="O15" s="46">
        <f ca="1">VLOOKUP(P15,'Base SAP'!A:O,6,FALSE)</f>
        <v>75</v>
      </c>
      <c r="P15" s="44">
        <v>346646</v>
      </c>
      <c r="Q15" s="46" t="e">
        <f ca="1">VLOOKUP(R15,'Base SAP'!A:O,6,FALSE)</f>
        <v>#N/A</v>
      </c>
      <c r="R15" s="44"/>
      <c r="S15" s="46">
        <f ca="1">VLOOKUP(T15,'Base SAP'!A:O,6,FALSE)</f>
        <v>51.5</v>
      </c>
      <c r="T15" s="44">
        <v>346987</v>
      </c>
      <c r="U15" s="46" t="e">
        <f ca="1">VLOOKUP(V15,'Base SAP'!A:O,6,FALSE)</f>
        <v>#N/A</v>
      </c>
      <c r="V15" s="44"/>
      <c r="W15" s="46">
        <f ca="1">VLOOKUP(X15,'Base SAP'!A:O,6,FALSE)</f>
        <v>42.5</v>
      </c>
      <c r="X15" s="44">
        <v>346476</v>
      </c>
      <c r="Y15" s="46">
        <f ca="1">VLOOKUP(Z15,'Base SAP'!A:O,6,FALSE)</f>
        <v>115.5</v>
      </c>
      <c r="Z15" s="44">
        <v>347047</v>
      </c>
      <c r="AA15" s="46">
        <f ca="1">VLOOKUP(AB15,'Base SAP'!A:O,6,FALSE)</f>
        <v>72</v>
      </c>
      <c r="AB15" s="44">
        <v>347107</v>
      </c>
      <c r="AC15" s="46">
        <f ca="1">VLOOKUP(AD15,'Base SAP'!A:O,6,FALSE)</f>
        <v>43</v>
      </c>
      <c r="AD15" s="44">
        <v>346576</v>
      </c>
      <c r="AE15" s="46">
        <f ca="1">VLOOKUP(AF15,'Base SAP'!A:O,6,FALSE)</f>
        <v>44.5</v>
      </c>
      <c r="AF15" s="44">
        <v>346806</v>
      </c>
      <c r="AG15" s="46">
        <f ca="1">VLOOKUP(AH15,'Base SAP'!A:O,6,FALSE)</f>
        <v>72</v>
      </c>
      <c r="AH15" s="44">
        <v>346667</v>
      </c>
      <c r="AI15" s="46">
        <f ca="1">VLOOKUP(AJ15,'Base SAP'!A:O,6,FALSE)</f>
        <v>48</v>
      </c>
      <c r="AJ15" s="44">
        <v>346685</v>
      </c>
      <c r="AK15" s="46">
        <f ca="1">VLOOKUP(AL15,'Base SAP'!A:O,6,FALSE)</f>
        <v>43</v>
      </c>
      <c r="AL15" s="44">
        <v>346266</v>
      </c>
      <c r="AM15" s="46">
        <f ca="1">VLOOKUP(AN15,'Base SAP'!A:O,6,FALSE)</f>
        <v>74.5</v>
      </c>
      <c r="AN15" s="44">
        <v>346826</v>
      </c>
      <c r="AQ15" s="46">
        <f t="shared" ca="1" si="0"/>
        <v>66</v>
      </c>
      <c r="AR15" s="44">
        <v>346308</v>
      </c>
    </row>
    <row r="16" spans="1:44">
      <c r="A16" s="2">
        <v>13</v>
      </c>
      <c r="B16" s="8" t="s">
        <v>1856</v>
      </c>
      <c r="C16" s="11" t="s">
        <v>1857</v>
      </c>
      <c r="D16" s="10"/>
      <c r="E16" s="46" t="e">
        <f ca="1">VLOOKUP(F16,'Base SAP'!A:O,6,FALSE)</f>
        <v>#N/A</v>
      </c>
      <c r="F16" s="44"/>
      <c r="G16" s="46">
        <f ca="1">VLOOKUP(H16,'Base SAP'!A:O,6,FALSE)</f>
        <v>21.5</v>
      </c>
      <c r="H16" s="44">
        <v>346407</v>
      </c>
      <c r="I16" s="46">
        <f ca="1">VLOOKUP(J16,'Base SAP'!A:O,6,FALSE)</f>
        <v>21.5</v>
      </c>
      <c r="J16" s="44">
        <v>346437</v>
      </c>
      <c r="K16" s="46" t="e">
        <f ca="1">VLOOKUP(L16,'Base SAP'!A:O,6,FALSE)</f>
        <v>#N/A</v>
      </c>
      <c r="L16" s="44"/>
      <c r="M16" s="46">
        <f ca="1">VLOOKUP(N16,'Base SAP'!A:O,6,FALSE)</f>
        <v>22</v>
      </c>
      <c r="N16" s="44">
        <v>346927</v>
      </c>
      <c r="O16" s="46">
        <f ca="1">VLOOKUP(P16,'Base SAP'!A:O,6,FALSE)</f>
        <v>22</v>
      </c>
      <c r="P16" s="44">
        <v>346647</v>
      </c>
      <c r="Q16" s="46" t="e">
        <f ca="1">VLOOKUP(R16,'Base SAP'!A:O,6,FALSE)</f>
        <v>#N/A</v>
      </c>
      <c r="R16" s="44"/>
      <c r="S16" s="46">
        <f ca="1">VLOOKUP(T16,'Base SAP'!A:O,6,FALSE)</f>
        <v>19.5</v>
      </c>
      <c r="T16" s="44">
        <v>346988</v>
      </c>
      <c r="U16" s="46" t="e">
        <f ca="1">VLOOKUP(V16,'Base SAP'!A:O,6,FALSE)</f>
        <v>#N/A</v>
      </c>
      <c r="V16" s="44"/>
      <c r="W16" s="46">
        <f ca="1">VLOOKUP(X16,'Base SAP'!A:O,6,FALSE)</f>
        <v>21</v>
      </c>
      <c r="X16" s="44">
        <v>346477</v>
      </c>
      <c r="Y16" s="46">
        <f ca="1">VLOOKUP(Z16,'Base SAP'!A:O,6,FALSE)</f>
        <v>27.5</v>
      </c>
      <c r="Z16" s="44">
        <v>347048</v>
      </c>
      <c r="AA16" s="46">
        <f ca="1">VLOOKUP(AB16,'Base SAP'!A:O,6,FALSE)</f>
        <v>22</v>
      </c>
      <c r="AB16" s="44">
        <v>347108</v>
      </c>
      <c r="AC16" s="46">
        <f ca="1">VLOOKUP(AD16,'Base SAP'!A:O,6,FALSE)</f>
        <v>21.5</v>
      </c>
      <c r="AD16" s="44">
        <v>346577</v>
      </c>
      <c r="AE16" s="46">
        <f ca="1">VLOOKUP(AF16,'Base SAP'!A:O,6,FALSE)</f>
        <v>22</v>
      </c>
      <c r="AF16" s="44">
        <v>346807</v>
      </c>
      <c r="AG16" s="46">
        <f ca="1">VLOOKUP(AH16,'Base SAP'!A:O,6,FALSE)</f>
        <v>22</v>
      </c>
      <c r="AH16" s="44">
        <v>346668</v>
      </c>
      <c r="AI16" s="46">
        <f ca="1">VLOOKUP(AJ16,'Base SAP'!A:O,6,FALSE)</f>
        <v>22</v>
      </c>
      <c r="AJ16" s="44">
        <v>346686</v>
      </c>
      <c r="AK16" s="46">
        <f ca="1">VLOOKUP(AL16,'Base SAP'!A:O,6,FALSE)</f>
        <v>21.5</v>
      </c>
      <c r="AL16" s="44">
        <v>346267</v>
      </c>
      <c r="AM16" s="46">
        <f ca="1">VLOOKUP(AN16,'Base SAP'!A:O,6,FALSE)</f>
        <v>21.5</v>
      </c>
      <c r="AN16" s="44">
        <v>346827</v>
      </c>
      <c r="AQ16" s="46">
        <f t="shared" ca="1" si="0"/>
        <v>21</v>
      </c>
      <c r="AR16" s="44">
        <v>346309</v>
      </c>
    </row>
    <row r="17" spans="1:44">
      <c r="A17" s="2">
        <v>14</v>
      </c>
      <c r="B17" s="8" t="s">
        <v>1858</v>
      </c>
      <c r="C17" s="11" t="s">
        <v>1859</v>
      </c>
      <c r="D17" s="10"/>
      <c r="E17" s="46" t="e">
        <f ca="1">VLOOKUP(F17,'Base SAP'!A:O,6,FALSE)</f>
        <v>#N/A</v>
      </c>
      <c r="F17" s="44"/>
      <c r="G17" s="46">
        <f ca="1">VLOOKUP(H17,'Base SAP'!A:O,6,FALSE)</f>
        <v>25.5</v>
      </c>
      <c r="H17" s="44">
        <v>346408</v>
      </c>
      <c r="I17" s="46">
        <f ca="1">VLOOKUP(J17,'Base SAP'!A:O,6,FALSE)</f>
        <v>25.5</v>
      </c>
      <c r="J17" s="44">
        <v>346438</v>
      </c>
      <c r="K17" s="46" t="e">
        <f ca="1">VLOOKUP(L17,'Base SAP'!A:O,6,FALSE)</f>
        <v>#N/A</v>
      </c>
      <c r="L17" s="44"/>
      <c r="M17" s="46">
        <f ca="1">VLOOKUP(N17,'Base SAP'!A:O,6,FALSE)</f>
        <v>31.5</v>
      </c>
      <c r="N17" s="44">
        <v>346928</v>
      </c>
      <c r="O17" s="46">
        <f ca="1">VLOOKUP(P17,'Base SAP'!A:O,6,FALSE)</f>
        <v>31.5</v>
      </c>
      <c r="P17" s="44">
        <v>346648</v>
      </c>
      <c r="Q17" s="46" t="e">
        <f ca="1">VLOOKUP(R17,'Base SAP'!A:O,6,FALSE)</f>
        <v>#N/A</v>
      </c>
      <c r="R17" s="44"/>
      <c r="S17" s="46">
        <f ca="1">VLOOKUP(T17,'Base SAP'!A:O,6,FALSE)</f>
        <v>23.5</v>
      </c>
      <c r="T17" s="44">
        <v>346989</v>
      </c>
      <c r="U17" s="46" t="e">
        <f ca="1">VLOOKUP(V17,'Base SAP'!A:O,6,FALSE)</f>
        <v>#N/A</v>
      </c>
      <c r="V17" s="44"/>
      <c r="W17" s="46">
        <f ca="1">VLOOKUP(X17,'Base SAP'!A:O,6,FALSE)</f>
        <v>25</v>
      </c>
      <c r="X17" s="44">
        <v>346478</v>
      </c>
      <c r="Y17" s="46">
        <f ca="1">VLOOKUP(Z17,'Base SAP'!A:O,6,FALSE)</f>
        <v>36.5</v>
      </c>
      <c r="Z17" s="44">
        <v>347049</v>
      </c>
      <c r="AA17" s="46">
        <f ca="1">VLOOKUP(AB17,'Base SAP'!A:O,6,FALSE)</f>
        <v>31</v>
      </c>
      <c r="AB17" s="44">
        <v>347109</v>
      </c>
      <c r="AC17" s="46">
        <f ca="1">VLOOKUP(AD17,'Base SAP'!A:O,6,FALSE)</f>
        <v>25.5</v>
      </c>
      <c r="AD17" s="44">
        <v>346578</v>
      </c>
      <c r="AE17" s="46">
        <f ca="1">VLOOKUP(AF17,'Base SAP'!A:O,6,FALSE)</f>
        <v>27</v>
      </c>
      <c r="AF17" s="44">
        <v>346808</v>
      </c>
      <c r="AG17" s="46">
        <f ca="1">VLOOKUP(AH17,'Base SAP'!A:O,6,FALSE)</f>
        <v>31</v>
      </c>
      <c r="AH17" s="44">
        <v>346669</v>
      </c>
      <c r="AI17" s="46">
        <f ca="1">VLOOKUP(AJ17,'Base SAP'!A:O,6,FALSE)</f>
        <v>27</v>
      </c>
      <c r="AJ17" s="44">
        <v>346687</v>
      </c>
      <c r="AK17" s="46">
        <f ca="1">VLOOKUP(AL17,'Base SAP'!A:O,6,FALSE)</f>
        <v>25.5</v>
      </c>
      <c r="AL17" s="44">
        <v>346268</v>
      </c>
      <c r="AM17" s="46">
        <f ca="1">VLOOKUP(AN17,'Base SAP'!A:O,6,FALSE)</f>
        <v>30.5</v>
      </c>
      <c r="AN17" s="44">
        <v>346828</v>
      </c>
      <c r="AQ17" s="46">
        <f t="shared" ca="1" si="0"/>
        <v>15</v>
      </c>
      <c r="AR17" s="44">
        <v>346311</v>
      </c>
    </row>
    <row r="18" spans="1:44">
      <c r="A18" s="2">
        <v>15</v>
      </c>
      <c r="B18" s="8" t="s">
        <v>1860</v>
      </c>
      <c r="C18" s="11" t="s">
        <v>1861</v>
      </c>
      <c r="D18" s="10" t="s">
        <v>1621</v>
      </c>
      <c r="E18" s="46" t="e">
        <f ca="1">VLOOKUP(F18,'Base SAP'!A:O,6,FALSE)</f>
        <v>#N/A</v>
      </c>
      <c r="F18" s="44"/>
      <c r="G18" s="46">
        <f ca="1">VLOOKUP(H18,'Base SAP'!A:O,6,FALSE)</f>
        <v>57.5</v>
      </c>
      <c r="H18" s="44">
        <v>346410</v>
      </c>
      <c r="I18" s="46">
        <f ca="1">VLOOKUP(J18,'Base SAP'!A:O,6,FALSE)</f>
        <v>57.5</v>
      </c>
      <c r="J18" s="44">
        <v>346441</v>
      </c>
      <c r="K18" s="46" t="e">
        <f ca="1">VLOOKUP(L18,'Base SAP'!A:O,6,FALSE)</f>
        <v>#N/A</v>
      </c>
      <c r="L18" s="44"/>
      <c r="M18" s="46">
        <f ca="1">VLOOKUP(N18,'Base SAP'!A:O,6,FALSE)</f>
        <v>71</v>
      </c>
      <c r="N18" s="44">
        <v>346929</v>
      </c>
      <c r="O18" s="46">
        <f ca="1">VLOOKUP(P18,'Base SAP'!A:O,6,FALSE)</f>
        <v>70</v>
      </c>
      <c r="P18" s="44">
        <v>346650</v>
      </c>
      <c r="Q18" s="46" t="e">
        <f ca="1">VLOOKUP(R18,'Base SAP'!A:O,6,FALSE)</f>
        <v>#N/A</v>
      </c>
      <c r="R18" s="44"/>
      <c r="S18" s="46">
        <f ca="1">VLOOKUP(T18,'Base SAP'!A:O,6,FALSE)</f>
        <v>60</v>
      </c>
      <c r="T18" s="44">
        <v>346990</v>
      </c>
      <c r="U18" s="46" t="e">
        <f ca="1">VLOOKUP(V18,'Base SAP'!A:O,6,FALSE)</f>
        <v>#N/A</v>
      </c>
      <c r="V18" s="44"/>
      <c r="W18" s="46">
        <f ca="1">VLOOKUP(X18,'Base SAP'!A:O,6,FALSE)</f>
        <v>57</v>
      </c>
      <c r="X18" s="44">
        <v>346479</v>
      </c>
      <c r="Y18" s="46">
        <f ca="1">VLOOKUP(Z18,'Base SAP'!A:O,6,FALSE)</f>
        <v>115.5</v>
      </c>
      <c r="Z18" s="44">
        <v>347051</v>
      </c>
      <c r="AA18" s="46">
        <f ca="1">VLOOKUP(AB18,'Base SAP'!A:O,6,FALSE)</f>
        <v>60.5</v>
      </c>
      <c r="AB18" s="44">
        <v>347111</v>
      </c>
      <c r="AC18" s="46">
        <f ca="1">VLOOKUP(AD18,'Base SAP'!A:O,6,FALSE)</f>
        <v>57.5</v>
      </c>
      <c r="AD18" s="44">
        <v>346580</v>
      </c>
      <c r="AE18" s="46">
        <f ca="1">VLOOKUP(AF18,'Base SAP'!A:O,6,FALSE)</f>
        <v>59</v>
      </c>
      <c r="AF18" s="44">
        <v>346810</v>
      </c>
      <c r="AG18" s="46">
        <f ca="1">VLOOKUP(AH18,'Base SAP'!A:O,6,FALSE)</f>
        <v>60.5</v>
      </c>
      <c r="AH18" s="44">
        <v>346671</v>
      </c>
      <c r="AI18" s="46">
        <f ca="1">VLOOKUP(AJ18,'Base SAP'!A:O,6,FALSE)</f>
        <v>62</v>
      </c>
      <c r="AJ18" s="44">
        <v>346689</v>
      </c>
      <c r="AK18" s="46">
        <f ca="1">VLOOKUP(AL18,'Base SAP'!A:O,6,FALSE)</f>
        <v>57.5</v>
      </c>
      <c r="AL18" s="44">
        <v>346270</v>
      </c>
      <c r="AM18" s="46">
        <f ca="1">VLOOKUP(AN18,'Base SAP'!A:O,6,FALSE)</f>
        <v>62</v>
      </c>
      <c r="AN18" s="44">
        <v>346830</v>
      </c>
      <c r="AQ18" s="46"/>
      <c r="AR18" s="44"/>
    </row>
    <row r="19" spans="1:44">
      <c r="A19" s="2">
        <v>16</v>
      </c>
      <c r="B19" s="14" t="s">
        <v>1622</v>
      </c>
      <c r="C19" s="15" t="s">
        <v>1623</v>
      </c>
      <c r="D19" s="16"/>
      <c r="E19" s="46" t="e">
        <f ca="1">VLOOKUP(F19,'Base SAP'!A:O,6,FALSE)</f>
        <v>#N/A</v>
      </c>
      <c r="F19" s="44"/>
      <c r="G19" s="46">
        <f ca="1">VLOOKUP(H19,'Base SAP'!A:O,6,FALSE)</f>
        <v>16.5</v>
      </c>
      <c r="H19" s="44">
        <v>346411</v>
      </c>
      <c r="I19" s="46">
        <f ca="1">VLOOKUP(J19,'Base SAP'!A:O,6,FALSE)</f>
        <v>16.5</v>
      </c>
      <c r="J19" s="44">
        <v>346442</v>
      </c>
      <c r="K19" s="46" t="e">
        <f ca="1">VLOOKUP(L19,'Base SAP'!A:O,6,FALSE)</f>
        <v>#N/A</v>
      </c>
      <c r="L19" s="44"/>
      <c r="M19" s="46">
        <f ca="1">VLOOKUP(N19,'Base SAP'!A:O,6,FALSE)</f>
        <v>26</v>
      </c>
      <c r="N19" s="44">
        <v>346930</v>
      </c>
      <c r="O19" s="46">
        <f ca="1">VLOOKUP(P19,'Base SAP'!A:O,6,FALSE)</f>
        <v>23.5</v>
      </c>
      <c r="P19" s="44">
        <v>346651</v>
      </c>
      <c r="Q19" s="46" t="e">
        <f ca="1">VLOOKUP(R19,'Base SAP'!A:O,6,FALSE)</f>
        <v>#N/A</v>
      </c>
      <c r="R19" s="44"/>
      <c r="S19" s="46">
        <f ca="1">VLOOKUP(T19,'Base SAP'!A:O,6,FALSE)</f>
        <v>20</v>
      </c>
      <c r="T19" s="44">
        <v>346991</v>
      </c>
      <c r="U19" s="46" t="e">
        <f ca="1">VLOOKUP(V19,'Base SAP'!A:O,6,FALSE)</f>
        <v>#N/A</v>
      </c>
      <c r="V19" s="44"/>
      <c r="W19" s="46">
        <f ca="1">VLOOKUP(X19,'Base SAP'!A:O,6,FALSE)</f>
        <v>14</v>
      </c>
      <c r="X19" s="44">
        <v>346480</v>
      </c>
      <c r="Y19" s="46">
        <f ca="1">VLOOKUP(Z19,'Base SAP'!A:O,6,FALSE)</f>
        <v>27.5</v>
      </c>
      <c r="Z19" s="44">
        <v>347052</v>
      </c>
      <c r="AA19" s="46">
        <f ca="1">VLOOKUP(AB19,'Base SAP'!A:O,6,FALSE)</f>
        <v>21.5</v>
      </c>
      <c r="AB19" s="44">
        <v>347112</v>
      </c>
      <c r="AC19" s="46">
        <f ca="1">VLOOKUP(AD19,'Base SAP'!A:O,6,FALSE)</f>
        <v>16.5</v>
      </c>
      <c r="AD19" s="44">
        <v>346581</v>
      </c>
      <c r="AE19" s="46">
        <f ca="1">VLOOKUP(AF19,'Base SAP'!A:O,6,FALSE)</f>
        <v>18.5</v>
      </c>
      <c r="AF19" s="44">
        <v>346811</v>
      </c>
      <c r="AG19" s="46">
        <f ca="1">VLOOKUP(AH19,'Base SAP'!A:O,6,FALSE)</f>
        <v>21.5</v>
      </c>
      <c r="AH19" s="44">
        <v>346672</v>
      </c>
      <c r="AI19" s="46">
        <f ca="1">VLOOKUP(AJ19,'Base SAP'!A:O,6,FALSE)</f>
        <v>18.5</v>
      </c>
      <c r="AJ19" s="44">
        <v>346690</v>
      </c>
      <c r="AK19" s="46">
        <f ca="1">VLOOKUP(AL19,'Base SAP'!A:O,6,FALSE)</f>
        <v>16.5</v>
      </c>
      <c r="AL19" s="44">
        <v>346271</v>
      </c>
      <c r="AM19" s="46">
        <f ca="1">VLOOKUP(AN19,'Base SAP'!A:O,6,FALSE)</f>
        <v>18</v>
      </c>
      <c r="AN19" s="44">
        <v>346831</v>
      </c>
      <c r="AQ19" s="46">
        <f t="shared" ca="1" si="0"/>
        <v>17.5</v>
      </c>
      <c r="AR19" s="44">
        <v>346304</v>
      </c>
    </row>
    <row r="20" spans="1:44">
      <c r="A20" s="2">
        <v>17</v>
      </c>
      <c r="B20" s="8" t="s">
        <v>1630</v>
      </c>
      <c r="C20" s="11" t="s">
        <v>1634</v>
      </c>
      <c r="D20" s="10"/>
      <c r="E20" s="46" t="e">
        <f ca="1">VLOOKUP(F20,'Base SAP'!A:O,6,FALSE)</f>
        <v>#N/A</v>
      </c>
      <c r="F20" s="44"/>
      <c r="G20" s="46">
        <f ca="1">VLOOKUP(H20,'Base SAP'!A:O,6,FALSE)</f>
        <v>58.5</v>
      </c>
      <c r="H20" s="44">
        <v>346412</v>
      </c>
      <c r="I20" s="46">
        <f ca="1">VLOOKUP(J20,'Base SAP'!A:O,6,FALSE)</f>
        <v>58.5</v>
      </c>
      <c r="J20" s="44">
        <v>346443</v>
      </c>
      <c r="K20" s="46" t="e">
        <f ca="1">VLOOKUP(L20,'Base SAP'!A:O,6,FALSE)</f>
        <v>#N/A</v>
      </c>
      <c r="L20" s="44"/>
      <c r="M20" s="46" t="e">
        <f ca="1">VLOOKUP(N20,'Base SAP'!A:O,6,FALSE)</f>
        <v>#N/A</v>
      </c>
      <c r="N20" s="44"/>
      <c r="O20" s="46">
        <f ca="1">VLOOKUP(P20,'Base SAP'!A:O,6,FALSE)</f>
        <v>68.5</v>
      </c>
      <c r="P20" s="44">
        <v>346652</v>
      </c>
      <c r="Q20" s="46" t="e">
        <f ca="1">VLOOKUP(R20,'Base SAP'!A:O,6,FALSE)</f>
        <v>#N/A</v>
      </c>
      <c r="R20" s="44"/>
      <c r="S20" s="46">
        <f ca="1">VLOOKUP(T20,'Base SAP'!A:O,6,FALSE)</f>
        <v>60.5</v>
      </c>
      <c r="T20" s="44">
        <v>346992</v>
      </c>
      <c r="U20" s="46" t="e">
        <f ca="1">VLOOKUP(V20,'Base SAP'!A:O,6,FALSE)</f>
        <v>#N/A</v>
      </c>
      <c r="V20" s="44"/>
      <c r="W20" s="46">
        <f ca="1">VLOOKUP(X20,'Base SAP'!A:O,6,FALSE)</f>
        <v>57.5</v>
      </c>
      <c r="X20" s="44">
        <v>346481</v>
      </c>
      <c r="Y20" s="46">
        <f ca="1">VLOOKUP(Z20,'Base SAP'!A:O,6,FALSE)</f>
        <v>82.5</v>
      </c>
      <c r="Z20" s="44">
        <v>347053</v>
      </c>
      <c r="AA20" s="46">
        <f ca="1">VLOOKUP(AB20,'Base SAP'!A:O,6,FALSE)</f>
        <v>65.5</v>
      </c>
      <c r="AB20" s="44">
        <v>347113</v>
      </c>
      <c r="AC20" s="46">
        <f ca="1">VLOOKUP(AD20,'Base SAP'!A:O,6,FALSE)</f>
        <v>58.5</v>
      </c>
      <c r="AD20" s="44">
        <v>346582</v>
      </c>
      <c r="AE20" s="46">
        <f ca="1">VLOOKUP(AF20,'Base SAP'!A:O,6,FALSE)</f>
        <v>68</v>
      </c>
      <c r="AF20" s="44">
        <v>346812</v>
      </c>
      <c r="AG20" s="46">
        <f ca="1">VLOOKUP(AH20,'Base SAP'!A:O,6,FALSE)</f>
        <v>65.5</v>
      </c>
      <c r="AH20" s="44">
        <v>346673</v>
      </c>
      <c r="AI20" s="46">
        <f ca="1">VLOOKUP(AJ20,'Base SAP'!A:O,6,FALSE)</f>
        <v>68</v>
      </c>
      <c r="AJ20" s="44">
        <v>346691</v>
      </c>
      <c r="AK20" s="46">
        <f ca="1">VLOOKUP(AL20,'Base SAP'!A:O,6,FALSE)</f>
        <v>58.5</v>
      </c>
      <c r="AL20" s="44">
        <v>346272</v>
      </c>
      <c r="AM20" s="46">
        <f ca="1">VLOOKUP(AN20,'Base SAP'!A:O,6,FALSE)</f>
        <v>66.5</v>
      </c>
      <c r="AN20" s="44">
        <v>346832</v>
      </c>
      <c r="AQ20" s="46"/>
      <c r="AR20" s="44"/>
    </row>
    <row r="21" spans="1:44">
      <c r="A21" s="2">
        <v>18</v>
      </c>
      <c r="B21" s="8" t="s">
        <v>1631</v>
      </c>
      <c r="C21" s="11" t="s">
        <v>1635</v>
      </c>
      <c r="D21" s="10" t="s">
        <v>1635</v>
      </c>
      <c r="E21" s="46" t="e">
        <f ca="1">VLOOKUP(F21,'Base SAP'!A:O,6,FALSE)</f>
        <v>#N/A</v>
      </c>
      <c r="F21" s="44"/>
      <c r="G21" s="46">
        <f ca="1">VLOOKUP(H21,'Base SAP'!A:O,6,FALSE)</f>
        <v>16</v>
      </c>
      <c r="H21" s="44">
        <v>346413</v>
      </c>
      <c r="I21" s="46">
        <f ca="1">VLOOKUP(J21,'Base SAP'!A:O,6,FALSE)</f>
        <v>16</v>
      </c>
      <c r="J21" s="44">
        <v>346444</v>
      </c>
      <c r="K21" s="46" t="e">
        <f ca="1">VLOOKUP(L21,'Base SAP'!A:O,6,FALSE)</f>
        <v>#N/A</v>
      </c>
      <c r="L21" s="44"/>
      <c r="M21" s="46">
        <f ca="1">VLOOKUP(N21,'Base SAP'!A:O,6,FALSE)</f>
        <v>19</v>
      </c>
      <c r="N21" s="44">
        <v>346931</v>
      </c>
      <c r="O21" s="46">
        <f ca="1">VLOOKUP(P21,'Base SAP'!A:O,6,FALSE)</f>
        <v>18.5</v>
      </c>
      <c r="P21" s="44">
        <v>346653</v>
      </c>
      <c r="Q21" s="46" t="e">
        <f ca="1">VLOOKUP(R21,'Base SAP'!A:O,6,FALSE)</f>
        <v>#N/A</v>
      </c>
      <c r="R21" s="44"/>
      <c r="S21" s="46">
        <f ca="1">VLOOKUP(T21,'Base SAP'!A:O,6,FALSE)</f>
        <v>16.5</v>
      </c>
      <c r="T21" s="44">
        <v>346993</v>
      </c>
      <c r="U21" s="46" t="e">
        <f ca="1">VLOOKUP(V21,'Base SAP'!A:O,6,FALSE)</f>
        <v>#N/A</v>
      </c>
      <c r="V21" s="44"/>
      <c r="W21" s="46">
        <f ca="1">VLOOKUP(X21,'Base SAP'!A:O,6,FALSE)</f>
        <v>15.5</v>
      </c>
      <c r="X21" s="44">
        <v>346482</v>
      </c>
      <c r="Y21" s="46">
        <f ca="1">VLOOKUP(Z21,'Base SAP'!A:O,6,FALSE)</f>
        <v>15.3</v>
      </c>
      <c r="Z21" s="44">
        <v>347054</v>
      </c>
      <c r="AA21" s="46">
        <f ca="1">VLOOKUP(AB21,'Base SAP'!A:O,6,FALSE)</f>
        <v>17.5</v>
      </c>
      <c r="AB21" s="44">
        <v>347114</v>
      </c>
      <c r="AC21" s="46">
        <f ca="1">VLOOKUP(AD21,'Base SAP'!A:O,6,FALSE)</f>
        <v>16</v>
      </c>
      <c r="AD21" s="44">
        <v>346583</v>
      </c>
      <c r="AE21" s="46">
        <f ca="1">VLOOKUP(AF21,'Base SAP'!A:O,6,FALSE)</f>
        <v>16.5</v>
      </c>
      <c r="AF21" s="44">
        <v>346813</v>
      </c>
      <c r="AG21" s="46">
        <f ca="1">VLOOKUP(AH21,'Base SAP'!A:O,6,FALSE)</f>
        <v>17.5</v>
      </c>
      <c r="AH21" s="44">
        <v>346674</v>
      </c>
      <c r="AI21" s="46">
        <f ca="1">VLOOKUP(AJ21,'Base SAP'!A:O,6,FALSE)</f>
        <v>17</v>
      </c>
      <c r="AJ21" s="44">
        <v>346692</v>
      </c>
      <c r="AK21" s="46">
        <f ca="1">VLOOKUP(AL21,'Base SAP'!A:O,6,FALSE)</f>
        <v>16</v>
      </c>
      <c r="AL21" s="44">
        <v>346273</v>
      </c>
      <c r="AM21" s="46">
        <f ca="1">VLOOKUP(AN21,'Base SAP'!A:O,6,FALSE)</f>
        <v>17</v>
      </c>
      <c r="AN21" s="44">
        <v>346833</v>
      </c>
      <c r="AQ21" s="46"/>
      <c r="AR21" s="44"/>
    </row>
    <row r="22" spans="1:44">
      <c r="A22" s="2">
        <v>19</v>
      </c>
      <c r="B22" s="8" t="s">
        <v>1632</v>
      </c>
      <c r="C22" s="11" t="s">
        <v>1636</v>
      </c>
      <c r="D22" s="10" t="s">
        <v>1636</v>
      </c>
      <c r="E22" s="46" t="e">
        <f ca="1">VLOOKUP(F22,'Base SAP'!A:O,6,FALSE)</f>
        <v>#N/A</v>
      </c>
      <c r="F22" s="44"/>
      <c r="G22" s="46">
        <f ca="1">VLOOKUP(H22,'Base SAP'!A:O,6,FALSE)</f>
        <v>8.3000000000000007</v>
      </c>
      <c r="H22" s="44">
        <v>346414</v>
      </c>
      <c r="I22" s="46">
        <f ca="1">VLOOKUP(J22,'Base SAP'!A:O,6,FALSE)</f>
        <v>8.3000000000000007</v>
      </c>
      <c r="J22" s="44">
        <v>346445</v>
      </c>
      <c r="K22" s="46" t="e">
        <f ca="1">VLOOKUP(L22,'Base SAP'!A:O,6,FALSE)</f>
        <v>#N/A</v>
      </c>
      <c r="L22" s="44"/>
      <c r="M22" s="46">
        <f ca="1">VLOOKUP(N22,'Base SAP'!A:O,6,FALSE)</f>
        <v>16.3</v>
      </c>
      <c r="N22" s="44">
        <v>346932</v>
      </c>
      <c r="O22" s="46">
        <f ca="1">VLOOKUP(P22,'Base SAP'!A:O,6,FALSE)</f>
        <v>14.3</v>
      </c>
      <c r="P22" s="44">
        <v>346654</v>
      </c>
      <c r="Q22" s="46" t="e">
        <f ca="1">VLOOKUP(R22,'Base SAP'!A:O,6,FALSE)</f>
        <v>#N/A</v>
      </c>
      <c r="R22" s="44"/>
      <c r="S22" s="46">
        <f ca="1">VLOOKUP(T22,'Base SAP'!A:O,6,FALSE)</f>
        <v>13.3</v>
      </c>
      <c r="T22" s="44">
        <v>346994</v>
      </c>
      <c r="U22" s="46" t="e">
        <f ca="1">VLOOKUP(V22,'Base SAP'!A:O,6,FALSE)</f>
        <v>#N/A</v>
      </c>
      <c r="V22" s="44"/>
      <c r="W22" s="46">
        <f ca="1">VLOOKUP(X22,'Base SAP'!A:O,6,FALSE)</f>
        <v>7.3</v>
      </c>
      <c r="X22" s="44">
        <v>346483</v>
      </c>
      <c r="Y22" s="46">
        <f ca="1">VLOOKUP(Z22,'Base SAP'!A:O,6,FALSE)</f>
        <v>18.3</v>
      </c>
      <c r="Z22" s="44">
        <v>347055</v>
      </c>
      <c r="AA22" s="46">
        <f ca="1">VLOOKUP(AB22,'Base SAP'!A:O,6,FALSE)</f>
        <v>14.3</v>
      </c>
      <c r="AB22" s="44">
        <v>347115</v>
      </c>
      <c r="AC22" s="46">
        <f ca="1">VLOOKUP(AD22,'Base SAP'!A:O,6,FALSE)</f>
        <v>8.3000000000000007</v>
      </c>
      <c r="AD22" s="44">
        <v>346584</v>
      </c>
      <c r="AE22" s="46">
        <f ca="1">VLOOKUP(AF22,'Base SAP'!A:O,6,FALSE)</f>
        <v>13.3</v>
      </c>
      <c r="AF22" s="44">
        <v>346814</v>
      </c>
      <c r="AG22" s="46">
        <f ca="1">VLOOKUP(AH22,'Base SAP'!A:O,6,FALSE)</f>
        <v>14.3</v>
      </c>
      <c r="AH22" s="44">
        <v>346675</v>
      </c>
      <c r="AI22" s="46">
        <f ca="1">VLOOKUP(AJ22,'Base SAP'!A:O,6,FALSE)</f>
        <v>14.3</v>
      </c>
      <c r="AJ22" s="44">
        <v>346693</v>
      </c>
      <c r="AK22" s="46">
        <f ca="1">VLOOKUP(AL22,'Base SAP'!A:O,6,FALSE)</f>
        <v>8.3000000000000007</v>
      </c>
      <c r="AL22" s="44">
        <v>346274</v>
      </c>
      <c r="AM22" s="46">
        <f ca="1">VLOOKUP(AN22,'Base SAP'!A:O,6,FALSE)</f>
        <v>15.3</v>
      </c>
      <c r="AN22" s="44">
        <v>346834</v>
      </c>
      <c r="AQ22" s="46">
        <f t="shared" ca="1" si="0"/>
        <v>8.3000000000000007</v>
      </c>
      <c r="AR22" s="44">
        <v>346310</v>
      </c>
    </row>
    <row r="23" spans="1:44">
      <c r="A23" s="2">
        <v>20</v>
      </c>
      <c r="B23" s="8" t="s">
        <v>1633</v>
      </c>
      <c r="C23" s="11" t="s">
        <v>550</v>
      </c>
      <c r="D23" s="10" t="s">
        <v>1325</v>
      </c>
      <c r="E23" s="46" t="e">
        <f ca="1">VLOOKUP(F23,'Base SAP'!A:O,6,FALSE)</f>
        <v>#N/A</v>
      </c>
      <c r="F23" s="44"/>
      <c r="G23" s="46">
        <f ca="1">VLOOKUP(H23,'Base SAP'!A:O,6,FALSE)</f>
        <v>62</v>
      </c>
      <c r="H23" s="44">
        <v>348345</v>
      </c>
      <c r="I23" s="46">
        <f ca="1">VLOOKUP(J23,'Base SAP'!A:O,6,FALSE)</f>
        <v>62</v>
      </c>
      <c r="J23" s="44">
        <v>348345</v>
      </c>
      <c r="K23" s="46" t="e">
        <f ca="1">VLOOKUP(L23,'Base SAP'!A:O,6,FALSE)</f>
        <v>#N/A</v>
      </c>
      <c r="L23" s="44"/>
      <c r="M23" s="46">
        <f ca="1">VLOOKUP(N23,'Base SAP'!A:O,6,FALSE)</f>
        <v>62</v>
      </c>
      <c r="N23" s="44">
        <v>348345</v>
      </c>
      <c r="O23" s="46">
        <f ca="1">VLOOKUP(P23,'Base SAP'!A:O,6,FALSE)</f>
        <v>62</v>
      </c>
      <c r="P23" s="44">
        <v>348345</v>
      </c>
      <c r="Q23" s="46" t="e">
        <f ca="1">VLOOKUP(R23,'Base SAP'!A:O,6,FALSE)</f>
        <v>#N/A</v>
      </c>
      <c r="R23" s="44"/>
      <c r="S23" s="46">
        <f ca="1">VLOOKUP(T23,'Base SAP'!A:O,6,FALSE)</f>
        <v>62</v>
      </c>
      <c r="T23" s="44">
        <v>348345</v>
      </c>
      <c r="U23" s="46" t="e">
        <f ca="1">VLOOKUP(V23,'Base SAP'!A:O,6,FALSE)</f>
        <v>#N/A</v>
      </c>
      <c r="V23" s="44"/>
      <c r="W23" s="46">
        <f ca="1">VLOOKUP(X23,'Base SAP'!A:O,6,FALSE)</f>
        <v>62</v>
      </c>
      <c r="X23" s="44">
        <v>348345</v>
      </c>
      <c r="Y23" s="46">
        <f ca="1">VLOOKUP(Z23,'Base SAP'!A:O,6,FALSE)</f>
        <v>62</v>
      </c>
      <c r="Z23" s="44">
        <v>348345</v>
      </c>
      <c r="AA23" s="46">
        <f ca="1">VLOOKUP(AB23,'Base SAP'!A:O,6,FALSE)</f>
        <v>62</v>
      </c>
      <c r="AB23" s="44">
        <v>348345</v>
      </c>
      <c r="AC23" s="46">
        <f ca="1">VLOOKUP(AD23,'Base SAP'!A:O,6,FALSE)</f>
        <v>62</v>
      </c>
      <c r="AD23" s="44">
        <v>348345</v>
      </c>
      <c r="AE23" s="46">
        <f ca="1">VLOOKUP(AF23,'Base SAP'!A:O,6,FALSE)</f>
        <v>62</v>
      </c>
      <c r="AF23" s="44">
        <v>348345</v>
      </c>
      <c r="AG23" s="46">
        <f ca="1">VLOOKUP(AH23,'Base SAP'!A:O,6,FALSE)</f>
        <v>62</v>
      </c>
      <c r="AH23" s="44">
        <v>348345</v>
      </c>
      <c r="AI23" s="46">
        <f ca="1">VLOOKUP(AJ23,'Base SAP'!A:O,6,FALSE)</f>
        <v>62</v>
      </c>
      <c r="AJ23" s="44">
        <v>348345</v>
      </c>
      <c r="AK23" s="46">
        <f ca="1">VLOOKUP(AL23,'Base SAP'!A:O,6,FALSE)</f>
        <v>62</v>
      </c>
      <c r="AL23" s="44">
        <v>348345</v>
      </c>
      <c r="AM23" s="46">
        <f ca="1">VLOOKUP(AN23,'Base SAP'!A:O,6,FALSE)</f>
        <v>62</v>
      </c>
      <c r="AN23" s="44">
        <v>348345</v>
      </c>
      <c r="AQ23" s="46" t="e">
        <f t="shared" ca="1" si="0"/>
        <v>#N/A</v>
      </c>
      <c r="AR23" s="44">
        <v>348345</v>
      </c>
    </row>
    <row r="24" spans="1:44">
      <c r="A24" s="2">
        <v>21</v>
      </c>
      <c r="B24" s="52"/>
      <c r="C24" s="11" t="s">
        <v>1328</v>
      </c>
      <c r="D24" s="10" t="s">
        <v>1326</v>
      </c>
      <c r="E24" s="46" t="e">
        <f ca="1">VLOOKUP(F24,'Base SAP'!A:O,6,FALSE)</f>
        <v>#N/A</v>
      </c>
      <c r="F24" s="44"/>
      <c r="G24" s="46">
        <f ca="1">VLOOKUP(H24,'Base SAP'!A:O,6,FALSE)</f>
        <v>65</v>
      </c>
      <c r="H24" s="44">
        <v>348351</v>
      </c>
      <c r="I24" s="46">
        <f ca="1">VLOOKUP(J24,'Base SAP'!A:O,6,FALSE)</f>
        <v>65</v>
      </c>
      <c r="J24" s="44">
        <v>348351</v>
      </c>
      <c r="K24" s="46" t="e">
        <f ca="1">VLOOKUP(L24,'Base SAP'!A:O,6,FALSE)</f>
        <v>#N/A</v>
      </c>
      <c r="L24" s="44"/>
      <c r="M24" s="46">
        <f ca="1">VLOOKUP(N24,'Base SAP'!A:O,6,FALSE)</f>
        <v>65</v>
      </c>
      <c r="N24" s="44">
        <v>348351</v>
      </c>
      <c r="O24" s="46">
        <f ca="1">VLOOKUP(P24,'Base SAP'!A:O,6,FALSE)</f>
        <v>65</v>
      </c>
      <c r="P24" s="44">
        <v>348351</v>
      </c>
      <c r="Q24" s="46" t="e">
        <f ca="1">VLOOKUP(R24,'Base SAP'!A:O,6,FALSE)</f>
        <v>#N/A</v>
      </c>
      <c r="R24" s="44"/>
      <c r="S24" s="46">
        <f ca="1">VLOOKUP(T24,'Base SAP'!A:O,6,FALSE)</f>
        <v>65</v>
      </c>
      <c r="T24" s="44">
        <v>348351</v>
      </c>
      <c r="U24" s="46" t="e">
        <f ca="1">VLOOKUP(V24,'Base SAP'!A:O,6,FALSE)</f>
        <v>#N/A</v>
      </c>
      <c r="V24" s="44"/>
      <c r="W24" s="46">
        <f ca="1">VLOOKUP(X24,'Base SAP'!A:O,6,FALSE)</f>
        <v>65</v>
      </c>
      <c r="X24" s="44">
        <v>348351</v>
      </c>
      <c r="Y24" s="46">
        <f ca="1">VLOOKUP(Z24,'Base SAP'!A:O,6,FALSE)</f>
        <v>65</v>
      </c>
      <c r="Z24" s="44">
        <v>348351</v>
      </c>
      <c r="AA24" s="46">
        <f ca="1">VLOOKUP(AB24,'Base SAP'!A:O,6,FALSE)</f>
        <v>65</v>
      </c>
      <c r="AB24" s="44">
        <v>348351</v>
      </c>
      <c r="AC24" s="46">
        <f ca="1">VLOOKUP(AD24,'Base SAP'!A:O,6,FALSE)</f>
        <v>65</v>
      </c>
      <c r="AD24" s="44">
        <v>348351</v>
      </c>
      <c r="AE24" s="46">
        <f ca="1">VLOOKUP(AF24,'Base SAP'!A:O,6,FALSE)</f>
        <v>65</v>
      </c>
      <c r="AF24" s="44">
        <v>348351</v>
      </c>
      <c r="AG24" s="46">
        <f ca="1">VLOOKUP(AH24,'Base SAP'!A:O,6,FALSE)</f>
        <v>65</v>
      </c>
      <c r="AH24" s="44">
        <v>348351</v>
      </c>
      <c r="AI24" s="46">
        <f ca="1">VLOOKUP(AJ24,'Base SAP'!A:O,6,FALSE)</f>
        <v>65</v>
      </c>
      <c r="AJ24" s="44">
        <v>348351</v>
      </c>
      <c r="AK24" s="46">
        <f ca="1">VLOOKUP(AL24,'Base SAP'!A:O,6,FALSE)</f>
        <v>65</v>
      </c>
      <c r="AL24" s="44">
        <v>348351</v>
      </c>
      <c r="AM24" s="46">
        <f ca="1">VLOOKUP(AN24,'Base SAP'!A:O,6,FALSE)</f>
        <v>65</v>
      </c>
      <c r="AN24" s="44">
        <v>348351</v>
      </c>
      <c r="AQ24" s="46" t="e">
        <f t="shared" ca="1" si="0"/>
        <v>#N/A</v>
      </c>
      <c r="AR24" s="44">
        <v>348351</v>
      </c>
    </row>
    <row r="25" spans="1:44">
      <c r="A25" s="2">
        <v>22</v>
      </c>
      <c r="B25" s="52" t="s">
        <v>1788</v>
      </c>
      <c r="C25" s="11" t="s">
        <v>1430</v>
      </c>
      <c r="D25" s="10"/>
      <c r="E25" s="46" t="e">
        <f ca="1">VLOOKUP(F25,'Base SAP'!A:O,6,FALSE)</f>
        <v>#N/A</v>
      </c>
      <c r="F25" s="44"/>
      <c r="G25" s="46">
        <f ca="1">VLOOKUP(H25,'Base SAP'!A:O,6,FALSE)</f>
        <v>24</v>
      </c>
      <c r="H25" s="44">
        <v>346415</v>
      </c>
      <c r="I25" s="46">
        <f ca="1">VLOOKUP(J25,'Base SAP'!A:O,6,FALSE)</f>
        <v>24</v>
      </c>
      <c r="J25" s="44">
        <v>346446</v>
      </c>
      <c r="K25" s="46" t="e">
        <f ca="1">VLOOKUP(L25,'Base SAP'!A:O,6,FALSE)</f>
        <v>#N/A</v>
      </c>
      <c r="L25" s="44"/>
      <c r="M25" s="46">
        <f ca="1">VLOOKUP(N25,'Base SAP'!A:O,6,FALSE)</f>
        <v>39.5</v>
      </c>
      <c r="N25" s="44">
        <v>346935</v>
      </c>
      <c r="O25" s="46">
        <f ca="1">VLOOKUP(P25,'Base SAP'!A:O,6,FALSE)</f>
        <v>39</v>
      </c>
      <c r="P25" s="44">
        <v>346649</v>
      </c>
      <c r="Q25" s="46" t="e">
        <f ca="1">VLOOKUP(R25,'Base SAP'!A:O,6,FALSE)</f>
        <v>#N/A</v>
      </c>
      <c r="R25" s="44"/>
      <c r="S25" s="46">
        <f ca="1">VLOOKUP(T25,'Base SAP'!A:O,6,FALSE)</f>
        <v>30</v>
      </c>
      <c r="T25" s="44">
        <v>346999</v>
      </c>
      <c r="U25" s="46" t="e">
        <f ca="1">VLOOKUP(V25,'Base SAP'!A:O,6,FALSE)</f>
        <v>#N/A</v>
      </c>
      <c r="V25" s="44"/>
      <c r="W25" s="46">
        <f ca="1">VLOOKUP(X25,'Base SAP'!A:O,6,FALSE)</f>
        <v>23.5</v>
      </c>
      <c r="X25" s="44">
        <v>346486</v>
      </c>
      <c r="Y25" s="46">
        <f ca="1">VLOOKUP(Z25,'Base SAP'!A:O,6,FALSE)</f>
        <v>59</v>
      </c>
      <c r="Z25" s="44">
        <v>347050</v>
      </c>
      <c r="AA25" s="46">
        <f ca="1">VLOOKUP(AB25,'Base SAP'!A:O,6,FALSE)</f>
        <v>36</v>
      </c>
      <c r="AB25" s="44">
        <v>347110</v>
      </c>
      <c r="AC25" s="46">
        <f ca="1">VLOOKUP(AD25,'Base SAP'!A:O,6,FALSE)</f>
        <v>24</v>
      </c>
      <c r="AD25" s="44">
        <v>346579</v>
      </c>
      <c r="AE25" s="46">
        <f ca="1">VLOOKUP(AF25,'Base SAP'!A:O,6,FALSE)</f>
        <v>27</v>
      </c>
      <c r="AF25" s="44">
        <v>346809</v>
      </c>
      <c r="AG25" s="46">
        <f ca="1">VLOOKUP(AH25,'Base SAP'!A:O,6,FALSE)</f>
        <v>36</v>
      </c>
      <c r="AH25" s="44">
        <v>346670</v>
      </c>
      <c r="AI25" s="46">
        <f ca="1">VLOOKUP(AJ25,'Base SAP'!A:O,6,FALSE)</f>
        <v>31</v>
      </c>
      <c r="AJ25" s="44">
        <v>346688</v>
      </c>
      <c r="AK25" s="46">
        <f ca="1">VLOOKUP(AL25,'Base SAP'!A:O,6,FALSE)</f>
        <v>24</v>
      </c>
      <c r="AL25" s="44">
        <v>346269</v>
      </c>
      <c r="AM25" s="46">
        <f ca="1">VLOOKUP(AN25,'Base SAP'!A:O,6,FALSE)</f>
        <v>35.5</v>
      </c>
      <c r="AN25" s="44">
        <v>346829</v>
      </c>
      <c r="AQ25" s="46"/>
      <c r="AR25" s="44"/>
    </row>
    <row r="26" spans="1:44">
      <c r="A26" s="2">
        <v>23</v>
      </c>
      <c r="B26" s="52" t="s">
        <v>1647</v>
      </c>
      <c r="C26" s="11" t="s">
        <v>356</v>
      </c>
      <c r="D26" s="10"/>
      <c r="E26" s="46" t="e">
        <f ca="1">VLOOKUP(F26,'Base SAP'!A:O,6,FALSE)</f>
        <v>#N/A</v>
      </c>
      <c r="F26" s="44"/>
      <c r="G26" s="46">
        <f ca="1">VLOOKUP(H26,'Base SAP'!A:O,6,FALSE)</f>
        <v>74</v>
      </c>
      <c r="H26" s="44">
        <v>348346</v>
      </c>
      <c r="I26" s="46">
        <f ca="1">VLOOKUP(J26,'Base SAP'!A:O,6,FALSE)</f>
        <v>74</v>
      </c>
      <c r="J26" s="44">
        <v>348346</v>
      </c>
      <c r="K26" s="46" t="e">
        <f ca="1">VLOOKUP(L26,'Base SAP'!A:O,6,FALSE)</f>
        <v>#N/A</v>
      </c>
      <c r="L26" s="44"/>
      <c r="M26" s="46">
        <f ca="1">VLOOKUP(N26,'Base SAP'!A:O,6,FALSE)</f>
        <v>74</v>
      </c>
      <c r="N26" s="44">
        <v>348346</v>
      </c>
      <c r="O26" s="46">
        <f ca="1">VLOOKUP(P26,'Base SAP'!A:O,6,FALSE)</f>
        <v>74</v>
      </c>
      <c r="P26" s="44">
        <v>348346</v>
      </c>
      <c r="Q26" s="46" t="e">
        <f ca="1">VLOOKUP(R26,'Base SAP'!A:O,6,FALSE)</f>
        <v>#N/A</v>
      </c>
      <c r="R26" s="44"/>
      <c r="S26" s="46">
        <f ca="1">VLOOKUP(T26,'Base SAP'!A:O,6,FALSE)</f>
        <v>74</v>
      </c>
      <c r="T26" s="44">
        <v>348346</v>
      </c>
      <c r="U26" s="46" t="e">
        <f ca="1">VLOOKUP(V26,'Base SAP'!A:O,6,FALSE)</f>
        <v>#N/A</v>
      </c>
      <c r="V26" s="44"/>
      <c r="W26" s="46">
        <f ca="1">VLOOKUP(X26,'Base SAP'!A:O,6,FALSE)</f>
        <v>74</v>
      </c>
      <c r="X26" s="44">
        <v>348346</v>
      </c>
      <c r="Y26" s="46">
        <f ca="1">VLOOKUP(Z26,'Base SAP'!A:O,6,FALSE)</f>
        <v>74</v>
      </c>
      <c r="Z26" s="44">
        <v>348346</v>
      </c>
      <c r="AA26" s="46">
        <f ca="1">VLOOKUP(AB26,'Base SAP'!A:O,6,FALSE)</f>
        <v>74</v>
      </c>
      <c r="AB26" s="44">
        <v>348346</v>
      </c>
      <c r="AC26" s="46">
        <f ca="1">VLOOKUP(AD26,'Base SAP'!A:O,6,FALSE)</f>
        <v>74</v>
      </c>
      <c r="AD26" s="44">
        <v>348346</v>
      </c>
      <c r="AE26" s="46">
        <f ca="1">VLOOKUP(AF26,'Base SAP'!A:O,6,FALSE)</f>
        <v>74</v>
      </c>
      <c r="AF26" s="57">
        <v>348346</v>
      </c>
      <c r="AG26" s="46">
        <f ca="1">VLOOKUP(AH26,'Base SAP'!A:O,6,FALSE)</f>
        <v>74</v>
      </c>
      <c r="AH26" s="57">
        <v>348346</v>
      </c>
      <c r="AI26" s="46">
        <f ca="1">VLOOKUP(AJ26,'Base SAP'!A:O,6,FALSE)</f>
        <v>74</v>
      </c>
      <c r="AJ26" s="57">
        <v>348346</v>
      </c>
      <c r="AK26" s="46">
        <f ca="1">VLOOKUP(AL26,'Base SAP'!A:O,6,FALSE)</f>
        <v>74</v>
      </c>
      <c r="AL26" s="57">
        <v>348346</v>
      </c>
      <c r="AM26" s="46">
        <f ca="1">VLOOKUP(AN26,'Base SAP'!A:O,6,FALSE)</f>
        <v>74</v>
      </c>
      <c r="AN26" s="57">
        <v>348346</v>
      </c>
      <c r="AQ26" s="46" t="e">
        <f ca="1">VLOOKUP(AR26,Base_tarif,6,FALSE)</f>
        <v>#N/A</v>
      </c>
      <c r="AR26" s="57">
        <v>348346</v>
      </c>
    </row>
    <row r="27" spans="1:44">
      <c r="A27" s="2">
        <v>24</v>
      </c>
      <c r="B27" s="52"/>
      <c r="C27" s="11" t="s">
        <v>1327</v>
      </c>
      <c r="D27" s="227"/>
      <c r="E27" s="46" t="e">
        <f ca="1">VLOOKUP(F27,'Base SAP'!A:O,6,FALSE)</f>
        <v>#N/A</v>
      </c>
      <c r="F27" s="44"/>
      <c r="G27" s="46">
        <f ca="1">VLOOKUP(H27,'Base SAP'!A:O,6,FALSE)</f>
        <v>77</v>
      </c>
      <c r="H27" s="44">
        <v>348352</v>
      </c>
      <c r="I27" s="46">
        <f ca="1">VLOOKUP(J27,'Base SAP'!A:O,6,FALSE)</f>
        <v>77</v>
      </c>
      <c r="J27" s="44">
        <v>348352</v>
      </c>
      <c r="K27" s="46" t="e">
        <f ca="1">VLOOKUP(L27,'Base SAP'!A:O,6,FALSE)</f>
        <v>#N/A</v>
      </c>
      <c r="L27" s="44"/>
      <c r="M27" s="46">
        <f ca="1">VLOOKUP(N27,'Base SAP'!A:O,6,FALSE)</f>
        <v>77</v>
      </c>
      <c r="N27" s="44">
        <v>348352</v>
      </c>
      <c r="O27" s="46">
        <f ca="1">VLOOKUP(P27,'Base SAP'!A:O,6,FALSE)</f>
        <v>77</v>
      </c>
      <c r="P27" s="44">
        <v>348352</v>
      </c>
      <c r="Q27" s="46" t="e">
        <f ca="1">VLOOKUP(R27,'Base SAP'!A:O,6,FALSE)</f>
        <v>#N/A</v>
      </c>
      <c r="R27" s="44"/>
      <c r="S27" s="46">
        <f ca="1">VLOOKUP(T27,'Base SAP'!A:O,6,FALSE)</f>
        <v>77</v>
      </c>
      <c r="T27" s="44">
        <v>348352</v>
      </c>
      <c r="U27" s="46" t="e">
        <f ca="1">VLOOKUP(V27,'Base SAP'!A:O,6,FALSE)</f>
        <v>#N/A</v>
      </c>
      <c r="V27" s="44"/>
      <c r="W27" s="46">
        <f ca="1">VLOOKUP(X27,'Base SAP'!A:O,6,FALSE)</f>
        <v>77</v>
      </c>
      <c r="X27" s="44">
        <v>348352</v>
      </c>
      <c r="Y27" s="46">
        <f ca="1">VLOOKUP(Z27,'Base SAP'!A:O,6,FALSE)</f>
        <v>77</v>
      </c>
      <c r="Z27" s="44">
        <v>348352</v>
      </c>
      <c r="AA27" s="46">
        <f ca="1">VLOOKUP(AB27,'Base SAP'!A:O,6,FALSE)</f>
        <v>77</v>
      </c>
      <c r="AB27" s="44">
        <v>348352</v>
      </c>
      <c r="AC27" s="46">
        <f ca="1">VLOOKUP(AD27,'Base SAP'!A:O,6,FALSE)</f>
        <v>77</v>
      </c>
      <c r="AD27" s="44">
        <v>348352</v>
      </c>
      <c r="AE27" s="46">
        <f ca="1">VLOOKUP(AF27,'Base SAP'!A:O,6,FALSE)</f>
        <v>77</v>
      </c>
      <c r="AF27" s="44">
        <v>348352</v>
      </c>
      <c r="AG27" s="46">
        <f ca="1">VLOOKUP(AH27,'Base SAP'!A:O,6,FALSE)</f>
        <v>77</v>
      </c>
      <c r="AH27" s="44">
        <v>348352</v>
      </c>
      <c r="AI27" s="46">
        <f ca="1">VLOOKUP(AJ27,'Base SAP'!A:O,6,FALSE)</f>
        <v>77</v>
      </c>
      <c r="AJ27" s="44">
        <v>348352</v>
      </c>
      <c r="AK27" s="46">
        <f ca="1">VLOOKUP(AL27,'Base SAP'!A:O,6,FALSE)</f>
        <v>77</v>
      </c>
      <c r="AL27" s="44">
        <v>348352</v>
      </c>
      <c r="AM27" s="46">
        <f ca="1">VLOOKUP(AN27,'Base SAP'!A:O,6,FALSE)</f>
        <v>77</v>
      </c>
      <c r="AN27" s="44">
        <v>348352</v>
      </c>
      <c r="AQ27" s="48"/>
      <c r="AR27" s="57"/>
    </row>
    <row r="28" spans="1:44">
      <c r="A28" s="2">
        <v>25</v>
      </c>
      <c r="B28" s="1"/>
      <c r="C28" s="11" t="s">
        <v>1571</v>
      </c>
      <c r="D28" s="2"/>
      <c r="E28" s="46" t="e">
        <f ca="1">VLOOKUP(F28,'Base SAP'!A:O,6,FALSE)</f>
        <v>#N/A</v>
      </c>
      <c r="F28" s="44"/>
      <c r="G28" s="46">
        <f ca="1">VLOOKUP(H28,'Base SAP'!A:O,6,FALSE)</f>
        <v>27</v>
      </c>
      <c r="H28" s="44">
        <v>346409</v>
      </c>
      <c r="I28" s="46">
        <f ca="1">VLOOKUP(J28,'Base SAP'!A:O,6,FALSE)</f>
        <v>27</v>
      </c>
      <c r="J28" s="44">
        <v>346439</v>
      </c>
      <c r="K28" s="46" t="e">
        <f ca="1">VLOOKUP(L28,'Base SAP'!A:O,6,FALSE)</f>
        <v>#N/A</v>
      </c>
      <c r="L28" s="44"/>
      <c r="M28" s="46">
        <f ca="1">VLOOKUP(N28,'Base SAP'!A:O,6,FALSE)</f>
        <v>28.5</v>
      </c>
      <c r="N28" s="44">
        <v>346933</v>
      </c>
      <c r="O28" s="46">
        <f ca="1">VLOOKUP(P28,'Base SAP'!A:O,6,FALSE)</f>
        <v>28</v>
      </c>
      <c r="P28" s="44">
        <v>346655</v>
      </c>
      <c r="Q28" s="46" t="e">
        <f ca="1">VLOOKUP(R28,'Base SAP'!A:O,6,FALSE)</f>
        <v>#N/A</v>
      </c>
      <c r="R28" s="44"/>
      <c r="S28" s="46">
        <f ca="1">VLOOKUP(T28,'Base SAP'!A:O,6,FALSE)</f>
        <v>26</v>
      </c>
      <c r="T28" s="44">
        <v>346995</v>
      </c>
      <c r="U28" s="46" t="e">
        <f ca="1">VLOOKUP(V28,'Base SAP'!A:O,6,FALSE)</f>
        <v>#N/A</v>
      </c>
      <c r="V28" s="44"/>
      <c r="W28" s="46">
        <f ca="1">VLOOKUP(X28,'Base SAP'!A:O,6,FALSE)</f>
        <v>26.5</v>
      </c>
      <c r="X28" s="44">
        <v>346484</v>
      </c>
      <c r="Y28" s="46">
        <f ca="1">VLOOKUP(Z28,'Base SAP'!A:O,6,FALSE)</f>
        <v>37.5</v>
      </c>
      <c r="Z28" s="49">
        <v>347056</v>
      </c>
      <c r="AA28" s="46">
        <f ca="1">VLOOKUP(AB28,'Base SAP'!A:O,6,FALSE)</f>
        <v>28.5</v>
      </c>
      <c r="AB28" s="49">
        <v>347116</v>
      </c>
      <c r="AC28" s="46">
        <f ca="1">VLOOKUP(AD28,'Base SAP'!A:O,6,FALSE)</f>
        <v>27</v>
      </c>
      <c r="AD28" s="49">
        <v>346585</v>
      </c>
      <c r="AE28" s="46">
        <f ca="1">VLOOKUP(AF28,'Base SAP'!A:O,6,FALSE)</f>
        <v>27.5</v>
      </c>
      <c r="AF28" s="49">
        <v>346815</v>
      </c>
      <c r="AG28" s="46">
        <f ca="1">VLOOKUP(AH28,'Base SAP'!A:O,6,FALSE)</f>
        <v>28.5</v>
      </c>
      <c r="AH28" s="49">
        <v>346676</v>
      </c>
      <c r="AI28" s="46">
        <f ca="1">VLOOKUP(AJ28,'Base SAP'!A:O,6,FALSE)</f>
        <v>28</v>
      </c>
      <c r="AJ28" s="49">
        <v>346694</v>
      </c>
      <c r="AK28" s="46">
        <f ca="1">VLOOKUP(AL28,'Base SAP'!A:O,6,FALSE)</f>
        <v>27</v>
      </c>
      <c r="AL28" s="49">
        <v>346275</v>
      </c>
      <c r="AM28" s="46">
        <f ca="1">VLOOKUP(AN28,'Base SAP'!A:O,6,FALSE)</f>
        <v>27.5</v>
      </c>
      <c r="AN28" s="49">
        <v>346835</v>
      </c>
      <c r="AQ28" s="48"/>
      <c r="AR28" s="49"/>
    </row>
    <row r="29" spans="1:44">
      <c r="A29" s="2">
        <v>26</v>
      </c>
      <c r="B29" s="1"/>
      <c r="C29" s="11" t="s">
        <v>1625</v>
      </c>
      <c r="D29" s="2"/>
      <c r="E29" s="46" t="e">
        <f ca="1">VLOOKUP(F29,'Base SAP'!A:O,6,FALSE)</f>
        <v>#N/A</v>
      </c>
      <c r="F29" s="44"/>
      <c r="G29" s="46" t="e">
        <f ca="1">VLOOKUP(H29,'Base SAP'!A:O,6,FALSE)</f>
        <v>#N/A</v>
      </c>
      <c r="H29" s="44"/>
      <c r="I29" s="46">
        <f ca="1">VLOOKUP(J29,'Base SAP'!A:O,6,FALSE)</f>
        <v>41.2</v>
      </c>
      <c r="J29" s="44">
        <v>343426</v>
      </c>
      <c r="K29" s="46" t="e">
        <f ca="1">VLOOKUP(L29,'Base SAP'!A:O,6,FALSE)</f>
        <v>#N/A</v>
      </c>
      <c r="L29" s="44"/>
      <c r="M29" s="46" t="e">
        <f ca="1">VLOOKUP(N29,'Base SAP'!A:O,6,FALSE)</f>
        <v>#N/A</v>
      </c>
      <c r="N29" s="44"/>
      <c r="O29" s="46">
        <f ca="1">VLOOKUP(P29,'Base SAP'!A:O,6,FALSE)</f>
        <v>41.2</v>
      </c>
      <c r="P29" s="44">
        <v>343690</v>
      </c>
      <c r="Q29" s="46" t="e">
        <f ca="1">VLOOKUP(R29,'Base SAP'!A:O,6,FALSE)</f>
        <v>#N/A</v>
      </c>
      <c r="R29" s="44"/>
      <c r="S29" s="46" t="e">
        <f ca="1">VLOOKUP(T29,'Base SAP'!A:O,6,FALSE)</f>
        <v>#N/A</v>
      </c>
      <c r="T29" s="44"/>
      <c r="U29" s="46" t="e">
        <f ca="1">VLOOKUP(V29,'Base SAP'!A:O,6,FALSE)</f>
        <v>#N/A</v>
      </c>
      <c r="V29" s="44"/>
      <c r="W29" s="46">
        <f ca="1">VLOOKUP(X29,'Base SAP'!A:O,6,FALSE)</f>
        <v>41.2</v>
      </c>
      <c r="X29" s="44">
        <v>343680</v>
      </c>
      <c r="Y29" s="46" t="e">
        <f ca="1">VLOOKUP(Z29,'Base SAP'!A:O,6,FALSE)</f>
        <v>#N/A</v>
      </c>
      <c r="Z29" s="44"/>
      <c r="AA29" s="46" t="e">
        <f ca="1">VLOOKUP(AB29,'Base SAP'!A:O,6,FALSE)</f>
        <v>#N/A</v>
      </c>
      <c r="AB29" s="44"/>
      <c r="AC29" s="46">
        <f ca="1">VLOOKUP(AD29,'Base SAP'!A:O,6,FALSE)</f>
        <v>41.2</v>
      </c>
      <c r="AD29" s="44">
        <v>343686</v>
      </c>
      <c r="AE29" s="46">
        <f ca="1">VLOOKUP(AF29,'Base SAP'!A:O,6,FALSE)</f>
        <v>41.2</v>
      </c>
      <c r="AF29" s="44">
        <v>343685</v>
      </c>
      <c r="AG29" s="46" t="e">
        <f ca="1">VLOOKUP(AH29,'Base SAP'!A:O,6,FALSE)</f>
        <v>#N/A</v>
      </c>
      <c r="AH29" s="44"/>
      <c r="AI29" s="46" t="e">
        <f ca="1">VLOOKUP(AJ29,'Base SAP'!A:O,6,FALSE)</f>
        <v>#N/A</v>
      </c>
      <c r="AJ29" s="44"/>
      <c r="AK29" s="46" t="e">
        <f ca="1">VLOOKUP(AL29,'Base SAP'!A:O,6,FALSE)</f>
        <v>#N/A</v>
      </c>
      <c r="AL29" s="44"/>
      <c r="AM29" s="46" t="e">
        <f ca="1">VLOOKUP(AN29,'Base SAP'!A:O,6,FALSE)</f>
        <v>#N/A</v>
      </c>
      <c r="AN29" s="44"/>
      <c r="AQ29" s="46"/>
      <c r="AR29" s="44"/>
    </row>
    <row r="46" spans="2:19" ht="13.8" thickBot="1"/>
    <row r="47" spans="2:19">
      <c r="B47" s="1"/>
      <c r="C47" s="12" t="s">
        <v>1044</v>
      </c>
      <c r="D47" s="13" t="s">
        <v>1045</v>
      </c>
      <c r="O47" s="499" t="s">
        <v>1337</v>
      </c>
      <c r="P47" s="500"/>
      <c r="Q47" s="500"/>
      <c r="R47" s="501"/>
      <c r="S47" s="141"/>
    </row>
    <row r="48" spans="2:19">
      <c r="B48" s="51">
        <v>343121</v>
      </c>
      <c r="C48" s="50" t="str">
        <f ca="1">VLOOKUP(B48,'Base SAP'!A:G,2,FALSE)</f>
        <v>CAISSON BAS 40 BLANC</v>
      </c>
      <c r="D48" s="47">
        <f ca="1">VLOOKUP(B48,'Base SAP'!A:G,6,FALSE)</f>
        <v>33</v>
      </c>
      <c r="N48" s="51"/>
      <c r="O48" s="504" t="e">
        <f ca="1">VLOOKUP(N48,'Base SAP'!A:F,2,FALSE)</f>
        <v>#N/A</v>
      </c>
      <c r="P48" s="505"/>
      <c r="Q48" s="505"/>
      <c r="R48" s="506"/>
      <c r="S48" s="301" t="e">
        <f ca="1">VLOOKUP(N48,'Base SAP'!A:F,6,FALSE)</f>
        <v>#N/A</v>
      </c>
    </row>
    <row r="49" spans="2:19">
      <c r="B49" s="51">
        <v>343122</v>
      </c>
      <c r="C49" s="50" t="str">
        <f ca="1">VLOOKUP(B49,'Base SAP'!A:G,2,FALSE)</f>
        <v>CAISSON BAS 60 BLANC</v>
      </c>
      <c r="D49" s="47">
        <f ca="1">VLOOKUP(B49,'Base SAP'!A:G,6,FALSE)</f>
        <v>39.5</v>
      </c>
      <c r="N49" s="51"/>
      <c r="O49" s="504" t="e">
        <f ca="1">VLOOKUP(N49,'Base SAP'!A:F,2,FALSE)</f>
        <v>#N/A</v>
      </c>
      <c r="P49" s="505"/>
      <c r="Q49" s="505"/>
      <c r="R49" s="506"/>
      <c r="S49" s="301" t="e">
        <f ca="1">VLOOKUP(N49,'Base SAP'!A:F,6,FALSE)</f>
        <v>#N/A</v>
      </c>
    </row>
    <row r="50" spans="2:19" ht="14.4">
      <c r="B50" s="51">
        <v>343123</v>
      </c>
      <c r="C50" s="50" t="str">
        <f ca="1">VLOOKUP(B50,'Base SAP'!A:G,2,FALSE)</f>
        <v>CAISSON BAS 80 BLANC</v>
      </c>
      <c r="D50" s="47">
        <f ca="1">VLOOKUP(B50,'Base SAP'!A:G,6,FALSE)</f>
        <v>45.5</v>
      </c>
      <c r="N50" s="302">
        <v>343416</v>
      </c>
      <c r="O50" s="504" t="str">
        <f ca="1">VLOOKUP(N50,'Base SAP'!A:F,2,FALSE)</f>
        <v>CHARNIERES CLIPSABLES X2  AVEC AMORTI</v>
      </c>
      <c r="P50" s="505"/>
      <c r="Q50" s="505"/>
      <c r="R50" s="506"/>
      <c r="S50" s="301">
        <f ca="1">VLOOKUP(N50,'Base SAP'!A:F,6,FALSE)</f>
        <v>8.9499999999999993</v>
      </c>
    </row>
    <row r="51" spans="2:19">
      <c r="B51" s="51">
        <v>343124</v>
      </c>
      <c r="C51" s="50" t="str">
        <f ca="1">VLOOKUP(B51,'Base SAP'!A:G,2,FALSE)</f>
        <v>CAISSON BAS 120 BLANC</v>
      </c>
      <c r="D51" s="47">
        <f ca="1">VLOOKUP(B51,'Base SAP'!A:G,6,FALSE)</f>
        <v>64.5</v>
      </c>
      <c r="N51" s="51">
        <v>343842</v>
      </c>
      <c r="O51" s="504" t="str">
        <f ca="1">VLOOKUP(N51,'Base SAP'!A:F,2,FALSE)</f>
        <v>KIT TIROIR 40 CM SILENT SYSTEM</v>
      </c>
      <c r="P51" s="505"/>
      <c r="Q51" s="505"/>
      <c r="R51" s="506"/>
      <c r="S51" s="301">
        <f ca="1">VLOOKUP(N51,'Base SAP'!A:F,6,FALSE)</f>
        <v>25.2</v>
      </c>
    </row>
    <row r="52" spans="2:19">
      <c r="B52" s="51">
        <v>343125</v>
      </c>
      <c r="C52" s="50" t="str">
        <f ca="1">VLOOKUP(B52,'Base SAP'!A:G,2,FALSE)</f>
        <v>CAISSON ANGLE BAS BLANC</v>
      </c>
      <c r="D52" s="47">
        <f ca="1">VLOOKUP(B52,'Base SAP'!A:G,6,FALSE)</f>
        <v>62</v>
      </c>
      <c r="N52" s="51">
        <v>343185</v>
      </c>
      <c r="O52" s="504" t="str">
        <f ca="1">VLOOKUP(N52,'Base SAP'!A:F,2,FALSE)</f>
        <v>KIT TIROIR 40 CM STANDARD</v>
      </c>
      <c r="P52" s="505"/>
      <c r="Q52" s="505"/>
      <c r="R52" s="506"/>
      <c r="S52" s="301">
        <f ca="1">VLOOKUP(N52,'Base SAP'!A:F,6,FALSE)</f>
        <v>13.5</v>
      </c>
    </row>
    <row r="53" spans="2:19">
      <c r="B53" s="51">
        <v>343127</v>
      </c>
      <c r="C53" s="50" t="str">
        <f ca="1">VLOOKUP(B53,'Base SAP'!A:G,2,FALSE)</f>
        <v>CAISSON COLONNE BLANC</v>
      </c>
      <c r="D53" s="47">
        <f ca="1">VLOOKUP(B53,'Base SAP'!A:G,6,FALSE)</f>
        <v>83</v>
      </c>
      <c r="N53" s="51">
        <v>343843</v>
      </c>
      <c r="O53" s="504" t="str">
        <f ca="1">VLOOKUP(N53,'Base SAP'!A:F,2,FALSE)</f>
        <v>KIT TIROIR 60 CM SILENT SYSTEM</v>
      </c>
      <c r="P53" s="505"/>
      <c r="Q53" s="505"/>
      <c r="R53" s="506"/>
      <c r="S53" s="301">
        <f ca="1">VLOOKUP(N53,'Base SAP'!A:F,6,FALSE)</f>
        <v>31.2</v>
      </c>
    </row>
    <row r="54" spans="2:19">
      <c r="B54" s="51">
        <v>343128</v>
      </c>
      <c r="C54" s="50" t="str">
        <f ca="1">VLOOKUP(B54,'Base SAP'!A:G,2,FALSE)</f>
        <v>CAISSON HAUT 40 BLANC</v>
      </c>
      <c r="D54" s="47">
        <f ca="1">VLOOKUP(B54,'Base SAP'!A:G,6,FALSE)</f>
        <v>21</v>
      </c>
      <c r="N54" s="51">
        <v>343186</v>
      </c>
      <c r="O54" s="504" t="str">
        <f ca="1">VLOOKUP(N54,'Base SAP'!A:F,2,FALSE)</f>
        <v>KIT TIROIR 60 CM STANDARD</v>
      </c>
      <c r="P54" s="505"/>
      <c r="Q54" s="505"/>
      <c r="R54" s="506"/>
      <c r="S54" s="301">
        <f ca="1">VLOOKUP(N54,'Base SAP'!A:F,6,FALSE)</f>
        <v>16.5</v>
      </c>
    </row>
    <row r="55" spans="2:19">
      <c r="B55" s="51">
        <v>343129</v>
      </c>
      <c r="C55" s="50" t="str">
        <f ca="1">VLOOKUP(B55,'Base SAP'!A:G,2,FALSE)</f>
        <v>CAISSON HAUT 60 BLANC</v>
      </c>
      <c r="D55" s="47">
        <f ca="1">VLOOKUP(B55,'Base SAP'!A:G,6,FALSE)</f>
        <v>28.5</v>
      </c>
      <c r="N55" s="51">
        <v>343846</v>
      </c>
      <c r="O55" s="504" t="str">
        <f ca="1">VLOOKUP(N55,'Base SAP'!A:F,2,FALSE)</f>
        <v>KIT TIROIR 80 CM SILENT SYSTEM</v>
      </c>
      <c r="P55" s="505"/>
      <c r="Q55" s="505"/>
      <c r="R55" s="506"/>
      <c r="S55" s="301">
        <f ca="1">VLOOKUP(N55,'Base SAP'!A:F,6,FALSE)</f>
        <v>38.9</v>
      </c>
    </row>
    <row r="56" spans="2:19">
      <c r="B56" s="51">
        <v>343130</v>
      </c>
      <c r="C56" s="50" t="str">
        <f ca="1">VLOOKUP(B56,'Base SAP'!A:G,2,FALSE)</f>
        <v>CAISSON HAUT 80 BLANC</v>
      </c>
      <c r="D56" s="47">
        <f ca="1">VLOOKUP(B56,'Base SAP'!A:G,6,FALSE)</f>
        <v>29</v>
      </c>
      <c r="N56" s="51">
        <v>343844</v>
      </c>
      <c r="O56" s="504" t="str">
        <f ca="1">VLOOKUP(N56,'Base SAP'!A:F,2,FALSE)</f>
        <v>KIT TIROIR CASS. 60 CM SILENT SYSTEM</v>
      </c>
      <c r="P56" s="505"/>
      <c r="Q56" s="505"/>
      <c r="R56" s="506"/>
      <c r="S56" s="301">
        <f ca="1">VLOOKUP(N56,'Base SAP'!A:F,6,FALSE)</f>
        <v>42.2</v>
      </c>
    </row>
    <row r="57" spans="2:19">
      <c r="B57" s="51">
        <v>343132</v>
      </c>
      <c r="C57" s="50" t="str">
        <f ca="1">VLOOKUP(B57,'Base SAP'!A:G,2,FALSE)</f>
        <v>CAISSON ANGLE HAUT BLANC</v>
      </c>
      <c r="D57" s="47">
        <f ca="1">VLOOKUP(B57,'Base SAP'!A:G,6,FALSE)</f>
        <v>47.5</v>
      </c>
      <c r="N57" s="51">
        <v>343187</v>
      </c>
      <c r="O57" s="504" t="str">
        <f ca="1">VLOOKUP(N57,'Base SAP'!A:F,2,FALSE)</f>
        <v>KIT TIROIR CASS. 60 CM STANDARD</v>
      </c>
      <c r="P57" s="505"/>
      <c r="Q57" s="505"/>
      <c r="R57" s="506"/>
      <c r="S57" s="301">
        <f ca="1">VLOOKUP(N57,'Base SAP'!A:F,6,FALSE)</f>
        <v>22.5</v>
      </c>
    </row>
    <row r="58" spans="2:19">
      <c r="B58" s="51">
        <v>343134</v>
      </c>
      <c r="C58" s="50" t="str">
        <f ca="1">VLOOKUP(B58,'Base SAP'!A:G,2,FALSE)</f>
        <v>CAISSON HOTTE BLANC</v>
      </c>
      <c r="D58" s="47">
        <f ca="1">VLOOKUP(B58,'Base SAP'!A:G,6,FALSE)</f>
        <v>19</v>
      </c>
      <c r="N58" s="51">
        <v>343853</v>
      </c>
      <c r="O58" s="504" t="str">
        <f ca="1">VLOOKUP(N58,'Base SAP'!A:F,2,FALSE)</f>
        <v>KIT TIROIR CASS.40CM SILENT SYSTEM</v>
      </c>
      <c r="P58" s="505"/>
      <c r="Q58" s="505"/>
      <c r="R58" s="506"/>
      <c r="S58" s="301">
        <f ca="1">VLOOKUP(N58,'Base SAP'!A:F,6,FALSE)</f>
        <v>35.200000000000003</v>
      </c>
    </row>
    <row r="59" spans="2:19">
      <c r="B59" s="51">
        <v>343153</v>
      </c>
      <c r="C59" s="50" t="str">
        <f ca="1">VLOOKUP(B59,'Base SAP'!A:G,2,FALSE)</f>
        <v>CAISSON BAS 15 BLANC</v>
      </c>
      <c r="D59" s="47">
        <f ca="1">VLOOKUP(B59,'Base SAP'!A:G,6,FALSE)</f>
        <v>30</v>
      </c>
      <c r="N59" s="51">
        <v>343847</v>
      </c>
      <c r="O59" s="504" t="str">
        <f ca="1">VLOOKUP(N59,'Base SAP'!A:F,2,FALSE)</f>
        <v>KIT TIROIR CASSEROL. 80CM SILENT SYSTEM</v>
      </c>
      <c r="P59" s="505"/>
      <c r="Q59" s="505"/>
      <c r="R59" s="506"/>
      <c r="S59" s="301">
        <f ca="1">VLOOKUP(N59,'Base SAP'!A:F,6,FALSE)</f>
        <v>45.2</v>
      </c>
    </row>
    <row r="60" spans="2:19">
      <c r="B60" s="51">
        <v>343157</v>
      </c>
      <c r="C60" s="50" t="str">
        <f ca="1">VLOOKUP(B60,'Base SAP'!A:G,2,FALSE)</f>
        <v>CAISSON DEMI COLONNE 130×60 BLANC</v>
      </c>
      <c r="D60" s="47">
        <f ca="1">VLOOKUP(B60,'Base SAP'!A:G,6,FALSE)</f>
        <v>66</v>
      </c>
      <c r="N60" s="51">
        <v>343848</v>
      </c>
      <c r="O60" s="504" t="str">
        <f ca="1">VLOOKUP(N60,'Base SAP'!A:F,2,FALSE)</f>
        <v>KIT TIROIR INTERIEUR 40CM SILENT SYSTEM</v>
      </c>
      <c r="P60" s="505"/>
      <c r="Q60" s="505"/>
      <c r="R60" s="506"/>
      <c r="S60" s="301">
        <f ca="1">VLOOKUP(N60,'Base SAP'!A:F,6,FALSE)</f>
        <v>37.5</v>
      </c>
    </row>
    <row r="61" spans="2:19">
      <c r="B61" s="51">
        <v>343234</v>
      </c>
      <c r="C61" s="50" t="str">
        <f ca="1">VLOOKUP(B61,'Base SAP'!A:G,2,FALSE)</f>
        <v>CAISSON HAUT 42X80 BLANC</v>
      </c>
      <c r="D61" s="47">
        <f ca="1">VLOOKUP(B61,'Base SAP'!A:G,6,FALSE)</f>
        <v>30.5</v>
      </c>
      <c r="N61" s="51">
        <v>343849</v>
      </c>
      <c r="O61" s="504" t="str">
        <f ca="1">VLOOKUP(N61,'Base SAP'!A:F,2,FALSE)</f>
        <v>KIT TIROIR INTERIEUR 60CM SILENT SYSTEM</v>
      </c>
      <c r="P61" s="505"/>
      <c r="Q61" s="505"/>
      <c r="R61" s="506"/>
      <c r="S61" s="301">
        <f ca="1">VLOOKUP(N61,'Base SAP'!A:F,6,FALSE)</f>
        <v>42.5</v>
      </c>
    </row>
    <row r="62" spans="2:19">
      <c r="N62" s="51">
        <v>343609</v>
      </c>
      <c r="O62" s="504" t="str">
        <f ca="1">VLOOKUP(N62,'Base SAP'!A:F,2,FALSE)</f>
        <v>LOT DE 2 CHARNIERES AVEC AMORTIES 155</v>
      </c>
      <c r="P62" s="505"/>
      <c r="Q62" s="505"/>
      <c r="R62" s="506"/>
      <c r="S62" s="301">
        <f ca="1">VLOOKUP(N62,'Base SAP'!A:F,6,FALSE)</f>
        <v>12.9</v>
      </c>
    </row>
    <row r="63" spans="2:19">
      <c r="N63" s="51">
        <v>343610</v>
      </c>
      <c r="O63" s="504" t="str">
        <f ca="1">VLOOKUP(N63,'Base SAP'!A:F,2,FALSE)</f>
        <v>LOT DE 2 PUSH PULL AVEC CHARNIERES</v>
      </c>
      <c r="P63" s="505"/>
      <c r="Q63" s="505"/>
      <c r="R63" s="506"/>
      <c r="S63" s="301">
        <f ca="1">VLOOKUP(N63,'Base SAP'!A:F,6,FALSE)</f>
        <v>7</v>
      </c>
    </row>
    <row r="64" spans="2:19" ht="14.4">
      <c r="N64" s="302">
        <v>343411</v>
      </c>
      <c r="O64" s="504" t="str">
        <f ca="1">VLOOKUP(N64,'Base SAP'!A:F,2,FALSE)</f>
        <v>PAIRE DE CHARNIERES STANDARD</v>
      </c>
      <c r="P64" s="505"/>
      <c r="Q64" s="505"/>
      <c r="R64" s="506"/>
      <c r="S64" s="301">
        <f ca="1">VLOOKUP(N64,'Base SAP'!A:F,6,FALSE)</f>
        <v>4.2</v>
      </c>
    </row>
    <row r="65" spans="14:19">
      <c r="N65" s="51">
        <v>343879</v>
      </c>
      <c r="O65" s="504" t="str">
        <f ca="1">VLOOKUP(N65,'Base SAP'!A:F,2,FALSE)</f>
        <v>PANIER FIL COULISSANT  PR CAISSON BAS 40</v>
      </c>
      <c r="P65" s="505"/>
      <c r="Q65" s="505"/>
      <c r="R65" s="506"/>
      <c r="S65" s="301">
        <f ca="1">VLOOKUP(N65,'Base SAP'!A:F,6,FALSE)</f>
        <v>41.9</v>
      </c>
    </row>
    <row r="66" spans="14:19">
      <c r="N66" s="51">
        <v>343869</v>
      </c>
      <c r="O66" s="504" t="str">
        <f ca="1">VLOOKUP(N66,'Base SAP'!A:F,2,FALSE)</f>
        <v>PANIER FIL COULISSANT PR CAISSON BAS 60</v>
      </c>
      <c r="P66" s="505"/>
      <c r="Q66" s="505"/>
      <c r="R66" s="506"/>
      <c r="S66" s="301">
        <f ca="1">VLOOKUP(N66,'Base SAP'!A:F,6,FALSE)</f>
        <v>60.5</v>
      </c>
    </row>
    <row r="67" spans="14:19">
      <c r="N67" s="51">
        <v>343868</v>
      </c>
      <c r="O67" s="504" t="str">
        <f ca="1">VLOOKUP(N67,'Base SAP'!A:F,2,FALSE)</f>
        <v>PANIER FIL EPICE/BOUTEILLE CAISSON 15CM</v>
      </c>
      <c r="P67" s="505"/>
      <c r="Q67" s="505"/>
      <c r="R67" s="506"/>
      <c r="S67" s="301">
        <f ca="1">VLOOKUP(N67,'Base SAP'!A:F,6,FALSE)</f>
        <v>30</v>
      </c>
    </row>
    <row r="68" spans="14:19">
      <c r="N68" s="51">
        <v>343883</v>
      </c>
      <c r="O68" s="504" t="str">
        <f ca="1">VLOOKUP(N68,'Base SAP'!A:F,2,FALSE)</f>
        <v>RANGEMENT COULIS. AMORTI POUR COL.H200</v>
      </c>
      <c r="P68" s="505"/>
      <c r="Q68" s="505"/>
      <c r="R68" s="506"/>
      <c r="S68" s="301">
        <f ca="1">VLOOKUP(N68,'Base SAP'!A:F,6,FALSE)</f>
        <v>156</v>
      </c>
    </row>
    <row r="69" spans="14:19">
      <c r="N69" s="51">
        <v>343882</v>
      </c>
      <c r="O69" s="504" t="str">
        <f ca="1">VLOOKUP(N69,'Base SAP'!A:F,2,FALSE)</f>
        <v>RANGEMENT COULIS.AMORTI PR 1/2COL.H130</v>
      </c>
      <c r="P69" s="505"/>
      <c r="Q69" s="505"/>
      <c r="R69" s="506"/>
      <c r="S69" s="301">
        <f ca="1">VLOOKUP(N69,'Base SAP'!A:F,6,FALSE)</f>
        <v>136</v>
      </c>
    </row>
    <row r="70" spans="14:19">
      <c r="N70" s="51"/>
      <c r="O70" s="504" t="e">
        <f ca="1">VLOOKUP(N70,'Base SAP'!A:F,2,FALSE)</f>
        <v>#N/A</v>
      </c>
      <c r="P70" s="505"/>
      <c r="Q70" s="505"/>
      <c r="R70" s="506"/>
      <c r="S70" s="301" t="e">
        <f ca="1">VLOOKUP(N70,'Base SAP'!A:F,6,FALSE)</f>
        <v>#N/A</v>
      </c>
    </row>
    <row r="71" spans="14:19">
      <c r="N71" s="51"/>
      <c r="O71" s="504" t="e">
        <f ca="1">VLOOKUP(N71,'Base SAP'!A:F,2,FALSE)</f>
        <v>#N/A</v>
      </c>
      <c r="P71" s="505"/>
      <c r="Q71" s="505"/>
      <c r="R71" s="506"/>
      <c r="S71" s="301" t="e">
        <f ca="1">VLOOKUP(N71,'Base SAP'!A:F,6,FALSE)</f>
        <v>#N/A</v>
      </c>
    </row>
    <row r="72" spans="14:19">
      <c r="N72" s="51"/>
      <c r="O72" s="504" t="e">
        <f ca="1">VLOOKUP(N72,'Base SAP'!A:F,2,FALSE)</f>
        <v>#N/A</v>
      </c>
      <c r="P72" s="505"/>
      <c r="Q72" s="505"/>
      <c r="R72" s="506"/>
      <c r="S72" s="301" t="e">
        <f ca="1">VLOOKUP(N72,'Base SAP'!A:F,6,FALSE)</f>
        <v>#N/A</v>
      </c>
    </row>
    <row r="73" spans="14:19">
      <c r="N73" s="51">
        <v>343872</v>
      </c>
      <c r="O73" s="504" t="str">
        <f ca="1">VLOOKUP(N73,'Base SAP'!A:F,2,FALSE)</f>
        <v>RANGEMENT POUR ANGLE DROIT</v>
      </c>
      <c r="P73" s="505"/>
      <c r="Q73" s="505"/>
      <c r="R73" s="506"/>
      <c r="S73" s="301">
        <f ca="1">VLOOKUP(N73,'Base SAP'!A:F,6,FALSE)</f>
        <v>177</v>
      </c>
    </row>
    <row r="74" spans="14:19">
      <c r="N74" s="51">
        <v>343873</v>
      </c>
      <c r="O74" s="504" t="str">
        <f ca="1">VLOOKUP(N74,'Base SAP'!A:F,2,FALSE)</f>
        <v>RANGEMENT POUR ANGLE GAUCHE</v>
      </c>
      <c r="P74" s="505"/>
      <c r="Q74" s="505"/>
      <c r="R74" s="506"/>
      <c r="S74" s="301">
        <f ca="1">VLOOKUP(N74,'Base SAP'!A:F,6,FALSE)</f>
        <v>177</v>
      </c>
    </row>
    <row r="75" spans="14:19">
      <c r="N75" s="51">
        <v>343880</v>
      </c>
      <c r="O75" s="504" t="str">
        <f ca="1">VLOOKUP(N75,'Base SAP'!A:F,2,FALSE)</f>
        <v>RANGEMENT SPACE ANGLE A DROITE</v>
      </c>
      <c r="P75" s="505"/>
      <c r="Q75" s="505"/>
      <c r="R75" s="506"/>
      <c r="S75" s="301">
        <f ca="1">VLOOKUP(N75,'Base SAP'!A:F,6,FALSE)</f>
        <v>207</v>
      </c>
    </row>
    <row r="76" spans="14:19">
      <c r="N76" s="51">
        <v>343881</v>
      </c>
      <c r="O76" s="504" t="str">
        <f ca="1">VLOOKUP(N76,'Base SAP'!A:F,2,FALSE)</f>
        <v>RANGEMENT SPACE ANGLE A GAUCHE</v>
      </c>
      <c r="P76" s="505"/>
      <c r="Q76" s="505"/>
      <c r="R76" s="506"/>
      <c r="S76" s="301">
        <f ca="1">VLOOKUP(N76,'Base SAP'!A:F,6,FALSE)</f>
        <v>207</v>
      </c>
    </row>
    <row r="77" spans="14:19">
      <c r="N77" s="51">
        <v>343607</v>
      </c>
      <c r="O77" s="504" t="str">
        <f ca="1">VLOOKUP(N77,'Base SAP'!A:F,2,FALSE)</f>
        <v>VERIN A GAZ</v>
      </c>
      <c r="P77" s="505"/>
      <c r="Q77" s="505"/>
      <c r="R77" s="506"/>
      <c r="S77" s="301">
        <f ca="1">VLOOKUP(N77,'Base SAP'!A:F,6,FALSE)</f>
        <v>6.55</v>
      </c>
    </row>
    <row r="78" spans="14:19" ht="14.4">
      <c r="N78" s="302">
        <v>342770</v>
      </c>
      <c r="O78" s="504" t="str">
        <f ca="1">VLOOKUP(N78,'Base SAP'!A:F,2,FALSE)</f>
        <v>POIGNEE PROGRESS CHROME BRILLANT</v>
      </c>
      <c r="P78" s="505"/>
      <c r="Q78" s="505"/>
      <c r="R78" s="506"/>
      <c r="S78" s="301">
        <f ca="1">VLOOKUP(N78,'Base SAP'!A:F,6,FALSE)</f>
        <v>3.68</v>
      </c>
    </row>
  </sheetData>
  <sheetCalcPr fullCalcOnLoad="1"/>
  <mergeCells count="51">
    <mergeCell ref="O68:R68"/>
    <mergeCell ref="O69:R69"/>
    <mergeCell ref="O70:R70"/>
    <mergeCell ref="O71:R71"/>
    <mergeCell ref="O78:R78"/>
    <mergeCell ref="O72:R72"/>
    <mergeCell ref="O73:R73"/>
    <mergeCell ref="O74:R74"/>
    <mergeCell ref="O75:R75"/>
    <mergeCell ref="O76:R76"/>
    <mergeCell ref="O77:R77"/>
    <mergeCell ref="O67:R67"/>
    <mergeCell ref="O58:R58"/>
    <mergeCell ref="O59:R59"/>
    <mergeCell ref="O60:R60"/>
    <mergeCell ref="O61:R61"/>
    <mergeCell ref="O62:R62"/>
    <mergeCell ref="O63:R63"/>
    <mergeCell ref="O64:R64"/>
    <mergeCell ref="O65:R65"/>
    <mergeCell ref="O66:R66"/>
    <mergeCell ref="O57:R57"/>
    <mergeCell ref="O48:R48"/>
    <mergeCell ref="O49:R49"/>
    <mergeCell ref="O50:R50"/>
    <mergeCell ref="O51:R51"/>
    <mergeCell ref="O52:R52"/>
    <mergeCell ref="O53:R53"/>
    <mergeCell ref="O54:R54"/>
    <mergeCell ref="O55:R55"/>
    <mergeCell ref="O56:R56"/>
    <mergeCell ref="AM4:AN4"/>
    <mergeCell ref="AA4:AB4"/>
    <mergeCell ref="AC4:AD4"/>
    <mergeCell ref="AE4:AF4"/>
    <mergeCell ref="AG4:AH4"/>
    <mergeCell ref="AI4:AJ4"/>
    <mergeCell ref="AK4:AL4"/>
    <mergeCell ref="C2:D3"/>
    <mergeCell ref="E4:F4"/>
    <mergeCell ref="G4:H4"/>
    <mergeCell ref="I4:J4"/>
    <mergeCell ref="M4:N4"/>
    <mergeCell ref="O4:P4"/>
    <mergeCell ref="Y4:Z4"/>
    <mergeCell ref="O47:R47"/>
    <mergeCell ref="K4:L4"/>
    <mergeCell ref="S4:T4"/>
    <mergeCell ref="U4:V4"/>
    <mergeCell ref="W4:X4"/>
    <mergeCell ref="Q4:R4"/>
  </mergeCells>
  <phoneticPr fontId="2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/>
  <dimension ref="A8:V47"/>
  <sheetViews>
    <sheetView zoomScale="55" workbookViewId="0">
      <selection activeCell="R19" sqref="R19"/>
    </sheetView>
  </sheetViews>
  <sheetFormatPr baseColWidth="10" defaultRowHeight="13.2"/>
  <cols>
    <col min="2" max="2" width="7" bestFit="1" customWidth="1"/>
    <col min="3" max="3" width="46" customWidth="1"/>
    <col min="4" max="4" width="9.33203125" customWidth="1"/>
    <col min="5" max="5" width="3.33203125" customWidth="1"/>
    <col min="6" max="6" width="3" bestFit="1" customWidth="1"/>
    <col min="7" max="7" width="7" bestFit="1" customWidth="1"/>
    <col min="8" max="8" width="45" bestFit="1" customWidth="1"/>
    <col min="9" max="9" width="8.33203125" bestFit="1" customWidth="1"/>
    <col min="10" max="10" width="2.109375" customWidth="1"/>
    <col min="11" max="11" width="3" bestFit="1" customWidth="1"/>
    <col min="12" max="12" width="7" bestFit="1" customWidth="1"/>
    <col min="13" max="13" width="46" bestFit="1" customWidth="1"/>
    <col min="14" max="14" width="8.33203125" bestFit="1" customWidth="1"/>
    <col min="15" max="15" width="2.88671875" customWidth="1"/>
    <col min="16" max="16" width="4.33203125" customWidth="1"/>
    <col min="18" max="18" width="47.5546875" customWidth="1"/>
    <col min="19" max="19" width="13.109375" customWidth="1"/>
    <col min="21" max="21" width="42.88671875" customWidth="1"/>
  </cols>
  <sheetData>
    <row r="8" spans="1:22">
      <c r="A8" s="2">
        <v>1</v>
      </c>
      <c r="B8" s="1"/>
      <c r="C8" s="101" t="s">
        <v>1348</v>
      </c>
      <c r="D8" s="2">
        <v>0</v>
      </c>
      <c r="F8" s="3">
        <v>1</v>
      </c>
      <c r="G8" s="1"/>
      <c r="H8" s="86" t="s">
        <v>1349</v>
      </c>
      <c r="I8" s="2">
        <v>0</v>
      </c>
      <c r="K8" s="2">
        <v>1</v>
      </c>
      <c r="M8" s="86" t="s">
        <v>1351</v>
      </c>
      <c r="N8">
        <v>0</v>
      </c>
      <c r="R8" s="303" t="s">
        <v>1380</v>
      </c>
      <c r="U8" s="303" t="s">
        <v>213</v>
      </c>
      <c r="V8">
        <v>0</v>
      </c>
    </row>
    <row r="9" spans="1:22">
      <c r="A9" s="2">
        <v>2</v>
      </c>
      <c r="B9">
        <v>345789</v>
      </c>
      <c r="C9" s="50" t="str">
        <f ca="1">VLOOKUP(B9,'Base SAP'!A:F,2,FALSE)</f>
        <v>PL.TRAV. 1830X600X28 BLANC</v>
      </c>
      <c r="D9" s="258">
        <f ca="1">VLOOKUP(B9,'Base SAP'!A:F,6,FALSE)</f>
        <v>15.5</v>
      </c>
      <c r="F9" s="3">
        <v>2</v>
      </c>
      <c r="G9">
        <v>345883</v>
      </c>
      <c r="H9" s="50" t="str">
        <f ca="1">VLOOKUP(G9,'Base SAP'!A:F,2,FALSE)</f>
        <v>CRED. 3000X630X9 BETON CIRE/BLANC</v>
      </c>
      <c r="I9" s="258">
        <f ca="1">VLOOKUP(G9,'Base SAP'!A:F,6,FALSE)</f>
        <v>86.9</v>
      </c>
      <c r="K9" s="2">
        <v>2</v>
      </c>
      <c r="L9">
        <v>345754</v>
      </c>
      <c r="M9" s="50" t="str">
        <f ca="1">VLOOKUP(L9,'Base SAP'!A:F,2,FALSE)</f>
        <v>BANDE DE CHANT 45X650 2PC CHENE CLAIR</v>
      </c>
      <c r="N9" s="258">
        <f ca="1">VLOOKUP(L9,'Base SAP'!A:F,6,FALSE)</f>
        <v>7</v>
      </c>
      <c r="Q9">
        <v>343411</v>
      </c>
      <c r="R9" t="s">
        <v>1563</v>
      </c>
      <c r="S9" s="341">
        <f ca="1">VLOOKUP(Q9,'Base SAP'!A:F,6,FALSE)</f>
        <v>4.2</v>
      </c>
      <c r="T9">
        <v>343185</v>
      </c>
      <c r="U9" t="s">
        <v>1606</v>
      </c>
      <c r="V9" s="341">
        <f ca="1">VLOOKUP(T9,'Base SAP'!A:F,6,FALSE)</f>
        <v>13.5</v>
      </c>
    </row>
    <row r="10" spans="1:22">
      <c r="A10" s="2">
        <v>3</v>
      </c>
      <c r="B10">
        <v>345790</v>
      </c>
      <c r="C10" s="50" t="str">
        <f ca="1">VLOOKUP(B10,'Base SAP'!A:F,2,FALSE)</f>
        <v>PL.TRAV. 1830X600X28 PIERRE GRIS CLAIR</v>
      </c>
      <c r="D10" s="258">
        <f ca="1">VLOOKUP(B10,'Base SAP'!A:F,6,FALSE)</f>
        <v>15.5</v>
      </c>
      <c r="F10" s="3">
        <v>3</v>
      </c>
      <c r="G10">
        <v>346102</v>
      </c>
      <c r="H10" s="50" t="str">
        <f ca="1">VLOOKUP(G10,'Base SAP'!A:F,2,FALSE)</f>
        <v>CRED.3000X630X9 CHENE CLAIR/NOIR</v>
      </c>
      <c r="I10" s="258">
        <f ca="1">VLOOKUP(G10,'Base SAP'!A:F,6,FALSE)</f>
        <v>95.9</v>
      </c>
      <c r="K10" s="2">
        <v>3</v>
      </c>
      <c r="L10">
        <v>345755</v>
      </c>
      <c r="M10" s="50" t="str">
        <f ca="1">VLOOKUP(L10,'Base SAP'!A:F,2,FALSE)</f>
        <v>BANDES DE CHANT 2PCES 3.5X65CM BLANCHES</v>
      </c>
      <c r="N10" s="258">
        <f ca="1">VLOOKUP(L10,'Base SAP'!A:F,6,FALSE)</f>
        <v>4.99</v>
      </c>
      <c r="Q10">
        <v>343416</v>
      </c>
      <c r="R10" t="s">
        <v>1813</v>
      </c>
      <c r="S10" s="341">
        <f ca="1">VLOOKUP(Q10,'Base SAP'!A:F,6,FALSE)</f>
        <v>8.9499999999999993</v>
      </c>
      <c r="T10">
        <v>343186</v>
      </c>
      <c r="U10" t="s">
        <v>1110</v>
      </c>
      <c r="V10" s="341">
        <f ca="1">VLOOKUP(T10,'Base SAP'!A:F,6,FALSE)</f>
        <v>16.5</v>
      </c>
    </row>
    <row r="11" spans="1:22">
      <c r="A11" s="2">
        <v>4</v>
      </c>
      <c r="B11">
        <v>345791</v>
      </c>
      <c r="C11" s="50" t="str">
        <f ca="1">VLOOKUP(B11,'Base SAP'!A:F,2,FALSE)</f>
        <v>PL.TRAV. 1830X600X28 CIMENT GRIS FONCE</v>
      </c>
      <c r="D11" s="258">
        <f ca="1">VLOOKUP(B11,'Base SAP'!A:F,6,FALSE)</f>
        <v>15.5</v>
      </c>
      <c r="F11" s="3">
        <v>4</v>
      </c>
      <c r="G11">
        <v>346103</v>
      </c>
      <c r="H11" s="50" t="str">
        <f ca="1">VLOOKUP(G11,'Base SAP'!A:F,2,FALSE)</f>
        <v>CRED.3000X630X9MM DEC.MIKA /BLC BRILLANT</v>
      </c>
      <c r="I11" s="258">
        <f ca="1">VLOOKUP(G11,'Base SAP'!A:F,6,FALSE)</f>
        <v>95.9</v>
      </c>
      <c r="K11" s="2">
        <v>4</v>
      </c>
      <c r="L11">
        <v>345756</v>
      </c>
      <c r="M11" s="50" t="str">
        <f ca="1">VLOOKUP(L11,'Base SAP'!A:F,2,FALSE)</f>
        <v>BANDES DE CHANT 2PCES 3.5X65CM BET.CLAIR</v>
      </c>
      <c r="N11" s="258">
        <f ca="1">VLOOKUP(L11,'Base SAP'!A:F,6,FALSE)</f>
        <v>4.99</v>
      </c>
      <c r="Q11">
        <v>343417</v>
      </c>
      <c r="R11" t="s">
        <v>1814</v>
      </c>
      <c r="S11" s="341">
        <f ca="1">VLOOKUP(Q11,'Base SAP'!A:F,6,FALSE)</f>
        <v>8.6</v>
      </c>
      <c r="T11">
        <v>343187</v>
      </c>
      <c r="U11" t="s">
        <v>1111</v>
      </c>
      <c r="V11" s="341">
        <f ca="1">VLOOKUP(T11,'Base SAP'!A:F,6,FALSE)</f>
        <v>22.5</v>
      </c>
    </row>
    <row r="12" spans="1:22">
      <c r="A12" s="3">
        <v>5</v>
      </c>
      <c r="B12">
        <v>345792</v>
      </c>
      <c r="C12" s="50" t="str">
        <f ca="1">VLOOKUP(B12,'Base SAP'!A:F,2,FALSE)</f>
        <v>PL.TRAV. 1830X600X28 PIERRE ANTHRACITE</v>
      </c>
      <c r="D12" s="258">
        <f ca="1">VLOOKUP(B12,'Base SAP'!A:F,6,FALSE)</f>
        <v>15.5</v>
      </c>
      <c r="F12" s="3">
        <v>5</v>
      </c>
      <c r="G12">
        <v>346104</v>
      </c>
      <c r="H12" s="50" t="str">
        <f ca="1">VLOOKUP(G12,'Base SAP'!A:F,2,FALSE)</f>
        <v>CRED.2440X630X9MM DEC.ARDOISE/BET.CLAIR</v>
      </c>
      <c r="I12" s="258">
        <f ca="1">VLOOKUP(G12,'Base SAP'!A:F,6,FALSE)</f>
        <v>74.900000000000006</v>
      </c>
      <c r="K12" s="2">
        <v>5</v>
      </c>
      <c r="L12">
        <v>345757</v>
      </c>
      <c r="M12" s="50" t="str">
        <f ca="1">VLOOKUP(L12,'Base SAP'!A:F,2,FALSE)</f>
        <v>BANDES CHANT 2PCES 3,5X65CM CH.CENDRÉ</v>
      </c>
      <c r="N12" s="258">
        <f ca="1">VLOOKUP(L12,'Base SAP'!A:F,6,FALSE)</f>
        <v>4.99</v>
      </c>
      <c r="Q12">
        <v>343419</v>
      </c>
      <c r="R12" t="s">
        <v>1816</v>
      </c>
      <c r="S12" s="341">
        <f ca="1">VLOOKUP(Q12,'Base SAP'!A:F,6,FALSE)</f>
        <v>6.95</v>
      </c>
      <c r="T12">
        <v>343235</v>
      </c>
      <c r="U12" t="s">
        <v>727</v>
      </c>
      <c r="V12" s="341">
        <f ca="1">VLOOKUP(T12,'Base SAP'!A:F,6,FALSE)</f>
        <v>15.9</v>
      </c>
    </row>
    <row r="13" spans="1:22">
      <c r="A13" s="3">
        <v>6</v>
      </c>
      <c r="B13">
        <v>345793</v>
      </c>
      <c r="C13" s="50" t="str">
        <f ca="1">VLOOKUP(B13,'Base SAP'!A:F,2,FALSE)</f>
        <v>PL.TRAV.1830X600X28 CHENE CLAIR BLANCHI</v>
      </c>
      <c r="D13" s="258">
        <f ca="1">VLOOKUP(B13,'Base SAP'!A:F,6,FALSE)</f>
        <v>15.5</v>
      </c>
      <c r="F13" s="3">
        <v>6</v>
      </c>
      <c r="G13">
        <v>346105</v>
      </c>
      <c r="H13" s="50" t="str">
        <f ca="1">VLOOKUP(G13,'Base SAP'!A:F,2,FALSE)</f>
        <v>CRED.2440X630X9MM DEC.CH.CENDRE /BLANC</v>
      </c>
      <c r="I13" s="258">
        <f ca="1">VLOOKUP(G13,'Base SAP'!A:F,6,FALSE)</f>
        <v>74.900000000000006</v>
      </c>
      <c r="K13" s="2">
        <v>6</v>
      </c>
      <c r="L13">
        <v>345758</v>
      </c>
      <c r="M13" s="50" t="str">
        <f ca="1">VLOOKUP(L13,'Base SAP'!A:F,2,FALSE)</f>
        <v>BANDES CHANT 2PCES 3,5X65CM PIERRE NAT.</v>
      </c>
      <c r="N13" s="258">
        <f ca="1">VLOOKUP(L13,'Base SAP'!A:F,6,FALSE)</f>
        <v>4.99</v>
      </c>
      <c r="Q13">
        <v>343420</v>
      </c>
      <c r="R13" t="s">
        <v>1817</v>
      </c>
      <c r="S13" s="341">
        <f ca="1">VLOOKUP(Q13,'Base SAP'!A:F,6,FALSE)</f>
        <v>34</v>
      </c>
      <c r="T13">
        <v>343842</v>
      </c>
      <c r="U13" t="s">
        <v>1112</v>
      </c>
      <c r="V13" s="341">
        <f ca="1">VLOOKUP(T13,'Base SAP'!A:F,6,FALSE)</f>
        <v>25.2</v>
      </c>
    </row>
    <row r="14" spans="1:22">
      <c r="A14" s="2">
        <v>7</v>
      </c>
      <c r="B14">
        <v>345875</v>
      </c>
      <c r="C14" s="50" t="str">
        <f ca="1">VLOOKUP(B14,'Base SAP'!A:F,2,FALSE)</f>
        <v>PL TRAV HYDRO 3000X630X38 BETON CIRE</v>
      </c>
      <c r="D14" s="258">
        <f ca="1">VLOOKUP(B14,'Base SAP'!A:F,6,FALSE)</f>
        <v>77</v>
      </c>
      <c r="F14" s="3">
        <v>7</v>
      </c>
      <c r="G14">
        <v>346106</v>
      </c>
      <c r="H14" s="50" t="str">
        <f ca="1">VLOOKUP(G14,'Base SAP'!A:F,2,FALSE)</f>
        <v>CRED.2440X630X9 DEC.PIERRE NAT./BLC BRIL</v>
      </c>
      <c r="I14" s="258">
        <f ca="1">VLOOKUP(G14,'Base SAP'!A:F,6,FALSE)</f>
        <v>74.900000000000006</v>
      </c>
      <c r="K14" s="2">
        <v>7</v>
      </c>
      <c r="L14">
        <v>345759</v>
      </c>
      <c r="M14" s="50" t="str">
        <f ca="1">VLOOKUP(L14,'Base SAP'!A:F,2,FALSE)</f>
        <v>BANDES DE CHANT 2PCES 4,5X65CM MIKA</v>
      </c>
      <c r="N14" s="258">
        <f ca="1">VLOOKUP(L14,'Base SAP'!A:F,6,FALSE)</f>
        <v>7</v>
      </c>
      <c r="Q14">
        <v>343421</v>
      </c>
      <c r="R14" t="s">
        <v>764</v>
      </c>
      <c r="S14" s="341">
        <f ca="1">VLOOKUP(Q14,'Base SAP'!A:F,6,FALSE)</f>
        <v>41.2</v>
      </c>
      <c r="T14">
        <v>343843</v>
      </c>
      <c r="U14" t="s">
        <v>1113</v>
      </c>
      <c r="V14" s="341">
        <f ca="1">VLOOKUP(T14,'Base SAP'!A:F,6,FALSE)</f>
        <v>31.2</v>
      </c>
    </row>
    <row r="15" spans="1:22">
      <c r="A15" s="2">
        <v>8</v>
      </c>
      <c r="B15">
        <v>345905</v>
      </c>
      <c r="C15" s="50" t="str">
        <f ca="1">VLOOKUP(B15,'Base SAP'!A:F,2,FALSE)</f>
        <v>PL.TRAV. A CARR. HYDRO 1850X630X28</v>
      </c>
      <c r="D15" s="258">
        <f ca="1">VLOOKUP(B15,'Base SAP'!A:F,6,FALSE)</f>
        <v>14.7</v>
      </c>
      <c r="F15" s="3">
        <v>8</v>
      </c>
      <c r="G15">
        <v>345887</v>
      </c>
      <c r="H15" s="50" t="str">
        <f ca="1">VLOOKUP(G15,'Base SAP'!A:F,2,FALSE)</f>
        <v>CREDENCE REVETUE INOX 3000X630X9,5</v>
      </c>
      <c r="I15" s="258">
        <f ca="1">VLOOKUP(G15,'Base SAP'!A:F,6,FALSE)</f>
        <v>96.1</v>
      </c>
      <c r="K15" s="2">
        <v>8</v>
      </c>
      <c r="L15">
        <v>345760</v>
      </c>
      <c r="M15" s="50" t="str">
        <f ca="1">VLOOKUP(L15,'Base SAP'!A:F,2,FALSE)</f>
        <v>BANDE DE CHANT 31X1300  BLANC</v>
      </c>
      <c r="N15" s="258">
        <f ca="1">VLOOKUP(L15,'Base SAP'!A:F,6,FALSE)</f>
        <v>4.0999999999999996</v>
      </c>
      <c r="Q15">
        <v>343426</v>
      </c>
      <c r="R15" t="s">
        <v>1821</v>
      </c>
      <c r="S15" s="341">
        <f ca="1">VLOOKUP(Q15,'Base SAP'!A:F,6,FALSE)</f>
        <v>41.2</v>
      </c>
      <c r="T15">
        <v>343844</v>
      </c>
      <c r="U15" t="s">
        <v>1114</v>
      </c>
      <c r="V15" s="341">
        <f ca="1">VLOOKUP(T15,'Base SAP'!A:F,6,FALSE)</f>
        <v>42.2</v>
      </c>
    </row>
    <row r="16" spans="1:22">
      <c r="A16" s="2">
        <v>9</v>
      </c>
      <c r="B16">
        <v>345986</v>
      </c>
      <c r="C16" s="50" t="str">
        <f ca="1">VLOOKUP(B16,'Base SAP'!A:F,2,FALSE)</f>
        <v>PL TRAV HYDRO 3000X630X38 CHENE CLAIR</v>
      </c>
      <c r="D16" s="258">
        <f ca="1">VLOOKUP(B16,'Base SAP'!A:F,6,FALSE)</f>
        <v>90</v>
      </c>
      <c r="F16" s="3">
        <v>9</v>
      </c>
      <c r="G16">
        <v>345990</v>
      </c>
      <c r="H16" s="50" t="str">
        <f ca="1">VLOOKUP(G16,'Base SAP'!A:F,2,FALSE)</f>
        <v>CREDENCE EN VERRE 60X70 BLANC SATIN</v>
      </c>
      <c r="I16" s="258">
        <f ca="1">VLOOKUP(G16,'Base SAP'!A:F,6,FALSE)</f>
        <v>28.9</v>
      </c>
      <c r="K16" s="2">
        <v>9</v>
      </c>
      <c r="L16">
        <v>345761</v>
      </c>
      <c r="M16" s="50" t="str">
        <f ca="1">VLOOKUP(L16,'Base SAP'!A:F,2,FALSE)</f>
        <v>BANDE DE CHANT 31X1300 PIERRE GRIS</v>
      </c>
      <c r="N16" s="258">
        <f ca="1">VLOOKUP(L16,'Base SAP'!A:F,6,FALSE)</f>
        <v>4.0999999999999996</v>
      </c>
      <c r="Q16">
        <v>343457</v>
      </c>
      <c r="R16" t="s">
        <v>1822</v>
      </c>
      <c r="S16" s="341">
        <f ca="1">VLOOKUP(Q16,'Base SAP'!A:F,6,FALSE)</f>
        <v>40.5</v>
      </c>
      <c r="T16">
        <v>343846</v>
      </c>
      <c r="U16" t="s">
        <v>1115</v>
      </c>
      <c r="V16" s="341">
        <f ca="1">VLOOKUP(T16,'Base SAP'!A:F,6,FALSE)</f>
        <v>38.9</v>
      </c>
    </row>
    <row r="17" spans="1:22">
      <c r="A17" s="2">
        <v>10</v>
      </c>
      <c r="B17">
        <v>346003</v>
      </c>
      <c r="C17" s="50" t="str">
        <f ca="1">VLOOKUP(B17,'Base SAP'!A:F,2,FALSE)</f>
        <v>PL.TRAV.HYDRO 3000X630X38 BLC BRILLANT</v>
      </c>
      <c r="D17" s="258">
        <f ca="1">VLOOKUP(B17,'Base SAP'!A:F,6,FALSE)</f>
        <v>99</v>
      </c>
      <c r="F17" s="3">
        <v>10</v>
      </c>
      <c r="G17">
        <v>345991</v>
      </c>
      <c r="H17" s="50" t="str">
        <f ca="1">VLOOKUP(G17,'Base SAP'!A:F,2,FALSE)</f>
        <v>CREDENCE EN VERRE 90X70 BLANC SATIN</v>
      </c>
      <c r="I17" s="258">
        <f ca="1">VLOOKUP(G17,'Base SAP'!A:F,6,FALSE)</f>
        <v>38.9</v>
      </c>
      <c r="K17" s="2">
        <v>10</v>
      </c>
      <c r="L17">
        <v>345762</v>
      </c>
      <c r="M17" s="50" t="str">
        <f ca="1">VLOOKUP(L17,'Base SAP'!A:F,2,FALSE)</f>
        <v>BANDE DE CHANT 31X1300 CIMENT GRIS</v>
      </c>
      <c r="N17" s="258">
        <f ca="1">VLOOKUP(L17,'Base SAP'!A:F,6,FALSE)</f>
        <v>4.0999999999999996</v>
      </c>
      <c r="Q17">
        <v>343480</v>
      </c>
      <c r="R17" t="s">
        <v>1823</v>
      </c>
      <c r="S17" s="341">
        <f ca="1">VLOOKUP(Q17,'Base SAP'!A:F,6,FALSE)</f>
        <v>11.5</v>
      </c>
      <c r="T17">
        <v>343847</v>
      </c>
      <c r="U17" t="s">
        <v>1116</v>
      </c>
      <c r="V17" s="341">
        <f ca="1">VLOOKUP(T17,'Base SAP'!A:F,6,FALSE)</f>
        <v>45.2</v>
      </c>
    </row>
    <row r="18" spans="1:22">
      <c r="A18" s="2">
        <v>11</v>
      </c>
      <c r="B18">
        <v>346030</v>
      </c>
      <c r="C18" s="50" t="str">
        <f ca="1">VLOOKUP(B18,'Base SAP'!A:F,2,FALSE)</f>
        <v>PL.TRAV.HYDRO 2440X63X28 DEC.BETON CLAIR</v>
      </c>
      <c r="D18" s="258">
        <f ca="1">VLOOKUP(B18,'Base SAP'!A:F,6,FALSE)</f>
        <v>42.9</v>
      </c>
      <c r="F18" s="3">
        <v>11</v>
      </c>
      <c r="G18">
        <v>345995</v>
      </c>
      <c r="H18" s="50" t="str">
        <f ca="1">VLOOKUP(G18,'Base SAP'!A:F,2,FALSE)</f>
        <v>CREDENCE EN VERRE 60X70 GRISE</v>
      </c>
      <c r="I18" s="258">
        <f ca="1">VLOOKUP(G18,'Base SAP'!A:F,6,FALSE)</f>
        <v>28.9</v>
      </c>
      <c r="K18" s="2">
        <v>11</v>
      </c>
      <c r="L18">
        <v>345763</v>
      </c>
      <c r="M18" s="50" t="str">
        <f ca="1">VLOOKUP(L18,'Base SAP'!A:F,2,FALSE)</f>
        <v>BANDE CHANT 31X1300 PIERRE  ANTHRACITE</v>
      </c>
      <c r="N18" s="258">
        <f ca="1">VLOOKUP(L18,'Base SAP'!A:F,6,FALSE)</f>
        <v>4.0999999999999996</v>
      </c>
      <c r="Q18">
        <v>343606</v>
      </c>
      <c r="R18" t="s">
        <v>1826</v>
      </c>
      <c r="S18" s="341">
        <f ca="1">VLOOKUP(Q18,'Base SAP'!A:F,6,FALSE)</f>
        <v>6.95</v>
      </c>
      <c r="T18">
        <v>343848</v>
      </c>
      <c r="U18" t="s">
        <v>1117</v>
      </c>
      <c r="V18" s="341">
        <f ca="1">VLOOKUP(T18,'Base SAP'!A:F,6,FALSE)</f>
        <v>37.5</v>
      </c>
    </row>
    <row r="19" spans="1:22">
      <c r="A19" s="3">
        <v>12</v>
      </c>
      <c r="B19">
        <v>346031</v>
      </c>
      <c r="C19" s="50" t="str">
        <f ca="1">VLOOKUP(B19,'Base SAP'!A:F,2,FALSE)</f>
        <v>PL.TRAV.HYDRO 2440X63X28 BLANC</v>
      </c>
      <c r="D19" s="258">
        <f ca="1">VLOOKUP(B19,'Base SAP'!A:F,6,FALSE)</f>
        <v>42.9</v>
      </c>
      <c r="F19" s="3">
        <v>12</v>
      </c>
      <c r="G19">
        <v>345996</v>
      </c>
      <c r="H19" s="50" t="str">
        <f ca="1">VLOOKUP(G19,'Base SAP'!A:F,2,FALSE)</f>
        <v>CREDENCE EN VERRE 90X70 GRISE</v>
      </c>
      <c r="I19" s="258">
        <f ca="1">VLOOKUP(G19,'Base SAP'!A:F,6,FALSE)</f>
        <v>38.9</v>
      </c>
      <c r="K19" s="2">
        <v>12</v>
      </c>
      <c r="L19">
        <v>345764</v>
      </c>
      <c r="M19" s="50" t="str">
        <f ca="1">VLOOKUP(L19,'Base SAP'!A:F,2,FALSE)</f>
        <v>BANDE CHANT 31X1300 CH.CLAIR BLANCHI</v>
      </c>
      <c r="N19" s="258">
        <f ca="1">VLOOKUP(L19,'Base SAP'!A:F,6,FALSE)</f>
        <v>4.0999999999999996</v>
      </c>
      <c r="Q19">
        <v>343607</v>
      </c>
      <c r="R19" t="s">
        <v>1480</v>
      </c>
      <c r="S19" s="341">
        <f ca="1">VLOOKUP(Q19,'Base SAP'!A:F,6,FALSE)</f>
        <v>6.55</v>
      </c>
      <c r="T19">
        <v>343849</v>
      </c>
      <c r="U19" t="s">
        <v>1118</v>
      </c>
      <c r="V19" s="341">
        <f ca="1">VLOOKUP(T19,'Base SAP'!A:F,6,FALSE)</f>
        <v>42.5</v>
      </c>
    </row>
    <row r="20" spans="1:22">
      <c r="A20" s="3">
        <v>13</v>
      </c>
      <c r="B20">
        <v>346032</v>
      </c>
      <c r="C20" s="50" t="str">
        <f ca="1">VLOOKUP(B20,'Base SAP'!A:F,2,FALSE)</f>
        <v>PL.TRAV.HYDRO 2440X63X28 DEC.PIERRE NAT.</v>
      </c>
      <c r="D20" s="258">
        <f ca="1">VLOOKUP(B20,'Base SAP'!A:F,6,FALSE)</f>
        <v>42.9</v>
      </c>
      <c r="F20" s="3">
        <v>13</v>
      </c>
      <c r="G20">
        <v>345997</v>
      </c>
      <c r="H20" s="50" t="str">
        <f ca="1">VLOOKUP(G20,'Base SAP'!A:F,2,FALSE)</f>
        <v>CREDENCE EN VERRE 60X70 NOIRE</v>
      </c>
      <c r="I20" s="258">
        <f ca="1">VLOOKUP(G20,'Base SAP'!A:F,6,FALSE)</f>
        <v>28.9</v>
      </c>
      <c r="K20" s="2">
        <v>13</v>
      </c>
      <c r="L20">
        <v>345765</v>
      </c>
      <c r="M20" s="50" t="str">
        <f ca="1">VLOOKUP(L20,'Base SAP'!A:F,2,FALSE)</f>
        <v>BANDE DE CHANT 2 PCES 43X70 BLC BRILLANT</v>
      </c>
      <c r="N20" s="258">
        <f ca="1">VLOOKUP(L20,'Base SAP'!A:F,6,FALSE)</f>
        <v>7</v>
      </c>
      <c r="Q20">
        <v>343608</v>
      </c>
      <c r="R20" t="s">
        <v>1481</v>
      </c>
      <c r="S20" s="341">
        <f ca="1">VLOOKUP(Q20,'Base SAP'!A:F,6,FALSE)</f>
        <v>8.5500000000000007</v>
      </c>
      <c r="T20">
        <v>343853</v>
      </c>
      <c r="U20" t="s">
        <v>1119</v>
      </c>
      <c r="V20" s="341">
        <f ca="1">VLOOKUP(T20,'Base SAP'!A:F,6,FALSE)</f>
        <v>35.200000000000003</v>
      </c>
    </row>
    <row r="21" spans="1:22">
      <c r="A21" s="2">
        <v>14</v>
      </c>
      <c r="B21">
        <v>346033</v>
      </c>
      <c r="C21" s="50" t="str">
        <f ca="1">VLOOKUP(B21,'Base SAP'!A:F,2,FALSE)</f>
        <v>PL.TRAV.HYDRO 2440X63X28 DEC.CHEN.CENDRE</v>
      </c>
      <c r="D21" s="258">
        <f ca="1">VLOOKUP(B21,'Base SAP'!A:F,6,FALSE)</f>
        <v>42.9</v>
      </c>
      <c r="F21" s="3">
        <v>14</v>
      </c>
      <c r="G21">
        <v>345998</v>
      </c>
      <c r="H21" s="50" t="str">
        <f ca="1">VLOOKUP(G21,'Base SAP'!A:F,2,FALSE)</f>
        <v>CREDENCE EN VERRE 90X70 NOIRE</v>
      </c>
      <c r="I21" s="258">
        <f ca="1">VLOOKUP(G21,'Base SAP'!A:F,6,FALSE)</f>
        <v>38.9</v>
      </c>
      <c r="K21" s="2">
        <v>14</v>
      </c>
      <c r="L21">
        <v>345796</v>
      </c>
      <c r="M21" s="50" t="str">
        <f ca="1">VLOOKUP(L21,'Base SAP'!A:F,2,FALSE)</f>
        <v>BANDE DE CHANT 2PCES 45X650 ARDOISE</v>
      </c>
      <c r="N21" s="258">
        <f ca="1">VLOOKUP(L21,'Base SAP'!A:F,6,FALSE)</f>
        <v>4.99</v>
      </c>
      <c r="Q21">
        <v>343680</v>
      </c>
      <c r="R21" t="s">
        <v>1827</v>
      </c>
      <c r="S21" s="341">
        <f ca="1">VLOOKUP(Q21,'Base SAP'!A:F,6,FALSE)</f>
        <v>41.2</v>
      </c>
    </row>
    <row r="22" spans="1:22">
      <c r="A22" s="2">
        <v>15</v>
      </c>
      <c r="B22">
        <v>346034</v>
      </c>
      <c r="C22" s="50" t="str">
        <f ca="1">VLOOKUP(B22,'Base SAP'!A:F,2,FALSE)</f>
        <v>PL. TRAV.HYDRO 2440X630X28 DEC.ARDOISE</v>
      </c>
      <c r="D22" s="258">
        <f ca="1">VLOOKUP(B22,'Base SAP'!A:F,6,FALSE)</f>
        <v>42.9</v>
      </c>
      <c r="F22" s="3">
        <v>15</v>
      </c>
      <c r="G22">
        <v>345999</v>
      </c>
      <c r="H22" s="50" t="str">
        <f ca="1">VLOOKUP(G22,'Base SAP'!A:F,2,FALSE)</f>
        <v>CREDENCE EN VERRE 60X70 ROUGE</v>
      </c>
      <c r="I22" s="258">
        <f ca="1">VLOOKUP(G22,'Base SAP'!A:F,6,FALSE)</f>
        <v>28.9</v>
      </c>
      <c r="K22" s="2">
        <v>15</v>
      </c>
      <c r="L22">
        <v>345802</v>
      </c>
      <c r="M22" s="50" t="str">
        <f ca="1">VLOOKUP(L22,'Base SAP'!A:F,2,FALSE)</f>
        <v>BANDE DE CHANT 45X650 2PC BETON CIRE</v>
      </c>
      <c r="N22" s="258">
        <f ca="1">VLOOKUP(L22,'Base SAP'!A:F,6,FALSE)</f>
        <v>7</v>
      </c>
      <c r="Q22">
        <v>343685</v>
      </c>
      <c r="R22" t="s">
        <v>1779</v>
      </c>
      <c r="S22" s="341">
        <f ca="1">VLOOKUP(Q22,'Base SAP'!A:F,6,FALSE)</f>
        <v>41.2</v>
      </c>
    </row>
    <row r="23" spans="1:22">
      <c r="A23" s="2">
        <v>16</v>
      </c>
      <c r="B23">
        <v>346050</v>
      </c>
      <c r="C23" s="50" t="str">
        <f ca="1">VLOOKUP(B23,'Base SAP'!A:F,2,FALSE)</f>
        <v>PL.TRAV.HYDRO 3000X630X38 DECOR MIKA</v>
      </c>
      <c r="D23" s="258">
        <f ca="1">VLOOKUP(B23,'Base SAP'!A:F,6,FALSE)</f>
        <v>90</v>
      </c>
      <c r="F23" s="3">
        <v>16</v>
      </c>
      <c r="G23">
        <v>346000</v>
      </c>
      <c r="H23" s="50" t="str">
        <f ca="1">VLOOKUP(G23,'Base SAP'!A:F,2,FALSE)</f>
        <v>CREDENCE EN VERRE 90X70 ROUGE</v>
      </c>
      <c r="I23" s="258">
        <f ca="1">VLOOKUP(G23,'Base SAP'!A:F,6,FALSE)</f>
        <v>38.9</v>
      </c>
      <c r="K23" s="2">
        <v>16</v>
      </c>
      <c r="L23">
        <v>346170</v>
      </c>
      <c r="M23" s="50" t="str">
        <f ca="1">VLOOKUP(L23,'Base SAP'!A:F,2,FALSE)</f>
        <v>BANDE DE CHANT 31X1300 DEC.BETON</v>
      </c>
      <c r="N23" s="258">
        <f ca="1">VLOOKUP(L23,'Base SAP'!A:F,6,FALSE)</f>
        <v>4.0999999999999996</v>
      </c>
      <c r="Q23">
        <v>343686</v>
      </c>
      <c r="R23" t="s">
        <v>1780</v>
      </c>
      <c r="S23" s="341">
        <f ca="1">VLOOKUP(Q23,'Base SAP'!A:F,6,FALSE)</f>
        <v>41.2</v>
      </c>
    </row>
    <row r="24" spans="1:22">
      <c r="A24" s="2">
        <v>17</v>
      </c>
      <c r="B24">
        <v>346131</v>
      </c>
      <c r="C24" s="50" t="str">
        <f ca="1">VLOOKUP(B24,'Base SAP'!A:F,2,FALSE)</f>
        <v>PL.SNACK HYDRO 2000X400X38DEC.BETON CIRE</v>
      </c>
      <c r="D24" s="258">
        <f ca="1">VLOOKUP(B24,'Base SAP'!A:F,6,FALSE)</f>
        <v>69</v>
      </c>
      <c r="F24" s="3">
        <v>17</v>
      </c>
      <c r="G24">
        <v>346010</v>
      </c>
      <c r="H24" s="50" t="str">
        <f ca="1">VLOOKUP(G24,'Base SAP'!A:F,2,FALSE)</f>
        <v>CREDENCE EN VERRE 60X70 TURQUOISE</v>
      </c>
      <c r="I24" s="258">
        <f ca="1">VLOOKUP(G24,'Base SAP'!A:F,6,FALSE)</f>
        <v>28.9</v>
      </c>
      <c r="K24" s="2">
        <v>17</v>
      </c>
      <c r="L24">
        <v>346171</v>
      </c>
      <c r="M24" s="50" t="str">
        <f ca="1">VLOOKUP(L24,'Base SAP'!A:F,2,FALSE)</f>
        <v>BANDE DE CHANT 31X300 DEC.HETRE</v>
      </c>
      <c r="N24" s="258">
        <f ca="1">VLOOKUP(L24,'Base SAP'!A:F,6,FALSE)</f>
        <v>4.0999999999999996</v>
      </c>
      <c r="Q24">
        <v>343689</v>
      </c>
      <c r="R24" t="s">
        <v>1939</v>
      </c>
      <c r="S24" s="341">
        <f ca="1">VLOOKUP(Q24,'Base SAP'!A:F,6,FALSE)</f>
        <v>41.2</v>
      </c>
    </row>
    <row r="25" spans="1:22">
      <c r="A25" s="2">
        <v>18</v>
      </c>
      <c r="B25">
        <v>346132</v>
      </c>
      <c r="C25" s="50" t="str">
        <f ca="1">VLOOKUP(B25,'Base SAP'!A:F,2,FALSE)</f>
        <v>PLAN ILOT HYDRO 1260X940X38MM BETON CIRE</v>
      </c>
      <c r="D25" s="258">
        <f ca="1">VLOOKUP(B25,'Base SAP'!A:F,6,FALSE)</f>
        <v>129</v>
      </c>
      <c r="F25" s="3">
        <v>18</v>
      </c>
      <c r="G25">
        <v>346011</v>
      </c>
      <c r="H25" s="50" t="str">
        <f ca="1">VLOOKUP(G25,'Base SAP'!A:F,2,FALSE)</f>
        <v>CREDENCE EN VERRE 90X70 TURQUOISE</v>
      </c>
      <c r="I25" s="258">
        <f ca="1">VLOOKUP(G25,'Base SAP'!A:F,6,FALSE)</f>
        <v>38.9</v>
      </c>
      <c r="K25" s="2">
        <v>18</v>
      </c>
      <c r="L25">
        <v>346172</v>
      </c>
      <c r="M25" s="50" t="str">
        <f ca="1">VLOOKUP(L25,'Base SAP'!A:F,2,FALSE)</f>
        <v>BANDE DE CHANT 31X300 DEC.SABLE</v>
      </c>
      <c r="N25" s="258">
        <f ca="1">VLOOKUP(L25,'Base SAP'!A:F,6,FALSE)</f>
        <v>4.0999999999999996</v>
      </c>
      <c r="Q25">
        <v>343690</v>
      </c>
      <c r="R25" t="s">
        <v>1940</v>
      </c>
      <c r="S25" s="341">
        <f ca="1">VLOOKUP(Q25,'Base SAP'!A:F,6,FALSE)</f>
        <v>41.2</v>
      </c>
    </row>
    <row r="26" spans="1:22">
      <c r="A26" s="2">
        <v>19</v>
      </c>
      <c r="B26">
        <v>346140</v>
      </c>
      <c r="C26" s="50" t="str">
        <f ca="1">VLOOKUP(B26,'Base SAP'!A:F,2,FALSE)</f>
        <v>PL.TRAV.1800X600X28 BLANC</v>
      </c>
      <c r="D26" s="258">
        <f ca="1">VLOOKUP(B26,'Base SAP'!A:F,6,FALSE)</f>
        <v>15.5</v>
      </c>
      <c r="F26" s="3">
        <v>19</v>
      </c>
      <c r="G26">
        <v>346099</v>
      </c>
      <c r="H26" s="50" t="str">
        <f ca="1">VLOOKUP(G26,'Base SAP'!A:F,2,FALSE)</f>
        <v>CREDENCE 3000X630X9 PLAQ.PAREMENT GRIS</v>
      </c>
      <c r="I26" s="258">
        <f ca="1">VLOOKUP(G26,'Base SAP'!A:F,6,FALSE)</f>
        <v>99</v>
      </c>
      <c r="K26" s="2">
        <v>19</v>
      </c>
      <c r="L26">
        <v>345768</v>
      </c>
      <c r="M26" s="50" t="str">
        <f ca="1">VLOOKUP(L26,'Base SAP'!A:F,2,FALSE)</f>
        <v>PROFIL ALU DE FINITION DROIT 2M EP 28MM</v>
      </c>
      <c r="N26" s="258">
        <f ca="1">VLOOKUP(L26,'Base SAP'!A:F,6,FALSE)</f>
        <v>11.9</v>
      </c>
      <c r="Q26">
        <v>343691</v>
      </c>
      <c r="R26" t="s">
        <v>637</v>
      </c>
      <c r="S26" s="341">
        <f ca="1">VLOOKUP(Q26,'Base SAP'!A:F,6,FALSE)</f>
        <v>41.2</v>
      </c>
    </row>
    <row r="27" spans="1:22">
      <c r="A27" s="2">
        <v>20</v>
      </c>
      <c r="B27">
        <v>346141</v>
      </c>
      <c r="C27" s="50" t="str">
        <f ca="1">VLOOKUP(B27,'Base SAP'!A:F,2,FALSE)</f>
        <v>PL.TRAV.1800X600X28 DEC.PIERRE CLAIRE</v>
      </c>
      <c r="D27" s="258">
        <f ca="1">VLOOKUP(B27,'Base SAP'!A:F,6,FALSE)</f>
        <v>15.5</v>
      </c>
      <c r="F27" s="3">
        <v>20</v>
      </c>
      <c r="G27">
        <v>346107</v>
      </c>
      <c r="H27" s="50" t="str">
        <f ca="1">VLOOKUP(G27,'Base SAP'!A:F,2,FALSE)</f>
        <v>CRED.2440X630X9 DEC. ACIER/CASABLANCA</v>
      </c>
      <c r="I27" s="258">
        <f ca="1">VLOOKUP(G27,'Base SAP'!A:F,6,FALSE)</f>
        <v>74.900000000000006</v>
      </c>
      <c r="K27" s="2">
        <v>20</v>
      </c>
      <c r="L27">
        <v>345769</v>
      </c>
      <c r="M27" s="50" t="str">
        <f ca="1">VLOOKUP(L27,'Base SAP'!A:F,2,FALSE)</f>
        <v>PROFIL ALU DE FINITION DROIT 2M EP 38MM</v>
      </c>
      <c r="N27" s="258">
        <f ca="1">VLOOKUP(L27,'Base SAP'!A:F,6,FALSE)</f>
        <v>13.9</v>
      </c>
      <c r="Q27">
        <v>343692</v>
      </c>
      <c r="R27" t="s">
        <v>638</v>
      </c>
      <c r="S27" s="341">
        <f ca="1">VLOOKUP(Q27,'Base SAP'!A:F,6,FALSE)</f>
        <v>35.5</v>
      </c>
    </row>
    <row r="28" spans="1:22">
      <c r="A28" s="2">
        <v>21</v>
      </c>
      <c r="B28">
        <v>346142</v>
      </c>
      <c r="C28" s="50" t="str">
        <f ca="1">VLOOKUP(B28,'Base SAP'!A:F,2,FALSE)</f>
        <v>PL.TRAV.1800X600X28 DEC.BETON</v>
      </c>
      <c r="D28" s="258">
        <f ca="1">VLOOKUP(B28,'Base SAP'!A:F,6,FALSE)</f>
        <v>15.5</v>
      </c>
      <c r="F28" s="3">
        <v>21</v>
      </c>
      <c r="G28">
        <v>345880</v>
      </c>
      <c r="H28" t="s">
        <v>773</v>
      </c>
      <c r="I28" s="258">
        <f ca="1">VLOOKUP(G28,'Base SAP'!A:F,6,FALSE)</f>
        <v>47</v>
      </c>
      <c r="K28" s="2">
        <v>21</v>
      </c>
      <c r="L28">
        <v>345770</v>
      </c>
      <c r="M28" s="50" t="str">
        <f ca="1">VLOOKUP(L28,'Base SAP'!A:F,2,FALSE)</f>
        <v>PROFIL  ALU JONCTION DRT 30MM ALU</v>
      </c>
      <c r="N28" s="258">
        <f ca="1">VLOOKUP(L28,'Base SAP'!A:F,6,FALSE)</f>
        <v>8.9</v>
      </c>
      <c r="Q28">
        <v>343694</v>
      </c>
      <c r="R28" t="s">
        <v>765</v>
      </c>
      <c r="S28" s="341">
        <f ca="1">VLOOKUP(Q28,'Base SAP'!A:F,6,FALSE)</f>
        <v>35</v>
      </c>
    </row>
    <row r="29" spans="1:22">
      <c r="A29" s="2">
        <v>22</v>
      </c>
      <c r="B29">
        <v>346143</v>
      </c>
      <c r="C29" s="50" t="str">
        <f ca="1">VLOOKUP(B29,'Base SAP'!A:F,2,FALSE)</f>
        <v>PL.TRAV.1800X600X28 DEC.HETRE</v>
      </c>
      <c r="D29" s="258">
        <f ca="1">VLOOKUP(B29,'Base SAP'!A:F,6,FALSE)</f>
        <v>15.5</v>
      </c>
      <c r="F29" s="3">
        <v>22</v>
      </c>
      <c r="G29">
        <v>345930</v>
      </c>
      <c r="H29" t="s">
        <v>776</v>
      </c>
      <c r="I29" s="258">
        <f ca="1">VLOOKUP(G29,'Base SAP'!A:F,6,FALSE)</f>
        <v>70</v>
      </c>
      <c r="K29" s="2">
        <v>22</v>
      </c>
      <c r="L29">
        <v>345771</v>
      </c>
      <c r="M29" s="50" t="str">
        <f ca="1">VLOOKUP(L29,'Base SAP'!A:F,2,FALSE)</f>
        <v>PROFIL ALU JONCTION ANGLE 30MM ALU</v>
      </c>
      <c r="N29" s="258">
        <f ca="1">VLOOKUP(L29,'Base SAP'!A:F,6,FALSE)</f>
        <v>8.9</v>
      </c>
      <c r="Q29">
        <v>343763</v>
      </c>
      <c r="R29" t="s">
        <v>242</v>
      </c>
      <c r="S29" s="341">
        <f ca="1">VLOOKUP(Q29,'Base SAP'!A:F,6,FALSE)</f>
        <v>34.9</v>
      </c>
    </row>
    <row r="30" spans="1:22">
      <c r="B30">
        <v>346144</v>
      </c>
      <c r="C30" s="50" t="str">
        <f ca="1">VLOOKUP(B30,'Base SAP'!A:F,2,FALSE)</f>
        <v>PL.TRAV.1800X600X28 DEC.ARDOISE</v>
      </c>
      <c r="D30" s="258">
        <f ca="1">VLOOKUP(B30,'Base SAP'!A:F,6,FALSE)</f>
        <v>15.5</v>
      </c>
      <c r="F30" s="3">
        <v>23</v>
      </c>
      <c r="G30" s="51"/>
      <c r="H30" s="50" t="e">
        <f ca="1">VLOOKUP(G30,'Base SAP'!A:F,2,FALSE)</f>
        <v>#N/A</v>
      </c>
      <c r="I30" s="258" t="e">
        <f ca="1">VLOOKUP(G30,'Base SAP'!A:F,6,FALSE)</f>
        <v>#N/A</v>
      </c>
      <c r="K30" s="2">
        <v>23</v>
      </c>
      <c r="L30">
        <v>345772</v>
      </c>
      <c r="M30" s="50" t="str">
        <f ca="1">VLOOKUP(L30,'Base SAP'!A:F,2,FALSE)</f>
        <v>PROFIL ALU FINITION 30MM ALU</v>
      </c>
      <c r="N30" s="258">
        <f ca="1">VLOOKUP(L30,'Base SAP'!A:F,6,FALSE)</f>
        <v>8.9</v>
      </c>
      <c r="P30" s="17"/>
      <c r="Q30">
        <v>343764</v>
      </c>
      <c r="R30" t="s">
        <v>243</v>
      </c>
      <c r="S30" s="341">
        <f ca="1">VLOOKUP(Q30,'Base SAP'!A:F,6,FALSE)</f>
        <v>54.9</v>
      </c>
    </row>
    <row r="31" spans="1:22">
      <c r="B31">
        <v>346145</v>
      </c>
      <c r="C31" s="50" t="str">
        <f ca="1">VLOOKUP(B31,'Base SAP'!A:F,2,FALSE)</f>
        <v>PL.TRAV.1800X600X28 DEC.SABLE</v>
      </c>
      <c r="D31" s="258">
        <f ca="1">VLOOKUP(B31,'Base SAP'!A:F,6,FALSE)</f>
        <v>15.5</v>
      </c>
      <c r="G31" s="51"/>
      <c r="H31" s="50" t="e">
        <f ca="1">VLOOKUP(G31,'Base SAP'!A:F,2,FALSE)</f>
        <v>#N/A</v>
      </c>
      <c r="I31" s="258" t="e">
        <f ca="1">VLOOKUP(G31,'Base SAP'!A:F,6,FALSE)</f>
        <v>#N/A</v>
      </c>
      <c r="K31" s="2">
        <v>24</v>
      </c>
      <c r="L31">
        <v>345776</v>
      </c>
      <c r="M31" s="50" t="str">
        <f ca="1">VLOOKUP(L31,'Base SAP'!A:F,2,FALSE)</f>
        <v>PROFIL CHANT DRT JONCTION DROIT 40MM ALU</v>
      </c>
      <c r="N31" s="258">
        <f ca="1">VLOOKUP(L31,'Base SAP'!A:F,6,FALSE)</f>
        <v>9.9</v>
      </c>
      <c r="P31" s="17"/>
      <c r="Q31">
        <v>343854</v>
      </c>
      <c r="R31" t="s">
        <v>466</v>
      </c>
      <c r="S31" s="341">
        <f ca="1">VLOOKUP(Q31,'Base SAP'!A:F,6,FALSE)</f>
        <v>15.9</v>
      </c>
    </row>
    <row r="32" spans="1:22">
      <c r="B32">
        <v>346035</v>
      </c>
      <c r="C32" s="50" t="str">
        <f ca="1">VLOOKUP(B32,'Base SAP'!A:F,2,FALSE)</f>
        <v>PL.TRAV.2440X630X28 DEC.ACIER BROSSE</v>
      </c>
      <c r="D32" s="258">
        <f ca="1">VLOOKUP(B32,'Base SAP'!A:F,6,FALSE)</f>
        <v>42.9</v>
      </c>
      <c r="G32" s="296"/>
      <c r="H32" s="50" t="e">
        <f ca="1">VLOOKUP(G32,'Base SAP'!A:F,2,FALSE)</f>
        <v>#N/A</v>
      </c>
      <c r="I32" s="258" t="e">
        <f ca="1">VLOOKUP(G32,'Base SAP'!A:F,6,FALSE)</f>
        <v>#N/A</v>
      </c>
      <c r="K32" s="2">
        <v>25</v>
      </c>
      <c r="L32">
        <v>345777</v>
      </c>
      <c r="M32" s="50" t="str">
        <f ca="1">VLOOKUP(L32,'Base SAP'!A:F,2,FALSE)</f>
        <v>PROFIL CHANT DRT JONCTION ANGLE 40MM ALU</v>
      </c>
      <c r="N32" s="258">
        <f ca="1">VLOOKUP(L32,'Base SAP'!A:F,6,FALSE)</f>
        <v>9.9</v>
      </c>
      <c r="Q32">
        <v>343855</v>
      </c>
      <c r="R32" t="s">
        <v>1482</v>
      </c>
      <c r="S32" s="341">
        <f ca="1">VLOOKUP(Q32,'Base SAP'!A:F,6,FALSE)</f>
        <v>17.100000000000001</v>
      </c>
    </row>
    <row r="33" spans="2:19">
      <c r="B33">
        <v>346051</v>
      </c>
      <c r="C33" s="50" t="str">
        <f ca="1">VLOOKUP(B33,'Base SAP'!A:F,2,FALSE)</f>
        <v>PLAN TRAVAIL 3000X640X38 CHENE MASSIF</v>
      </c>
      <c r="D33" s="258">
        <f ca="1">VLOOKUP(B33,'Base SAP'!A:F,6,FALSE)</f>
        <v>149</v>
      </c>
      <c r="K33" s="2">
        <v>26</v>
      </c>
      <c r="L33">
        <v>345778</v>
      </c>
      <c r="M33" s="50" t="str">
        <f ca="1">VLOOKUP(L33,'Base SAP'!A:F,2,FALSE)</f>
        <v>PROFIL CHANT DRT FINITION 40MM ALU</v>
      </c>
      <c r="N33" s="258">
        <f ca="1">VLOOKUP(L33,'Base SAP'!A:F,6,FALSE)</f>
        <v>9.9</v>
      </c>
      <c r="Q33">
        <v>343860</v>
      </c>
      <c r="R33" t="s">
        <v>1650</v>
      </c>
      <c r="S33" s="341">
        <f ca="1">VLOOKUP(Q33,'Base SAP'!A:F,6,FALSE)</f>
        <v>2.5</v>
      </c>
    </row>
    <row r="34" spans="2:19">
      <c r="B34">
        <v>346052</v>
      </c>
      <c r="C34" s="50" t="str">
        <f ca="1">VLOOKUP(B34,'Base SAP'!A:F,2,FALSE)</f>
        <v>PL.TRAV.HYDRO 3000X630X36 NOIR MAT</v>
      </c>
      <c r="D34" s="258">
        <f ca="1">VLOOKUP(B34,'Base SAP'!A:F,6,FALSE)</f>
        <v>119</v>
      </c>
      <c r="L34">
        <v>345786</v>
      </c>
      <c r="M34" s="50" t="str">
        <f ca="1">VLOOKUP(L34,'Base SAP'!A:F,2,FALSE)</f>
        <v>ACCESSOIRES FINITION PR PROFIF ETANCHEIT</v>
      </c>
      <c r="N34" s="258">
        <f ca="1">VLOOKUP(L34,'Base SAP'!A:F,6,FALSE)</f>
        <v>3.95</v>
      </c>
      <c r="Q34">
        <v>343862</v>
      </c>
      <c r="R34" t="s">
        <v>1652</v>
      </c>
      <c r="S34" s="341">
        <f ca="1">VLOOKUP(Q34,'Base SAP'!A:F,6,FALSE)</f>
        <v>2.99</v>
      </c>
    </row>
    <row r="35" spans="2:19">
      <c r="B35">
        <v>343410</v>
      </c>
      <c r="C35" s="50" t="str">
        <f ca="1">VLOOKUP(B35,'Base SAP'!A:F,2,FALSE)</f>
        <v>PL TRAV MASSIF 2600X640X38MM HETRE</v>
      </c>
      <c r="D35" s="258">
        <f ca="1">VLOOKUP(B35,'Base SAP'!A:F,6,FALSE)</f>
        <v>93</v>
      </c>
      <c r="L35">
        <v>345924</v>
      </c>
      <c r="M35" s="50" t="str">
        <f ca="1">VLOOKUP(L35,'Base SAP'!A:F,2,FALSE)</f>
        <v>PROFIL ALU DE JONCTION DROIT 28MM</v>
      </c>
      <c r="N35" s="258">
        <f ca="1">VLOOKUP(L35,'Base SAP'!A:F,6,FALSE)</f>
        <v>8.9</v>
      </c>
      <c r="Q35">
        <v>343863</v>
      </c>
      <c r="R35" t="s">
        <v>1653</v>
      </c>
      <c r="S35" s="341">
        <f ca="1">VLOOKUP(Q35,'Base SAP'!A:F,6,FALSE)</f>
        <v>3.99</v>
      </c>
    </row>
    <row r="36" spans="2:19">
      <c r="L36">
        <v>345925</v>
      </c>
      <c r="M36" s="50" t="str">
        <f ca="1">VLOOKUP(L36,'Base SAP'!A:F,2,FALSE)</f>
        <v>PROFIL ALU DE JONCTION D'ANGLE 28MM</v>
      </c>
      <c r="N36" s="258">
        <f ca="1">VLOOKUP(L36,'Base SAP'!A:F,6,FALSE)</f>
        <v>8.9</v>
      </c>
      <c r="Q36">
        <v>343867</v>
      </c>
      <c r="R36" t="s">
        <v>1656</v>
      </c>
      <c r="S36" s="341">
        <f ca="1">VLOOKUP(Q36,'Base SAP'!A:F,6,FALSE)</f>
        <v>38.200000000000003</v>
      </c>
    </row>
    <row r="37" spans="2:19">
      <c r="L37">
        <v>345926</v>
      </c>
      <c r="M37" s="50" t="str">
        <f ca="1">VLOOKUP(L37,'Base SAP'!A:F,2,FALSE)</f>
        <v>PROFIL ALU DE FINITION 28MM</v>
      </c>
      <c r="N37" s="258">
        <f ca="1">VLOOKUP(L37,'Base SAP'!A:F,6,FALSE)</f>
        <v>8.9</v>
      </c>
      <c r="Q37">
        <v>343868</v>
      </c>
      <c r="R37" t="s">
        <v>1657</v>
      </c>
      <c r="S37" s="341">
        <f ca="1">VLOOKUP(Q37,'Base SAP'!A:F,6,FALSE)</f>
        <v>30</v>
      </c>
    </row>
    <row r="38" spans="2:19">
      <c r="L38">
        <v>346176</v>
      </c>
      <c r="M38" s="50" t="str">
        <f ca="1">VLOOKUP(L38,'Base SAP'!A:F,2,FALSE)</f>
        <v>BANDES DE CHANT 2 PCES 4,3X65CM NOIR MAT</v>
      </c>
      <c r="N38" s="258">
        <f ca="1">VLOOKUP(L38,'Base SAP'!A:F,6,FALSE)</f>
        <v>7</v>
      </c>
      <c r="Q38">
        <v>343869</v>
      </c>
      <c r="R38" t="s">
        <v>244</v>
      </c>
      <c r="S38" s="341">
        <f ca="1">VLOOKUP(Q38,'Base SAP'!A:F,6,FALSE)</f>
        <v>60.5</v>
      </c>
    </row>
    <row r="39" spans="2:19">
      <c r="L39">
        <v>346177</v>
      </c>
      <c r="M39" s="50" t="str">
        <f ca="1">VLOOKUP(L39,'Base SAP'!A:F,2,FALSE)</f>
        <v>BANDES CHANT 2PCES 4,3X65CM ACIER BROSSE</v>
      </c>
      <c r="N39" s="258">
        <f ca="1">VLOOKUP(L39,'Base SAP'!A:F,6,FALSE)</f>
        <v>4.99</v>
      </c>
      <c r="Q39">
        <v>343872</v>
      </c>
      <c r="R39" t="s">
        <v>1658</v>
      </c>
      <c r="S39" s="341">
        <f ca="1">VLOOKUP(Q39,'Base SAP'!A:F,6,FALSE)</f>
        <v>177</v>
      </c>
    </row>
    <row r="40" spans="2:19">
      <c r="L40" s="51"/>
      <c r="M40" s="50" t="e">
        <f ca="1">VLOOKUP(L40,'Base SAP'!A:F,2,FALSE)</f>
        <v>#N/A</v>
      </c>
      <c r="N40" s="258" t="e">
        <f ca="1">VLOOKUP(L40,'Base SAP'!A:F,6,FALSE)</f>
        <v>#N/A</v>
      </c>
      <c r="Q40">
        <v>343873</v>
      </c>
      <c r="R40" t="s">
        <v>1659</v>
      </c>
      <c r="S40" s="341">
        <f ca="1">VLOOKUP(Q40,'Base SAP'!A:F,6,FALSE)</f>
        <v>177</v>
      </c>
    </row>
    <row r="41" spans="2:19">
      <c r="L41" s="51"/>
      <c r="M41" s="50" t="e">
        <f ca="1">VLOOKUP(L41,'Base SAP'!A:F,2,FALSE)</f>
        <v>#N/A</v>
      </c>
      <c r="N41" s="258" t="e">
        <f ca="1">VLOOKUP(L41,'Base SAP'!A:F,6,FALSE)</f>
        <v>#N/A</v>
      </c>
      <c r="Q41">
        <v>343879</v>
      </c>
      <c r="R41" t="s">
        <v>1663</v>
      </c>
      <c r="S41" s="341">
        <f ca="1">VLOOKUP(Q41,'Base SAP'!A:F,6,FALSE)</f>
        <v>41.9</v>
      </c>
    </row>
    <row r="42" spans="2:19">
      <c r="M42" s="50" t="e">
        <f ca="1">VLOOKUP(L42,'Base SAP'!A:F,2,FALSE)</f>
        <v>#N/A</v>
      </c>
      <c r="N42" s="258" t="e">
        <f ca="1">VLOOKUP(L42,'Base SAP'!A:F,6,FALSE)</f>
        <v>#N/A</v>
      </c>
      <c r="Q42">
        <v>343880</v>
      </c>
      <c r="R42" t="s">
        <v>1941</v>
      </c>
      <c r="S42" s="341">
        <f ca="1">VLOOKUP(Q42,'Base SAP'!A:F,6,FALSE)</f>
        <v>207</v>
      </c>
    </row>
    <row r="43" spans="2:19">
      <c r="M43" s="50" t="e">
        <f ca="1">VLOOKUP(L43,'Base SAP'!A:F,2,FALSE)</f>
        <v>#N/A</v>
      </c>
      <c r="N43" s="258" t="e">
        <f ca="1">VLOOKUP(L43,'Base SAP'!A:F,6,FALSE)</f>
        <v>#N/A</v>
      </c>
      <c r="Q43">
        <v>343881</v>
      </c>
      <c r="R43" t="s">
        <v>1942</v>
      </c>
      <c r="S43" s="341">
        <f ca="1">VLOOKUP(Q43,'Base SAP'!A:F,6,FALSE)</f>
        <v>207</v>
      </c>
    </row>
    <row r="44" spans="2:19">
      <c r="Q44">
        <v>343882</v>
      </c>
      <c r="R44" t="s">
        <v>1085</v>
      </c>
      <c r="S44" s="341">
        <f ca="1">VLOOKUP(Q44,'Base SAP'!A:F,6,FALSE)</f>
        <v>136</v>
      </c>
    </row>
    <row r="45" spans="2:19">
      <c r="Q45">
        <v>343883</v>
      </c>
      <c r="R45" t="s">
        <v>1086</v>
      </c>
      <c r="S45" s="341">
        <f ca="1">VLOOKUP(Q45,'Base SAP'!A:F,6,FALSE)</f>
        <v>156</v>
      </c>
    </row>
    <row r="46" spans="2:19">
      <c r="Q46">
        <v>343900</v>
      </c>
      <c r="R46" t="s">
        <v>1664</v>
      </c>
      <c r="S46" s="341">
        <f ca="1">VLOOKUP(Q46,'Base SAP'!A:F,6,FALSE)</f>
        <v>7.95</v>
      </c>
    </row>
    <row r="47" spans="2:19">
      <c r="Q47">
        <v>343901</v>
      </c>
      <c r="R47" t="s">
        <v>1665</v>
      </c>
      <c r="S47" s="341">
        <f ca="1">VLOOKUP(Q47,'Base SAP'!A:F,6,FALSE)</f>
        <v>9.9499999999999993</v>
      </c>
    </row>
  </sheetData>
  <sheetCalcPr fullCalcOnLoad="1"/>
  <phoneticPr fontId="2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F1281"/>
  <sheetViews>
    <sheetView tabSelected="1" zoomScale="70" workbookViewId="0">
      <selection activeCell="L67" sqref="L67"/>
    </sheetView>
  </sheetViews>
  <sheetFormatPr baseColWidth="10" defaultRowHeight="13.2"/>
  <cols>
    <col min="2" max="2" width="36.88671875" customWidth="1"/>
  </cols>
  <sheetData>
    <row r="1" spans="1:6">
      <c r="A1" t="s">
        <v>557</v>
      </c>
      <c r="B1" t="s">
        <v>558</v>
      </c>
      <c r="C1" t="s">
        <v>559</v>
      </c>
      <c r="D1" t="s">
        <v>560</v>
      </c>
      <c r="E1" t="s">
        <v>561</v>
      </c>
      <c r="F1" t="s">
        <v>562</v>
      </c>
    </row>
    <row r="2" spans="1:6">
      <c r="A2">
        <v>301110</v>
      </c>
      <c r="B2" t="s">
        <v>857</v>
      </c>
      <c r="D2" t="s">
        <v>1464</v>
      </c>
      <c r="E2">
        <v>5</v>
      </c>
      <c r="F2">
        <v>2.9</v>
      </c>
    </row>
    <row r="3" spans="1:6">
      <c r="A3">
        <v>301111</v>
      </c>
      <c r="B3" t="s">
        <v>858</v>
      </c>
      <c r="D3" t="s">
        <v>1464</v>
      </c>
      <c r="E3">
        <v>12</v>
      </c>
      <c r="F3">
        <v>6.6</v>
      </c>
    </row>
    <row r="4" spans="1:6">
      <c r="A4">
        <v>301295</v>
      </c>
      <c r="B4" t="s">
        <v>993</v>
      </c>
      <c r="D4" t="s">
        <v>1464</v>
      </c>
      <c r="E4">
        <v>54</v>
      </c>
      <c r="F4">
        <v>4.5</v>
      </c>
    </row>
    <row r="5" spans="1:6">
      <c r="A5">
        <v>301298</v>
      </c>
      <c r="B5" t="s">
        <v>994</v>
      </c>
      <c r="C5" t="s">
        <v>1721</v>
      </c>
      <c r="D5" t="s">
        <v>1464</v>
      </c>
      <c r="E5">
        <v>39</v>
      </c>
      <c r="F5">
        <v>5.9</v>
      </c>
    </row>
    <row r="6" spans="1:6">
      <c r="A6">
        <v>301717</v>
      </c>
      <c r="B6" t="s">
        <v>995</v>
      </c>
      <c r="C6" t="s">
        <v>1108</v>
      </c>
      <c r="D6" t="s">
        <v>1464</v>
      </c>
      <c r="E6">
        <v>108</v>
      </c>
      <c r="F6">
        <v>6.9</v>
      </c>
    </row>
    <row r="7" spans="1:6">
      <c r="A7">
        <v>301612</v>
      </c>
      <c r="B7" t="s">
        <v>859</v>
      </c>
      <c r="C7" t="s">
        <v>860</v>
      </c>
      <c r="D7" t="s">
        <v>861</v>
      </c>
      <c r="E7">
        <v>65</v>
      </c>
      <c r="F7">
        <v>31</v>
      </c>
    </row>
    <row r="8" spans="1:6">
      <c r="A8">
        <v>300610</v>
      </c>
      <c r="B8" t="s">
        <v>862</v>
      </c>
      <c r="C8" t="s">
        <v>1721</v>
      </c>
      <c r="D8" t="s">
        <v>1464</v>
      </c>
      <c r="E8">
        <v>48</v>
      </c>
      <c r="F8">
        <v>3.95</v>
      </c>
    </row>
    <row r="9" spans="1:6">
      <c r="A9">
        <v>399998</v>
      </c>
      <c r="B9" t="s">
        <v>863</v>
      </c>
      <c r="D9" t="s">
        <v>864</v>
      </c>
      <c r="E9">
        <v>1</v>
      </c>
      <c r="F9">
        <v>11.5</v>
      </c>
    </row>
    <row r="10" spans="1:6">
      <c r="A10">
        <v>300055</v>
      </c>
      <c r="B10" t="s">
        <v>865</v>
      </c>
      <c r="D10" t="s">
        <v>1464</v>
      </c>
      <c r="E10">
        <v>10</v>
      </c>
      <c r="F10">
        <v>4.5</v>
      </c>
    </row>
    <row r="11" spans="1:6">
      <c r="A11">
        <v>300059</v>
      </c>
      <c r="B11" t="s">
        <v>866</v>
      </c>
      <c r="D11" t="s">
        <v>1464</v>
      </c>
      <c r="E11">
        <v>10</v>
      </c>
      <c r="F11">
        <v>2.9</v>
      </c>
    </row>
    <row r="12" spans="1:6">
      <c r="A12">
        <v>300114</v>
      </c>
      <c r="B12" t="s">
        <v>867</v>
      </c>
      <c r="D12" t="s">
        <v>1464</v>
      </c>
      <c r="E12">
        <v>10</v>
      </c>
      <c r="F12">
        <v>3.99</v>
      </c>
    </row>
    <row r="13" spans="1:6">
      <c r="A13">
        <v>300146</v>
      </c>
      <c r="B13" t="s">
        <v>868</v>
      </c>
      <c r="D13" t="s">
        <v>1464</v>
      </c>
      <c r="E13">
        <v>10</v>
      </c>
      <c r="F13">
        <v>4.5</v>
      </c>
    </row>
    <row r="14" spans="1:6">
      <c r="A14">
        <v>300298</v>
      </c>
      <c r="B14" t="s">
        <v>869</v>
      </c>
      <c r="D14" t="s">
        <v>1464</v>
      </c>
      <c r="E14">
        <v>10</v>
      </c>
      <c r="F14">
        <v>4.5</v>
      </c>
    </row>
    <row r="15" spans="1:6">
      <c r="A15">
        <v>300306</v>
      </c>
      <c r="B15" t="s">
        <v>870</v>
      </c>
      <c r="D15" t="s">
        <v>861</v>
      </c>
      <c r="E15">
        <v>56</v>
      </c>
      <c r="F15">
        <v>9.6</v>
      </c>
    </row>
    <row r="16" spans="1:6">
      <c r="A16">
        <v>300307</v>
      </c>
      <c r="B16" t="s">
        <v>871</v>
      </c>
      <c r="D16" t="s">
        <v>861</v>
      </c>
      <c r="E16">
        <v>56</v>
      </c>
      <c r="F16">
        <v>9.6</v>
      </c>
    </row>
    <row r="17" spans="1:6">
      <c r="A17">
        <v>300308</v>
      </c>
      <c r="B17" t="s">
        <v>872</v>
      </c>
      <c r="D17" t="s">
        <v>1464</v>
      </c>
      <c r="E17">
        <v>10</v>
      </c>
      <c r="F17">
        <v>4.5</v>
      </c>
    </row>
    <row r="18" spans="1:6">
      <c r="A18">
        <v>300310</v>
      </c>
      <c r="B18" t="s">
        <v>873</v>
      </c>
      <c r="D18" t="s">
        <v>861</v>
      </c>
      <c r="E18">
        <v>56</v>
      </c>
      <c r="F18">
        <v>11.58</v>
      </c>
    </row>
    <row r="19" spans="1:6">
      <c r="A19">
        <v>300311</v>
      </c>
      <c r="B19" t="s">
        <v>874</v>
      </c>
      <c r="D19" t="s">
        <v>861</v>
      </c>
      <c r="E19">
        <v>56</v>
      </c>
      <c r="F19">
        <v>11.58</v>
      </c>
    </row>
    <row r="20" spans="1:6">
      <c r="A20">
        <v>300314</v>
      </c>
      <c r="B20" t="s">
        <v>875</v>
      </c>
      <c r="D20" t="s">
        <v>861</v>
      </c>
      <c r="E20">
        <v>56</v>
      </c>
      <c r="F20">
        <v>9999</v>
      </c>
    </row>
    <row r="21" spans="1:6">
      <c r="A21">
        <v>300315</v>
      </c>
      <c r="B21" t="s">
        <v>876</v>
      </c>
      <c r="D21" t="s">
        <v>1464</v>
      </c>
      <c r="E21">
        <v>10</v>
      </c>
      <c r="F21">
        <v>9999</v>
      </c>
    </row>
    <row r="22" spans="1:6">
      <c r="A22">
        <v>300316</v>
      </c>
      <c r="B22" t="s">
        <v>877</v>
      </c>
      <c r="D22" t="s">
        <v>861</v>
      </c>
      <c r="E22">
        <v>56</v>
      </c>
      <c r="F22">
        <v>9999</v>
      </c>
    </row>
    <row r="23" spans="1:6">
      <c r="A23">
        <v>300322</v>
      </c>
      <c r="B23" t="s">
        <v>878</v>
      </c>
      <c r="D23" t="s">
        <v>1464</v>
      </c>
      <c r="E23">
        <v>10</v>
      </c>
      <c r="F23">
        <v>4.5</v>
      </c>
    </row>
    <row r="24" spans="1:6">
      <c r="A24">
        <v>300323</v>
      </c>
      <c r="B24" t="s">
        <v>879</v>
      </c>
      <c r="D24" t="s">
        <v>1464</v>
      </c>
      <c r="E24">
        <v>10</v>
      </c>
      <c r="F24">
        <v>4.5</v>
      </c>
    </row>
    <row r="25" spans="1:6">
      <c r="A25">
        <v>301998</v>
      </c>
      <c r="B25" t="s">
        <v>880</v>
      </c>
      <c r="D25" t="s">
        <v>1464</v>
      </c>
      <c r="E25">
        <v>10</v>
      </c>
      <c r="F25">
        <v>4.5</v>
      </c>
    </row>
    <row r="26" spans="1:6">
      <c r="A26">
        <v>302012</v>
      </c>
      <c r="B26" t="s">
        <v>1777</v>
      </c>
      <c r="C26" t="s">
        <v>881</v>
      </c>
      <c r="D26" t="s">
        <v>861</v>
      </c>
      <c r="E26">
        <v>48</v>
      </c>
      <c r="F26">
        <v>25.89</v>
      </c>
    </row>
    <row r="27" spans="1:6">
      <c r="A27">
        <v>302026</v>
      </c>
      <c r="B27" t="s">
        <v>882</v>
      </c>
      <c r="C27" t="s">
        <v>883</v>
      </c>
      <c r="D27" t="s">
        <v>861</v>
      </c>
      <c r="E27">
        <v>48</v>
      </c>
      <c r="F27">
        <v>25.89</v>
      </c>
    </row>
    <row r="28" spans="1:6">
      <c r="A28">
        <v>302044</v>
      </c>
      <c r="B28" t="s">
        <v>884</v>
      </c>
      <c r="C28" t="s">
        <v>860</v>
      </c>
      <c r="D28" t="s">
        <v>861</v>
      </c>
      <c r="E28">
        <v>48</v>
      </c>
      <c r="F28">
        <v>23.93</v>
      </c>
    </row>
    <row r="29" spans="1:6">
      <c r="A29">
        <v>302048</v>
      </c>
      <c r="B29" t="s">
        <v>885</v>
      </c>
      <c r="D29" t="s">
        <v>861</v>
      </c>
      <c r="E29">
        <v>48</v>
      </c>
      <c r="F29">
        <v>25.89</v>
      </c>
    </row>
    <row r="30" spans="1:6">
      <c r="A30">
        <v>399900</v>
      </c>
      <c r="B30" t="s">
        <v>886</v>
      </c>
      <c r="D30" t="s">
        <v>1464</v>
      </c>
      <c r="E30">
        <v>1</v>
      </c>
      <c r="F30">
        <v>9999</v>
      </c>
    </row>
    <row r="31" spans="1:6">
      <c r="A31">
        <v>343799</v>
      </c>
      <c r="B31" t="s">
        <v>644</v>
      </c>
      <c r="D31" t="s">
        <v>1464</v>
      </c>
      <c r="E31">
        <v>4</v>
      </c>
      <c r="F31">
        <v>189</v>
      </c>
    </row>
    <row r="32" spans="1:6">
      <c r="A32">
        <v>345739</v>
      </c>
      <c r="B32" t="s">
        <v>645</v>
      </c>
      <c r="D32" t="s">
        <v>1464</v>
      </c>
      <c r="E32">
        <v>4</v>
      </c>
      <c r="F32">
        <v>189</v>
      </c>
    </row>
    <row r="33" spans="1:6">
      <c r="A33">
        <v>377768</v>
      </c>
      <c r="B33" t="s">
        <v>887</v>
      </c>
      <c r="D33" t="s">
        <v>1464</v>
      </c>
      <c r="E33">
        <v>24</v>
      </c>
      <c r="F33">
        <v>9999</v>
      </c>
    </row>
    <row r="34" spans="1:6">
      <c r="A34">
        <v>380402</v>
      </c>
      <c r="B34" t="s">
        <v>888</v>
      </c>
      <c r="D34" t="s">
        <v>1464</v>
      </c>
      <c r="E34">
        <v>18</v>
      </c>
      <c r="F34">
        <v>129</v>
      </c>
    </row>
    <row r="35" spans="1:6">
      <c r="A35">
        <v>380410</v>
      </c>
      <c r="B35" t="s">
        <v>889</v>
      </c>
      <c r="D35" t="s">
        <v>1464</v>
      </c>
      <c r="E35">
        <v>12</v>
      </c>
      <c r="F35">
        <v>99</v>
      </c>
    </row>
    <row r="36" spans="1:6">
      <c r="A36">
        <v>380411</v>
      </c>
      <c r="B36" t="s">
        <v>890</v>
      </c>
      <c r="D36" t="s">
        <v>1464</v>
      </c>
      <c r="E36">
        <v>14</v>
      </c>
      <c r="F36">
        <v>139</v>
      </c>
    </row>
    <row r="37" spans="1:6">
      <c r="A37">
        <v>380419</v>
      </c>
      <c r="B37" t="s">
        <v>891</v>
      </c>
      <c r="D37" t="s">
        <v>1464</v>
      </c>
      <c r="E37">
        <v>18</v>
      </c>
      <c r="F37">
        <v>69.900000000000006</v>
      </c>
    </row>
    <row r="38" spans="1:6">
      <c r="A38">
        <v>302470</v>
      </c>
      <c r="B38" t="s">
        <v>892</v>
      </c>
      <c r="D38" t="s">
        <v>1464</v>
      </c>
      <c r="E38">
        <v>1</v>
      </c>
      <c r="F38">
        <v>9999</v>
      </c>
    </row>
    <row r="39" spans="1:6">
      <c r="A39">
        <v>320351</v>
      </c>
      <c r="B39" t="s">
        <v>893</v>
      </c>
      <c r="D39" t="s">
        <v>861</v>
      </c>
      <c r="E39">
        <v>48</v>
      </c>
      <c r="F39">
        <v>9999</v>
      </c>
    </row>
    <row r="40" spans="1:6">
      <c r="A40">
        <v>372359</v>
      </c>
      <c r="B40" t="s">
        <v>894</v>
      </c>
      <c r="D40" t="s">
        <v>861</v>
      </c>
      <c r="E40">
        <v>48</v>
      </c>
      <c r="F40">
        <v>18.920000000000002</v>
      </c>
    </row>
    <row r="41" spans="1:6">
      <c r="A41">
        <v>372518</v>
      </c>
      <c r="B41" t="s">
        <v>353</v>
      </c>
      <c r="C41" t="s">
        <v>1463</v>
      </c>
      <c r="D41" t="s">
        <v>861</v>
      </c>
      <c r="E41">
        <v>40</v>
      </c>
      <c r="F41">
        <v>27.69</v>
      </c>
    </row>
    <row r="42" spans="1:6">
      <c r="A42">
        <v>372519</v>
      </c>
      <c r="B42" t="s">
        <v>617</v>
      </c>
      <c r="C42" t="s">
        <v>1915</v>
      </c>
      <c r="D42" t="s">
        <v>861</v>
      </c>
      <c r="E42">
        <v>60</v>
      </c>
      <c r="F42">
        <v>32.4</v>
      </c>
    </row>
    <row r="43" spans="1:6">
      <c r="A43">
        <v>372525</v>
      </c>
      <c r="B43" t="s">
        <v>618</v>
      </c>
      <c r="C43" t="s">
        <v>1463</v>
      </c>
      <c r="D43" t="s">
        <v>1464</v>
      </c>
      <c r="E43">
        <v>10</v>
      </c>
      <c r="F43">
        <v>3.85</v>
      </c>
    </row>
    <row r="44" spans="1:6">
      <c r="A44">
        <v>372526</v>
      </c>
      <c r="B44" t="s">
        <v>619</v>
      </c>
      <c r="C44" t="s">
        <v>1463</v>
      </c>
      <c r="D44" t="s">
        <v>1464</v>
      </c>
      <c r="E44">
        <v>10</v>
      </c>
      <c r="F44">
        <v>3.85</v>
      </c>
    </row>
    <row r="45" spans="1:6">
      <c r="A45">
        <v>372527</v>
      </c>
      <c r="B45" t="s">
        <v>620</v>
      </c>
      <c r="C45" t="s">
        <v>1915</v>
      </c>
      <c r="D45" t="s">
        <v>1464</v>
      </c>
      <c r="E45">
        <v>150</v>
      </c>
      <c r="F45">
        <v>3.75</v>
      </c>
    </row>
    <row r="46" spans="1:6">
      <c r="A46">
        <v>372528</v>
      </c>
      <c r="B46" t="s">
        <v>621</v>
      </c>
      <c r="C46" t="s">
        <v>1463</v>
      </c>
      <c r="D46" t="s">
        <v>1464</v>
      </c>
      <c r="E46">
        <v>10</v>
      </c>
      <c r="F46">
        <v>5.95</v>
      </c>
    </row>
    <row r="47" spans="1:6">
      <c r="A47">
        <v>372529</v>
      </c>
      <c r="B47" t="s">
        <v>622</v>
      </c>
      <c r="C47" t="s">
        <v>1108</v>
      </c>
      <c r="D47" t="s">
        <v>1464</v>
      </c>
      <c r="E47">
        <v>10</v>
      </c>
      <c r="F47">
        <v>3.85</v>
      </c>
    </row>
    <row r="48" spans="1:6">
      <c r="A48">
        <v>372537</v>
      </c>
      <c r="B48" t="s">
        <v>623</v>
      </c>
      <c r="C48" t="s">
        <v>1463</v>
      </c>
      <c r="D48" t="s">
        <v>861</v>
      </c>
      <c r="E48">
        <v>8</v>
      </c>
      <c r="F48">
        <v>31</v>
      </c>
    </row>
    <row r="49" spans="1:6">
      <c r="A49">
        <v>372539</v>
      </c>
      <c r="B49" t="s">
        <v>624</v>
      </c>
      <c r="C49" t="s">
        <v>1467</v>
      </c>
      <c r="D49" t="s">
        <v>861</v>
      </c>
      <c r="E49">
        <v>33</v>
      </c>
      <c r="F49">
        <v>27.6</v>
      </c>
    </row>
    <row r="50" spans="1:6">
      <c r="A50">
        <v>372540</v>
      </c>
      <c r="B50" t="s">
        <v>625</v>
      </c>
      <c r="C50" t="s">
        <v>1915</v>
      </c>
      <c r="D50" t="s">
        <v>861</v>
      </c>
      <c r="E50">
        <v>33</v>
      </c>
      <c r="F50">
        <v>27.6</v>
      </c>
    </row>
    <row r="51" spans="1:6">
      <c r="A51">
        <v>372542</v>
      </c>
      <c r="B51" t="s">
        <v>1881</v>
      </c>
      <c r="C51" t="s">
        <v>1467</v>
      </c>
      <c r="D51" t="s">
        <v>861</v>
      </c>
      <c r="E51">
        <v>60</v>
      </c>
      <c r="F51">
        <v>10.27</v>
      </c>
    </row>
    <row r="52" spans="1:6">
      <c r="A52">
        <v>372543</v>
      </c>
      <c r="B52" t="s">
        <v>1882</v>
      </c>
      <c r="C52" t="s">
        <v>1915</v>
      </c>
      <c r="D52" t="s">
        <v>861</v>
      </c>
      <c r="E52">
        <v>60</v>
      </c>
      <c r="F52">
        <v>20.399999999999999</v>
      </c>
    </row>
    <row r="53" spans="1:6">
      <c r="A53">
        <v>372545</v>
      </c>
      <c r="B53" t="s">
        <v>1884</v>
      </c>
      <c r="C53" t="s">
        <v>1915</v>
      </c>
      <c r="D53" t="s">
        <v>861</v>
      </c>
      <c r="E53">
        <v>8</v>
      </c>
      <c r="F53">
        <v>31</v>
      </c>
    </row>
    <row r="54" spans="1:6">
      <c r="A54">
        <v>372546</v>
      </c>
      <c r="B54" t="s">
        <v>1885</v>
      </c>
      <c r="C54" t="s">
        <v>1463</v>
      </c>
      <c r="D54" t="s">
        <v>861</v>
      </c>
      <c r="E54">
        <v>8</v>
      </c>
      <c r="F54">
        <v>31</v>
      </c>
    </row>
    <row r="55" spans="1:6">
      <c r="A55">
        <v>372547</v>
      </c>
      <c r="B55" t="s">
        <v>1886</v>
      </c>
      <c r="C55" t="s">
        <v>1463</v>
      </c>
      <c r="D55" t="s">
        <v>861</v>
      </c>
      <c r="E55">
        <v>8</v>
      </c>
      <c r="F55">
        <v>31</v>
      </c>
    </row>
    <row r="56" spans="1:6">
      <c r="A56">
        <v>372552</v>
      </c>
      <c r="B56" t="s">
        <v>895</v>
      </c>
      <c r="C56" t="s">
        <v>1467</v>
      </c>
      <c r="D56" t="s">
        <v>1464</v>
      </c>
      <c r="E56">
        <v>10</v>
      </c>
      <c r="F56">
        <v>3.75</v>
      </c>
    </row>
    <row r="57" spans="1:6">
      <c r="A57">
        <v>372556</v>
      </c>
      <c r="B57" t="s">
        <v>896</v>
      </c>
      <c r="C57" t="s">
        <v>1790</v>
      </c>
      <c r="D57" t="s">
        <v>861</v>
      </c>
      <c r="E57">
        <v>33</v>
      </c>
      <c r="F57">
        <v>27.6</v>
      </c>
    </row>
    <row r="58" spans="1:6">
      <c r="A58">
        <v>372557</v>
      </c>
      <c r="B58" t="s">
        <v>223</v>
      </c>
      <c r="C58" t="s">
        <v>1790</v>
      </c>
      <c r="D58" t="s">
        <v>861</v>
      </c>
      <c r="E58">
        <v>8</v>
      </c>
      <c r="F58">
        <v>31</v>
      </c>
    </row>
    <row r="59" spans="1:6">
      <c r="A59">
        <v>372558</v>
      </c>
      <c r="B59" t="s">
        <v>224</v>
      </c>
      <c r="C59" t="s">
        <v>1467</v>
      </c>
      <c r="D59" t="s">
        <v>861</v>
      </c>
      <c r="E59">
        <v>8</v>
      </c>
      <c r="F59">
        <v>31</v>
      </c>
    </row>
    <row r="60" spans="1:6">
      <c r="A60">
        <v>343259</v>
      </c>
      <c r="B60" t="s">
        <v>646</v>
      </c>
      <c r="D60" t="s">
        <v>1464</v>
      </c>
      <c r="E60">
        <v>1</v>
      </c>
      <c r="F60">
        <v>29.9</v>
      </c>
    </row>
    <row r="61" spans="1:6">
      <c r="A61">
        <v>343260</v>
      </c>
      <c r="B61" t="s">
        <v>647</v>
      </c>
      <c r="D61" t="s">
        <v>1464</v>
      </c>
      <c r="E61">
        <v>1</v>
      </c>
      <c r="F61">
        <v>31.5</v>
      </c>
    </row>
    <row r="62" spans="1:6">
      <c r="A62">
        <v>343261</v>
      </c>
      <c r="B62" t="s">
        <v>648</v>
      </c>
      <c r="D62" t="s">
        <v>1464</v>
      </c>
      <c r="E62">
        <v>1</v>
      </c>
      <c r="F62">
        <v>45</v>
      </c>
    </row>
    <row r="63" spans="1:6">
      <c r="A63">
        <v>343262</v>
      </c>
      <c r="B63" t="s">
        <v>649</v>
      </c>
      <c r="D63" t="s">
        <v>1464</v>
      </c>
      <c r="E63">
        <v>1</v>
      </c>
      <c r="F63">
        <v>65</v>
      </c>
    </row>
    <row r="64" spans="1:6">
      <c r="A64">
        <v>343295</v>
      </c>
      <c r="B64" t="s">
        <v>650</v>
      </c>
      <c r="D64" t="s">
        <v>1464</v>
      </c>
      <c r="E64">
        <v>1</v>
      </c>
      <c r="F64">
        <v>24.9</v>
      </c>
    </row>
    <row r="65" spans="1:6">
      <c r="A65">
        <v>343296</v>
      </c>
      <c r="B65" t="s">
        <v>651</v>
      </c>
      <c r="D65" t="s">
        <v>1464</v>
      </c>
      <c r="E65">
        <v>1</v>
      </c>
      <c r="F65">
        <v>29.9</v>
      </c>
    </row>
    <row r="66" spans="1:6">
      <c r="A66">
        <v>343297</v>
      </c>
      <c r="B66" t="s">
        <v>652</v>
      </c>
      <c r="D66" t="s">
        <v>1464</v>
      </c>
      <c r="E66">
        <v>1</v>
      </c>
      <c r="F66">
        <v>49.9</v>
      </c>
    </row>
    <row r="67" spans="1:6">
      <c r="A67">
        <v>343298</v>
      </c>
      <c r="B67" t="s">
        <v>653</v>
      </c>
      <c r="D67" t="s">
        <v>1464</v>
      </c>
      <c r="E67">
        <v>1</v>
      </c>
      <c r="F67">
        <v>49.9</v>
      </c>
    </row>
    <row r="68" spans="1:6">
      <c r="A68">
        <v>343299</v>
      </c>
      <c r="B68" t="s">
        <v>654</v>
      </c>
      <c r="D68" t="s">
        <v>1464</v>
      </c>
      <c r="E68">
        <v>1</v>
      </c>
      <c r="F68">
        <v>36.9</v>
      </c>
    </row>
    <row r="69" spans="1:6">
      <c r="A69">
        <v>343300</v>
      </c>
      <c r="B69" t="s">
        <v>655</v>
      </c>
      <c r="D69" t="s">
        <v>1464</v>
      </c>
      <c r="E69">
        <v>1</v>
      </c>
      <c r="F69">
        <v>45.9</v>
      </c>
    </row>
    <row r="70" spans="1:6">
      <c r="A70">
        <v>343301</v>
      </c>
      <c r="B70" t="s">
        <v>656</v>
      </c>
      <c r="D70" t="s">
        <v>1464</v>
      </c>
      <c r="E70">
        <v>1</v>
      </c>
      <c r="F70">
        <v>34.9</v>
      </c>
    </row>
    <row r="71" spans="1:6">
      <c r="A71">
        <v>343302</v>
      </c>
      <c r="B71" t="s">
        <v>657</v>
      </c>
      <c r="D71" t="s">
        <v>1464</v>
      </c>
      <c r="E71">
        <v>1</v>
      </c>
      <c r="F71">
        <v>45.9</v>
      </c>
    </row>
    <row r="72" spans="1:6">
      <c r="A72">
        <v>343303</v>
      </c>
      <c r="B72" t="s">
        <v>658</v>
      </c>
      <c r="D72" t="s">
        <v>1464</v>
      </c>
      <c r="E72">
        <v>1</v>
      </c>
      <c r="F72">
        <v>56.9</v>
      </c>
    </row>
    <row r="73" spans="1:6">
      <c r="A73">
        <v>343304</v>
      </c>
      <c r="B73" t="s">
        <v>659</v>
      </c>
      <c r="D73" t="s">
        <v>1464</v>
      </c>
      <c r="E73">
        <v>1</v>
      </c>
      <c r="F73">
        <v>51.9</v>
      </c>
    </row>
    <row r="74" spans="1:6">
      <c r="A74">
        <v>343305</v>
      </c>
      <c r="B74" t="s">
        <v>660</v>
      </c>
      <c r="D74" t="s">
        <v>1464</v>
      </c>
      <c r="E74">
        <v>1</v>
      </c>
      <c r="F74">
        <v>59.9</v>
      </c>
    </row>
    <row r="75" spans="1:6">
      <c r="A75">
        <v>343306</v>
      </c>
      <c r="B75" t="s">
        <v>661</v>
      </c>
      <c r="D75" t="s">
        <v>1464</v>
      </c>
      <c r="E75">
        <v>1</v>
      </c>
      <c r="F75">
        <v>99.99</v>
      </c>
    </row>
    <row r="76" spans="1:6">
      <c r="A76">
        <v>345040</v>
      </c>
      <c r="B76" t="s">
        <v>662</v>
      </c>
      <c r="D76" t="s">
        <v>1464</v>
      </c>
      <c r="E76">
        <v>1</v>
      </c>
      <c r="F76">
        <v>23.9</v>
      </c>
    </row>
    <row r="77" spans="1:6">
      <c r="A77">
        <v>345041</v>
      </c>
      <c r="B77" t="s">
        <v>663</v>
      </c>
      <c r="D77" t="s">
        <v>1464</v>
      </c>
      <c r="E77">
        <v>1</v>
      </c>
      <c r="F77">
        <v>27.9</v>
      </c>
    </row>
    <row r="78" spans="1:6">
      <c r="A78">
        <v>345042</v>
      </c>
      <c r="B78" t="s">
        <v>664</v>
      </c>
      <c r="D78" t="s">
        <v>1464</v>
      </c>
      <c r="E78">
        <v>1</v>
      </c>
      <c r="F78">
        <v>29</v>
      </c>
    </row>
    <row r="79" spans="1:6">
      <c r="A79">
        <v>345043</v>
      </c>
      <c r="B79" t="s">
        <v>665</v>
      </c>
      <c r="D79" t="s">
        <v>1464</v>
      </c>
      <c r="E79">
        <v>1</v>
      </c>
      <c r="F79">
        <v>39.9</v>
      </c>
    </row>
    <row r="80" spans="1:6">
      <c r="A80">
        <v>345044</v>
      </c>
      <c r="B80" t="s">
        <v>666</v>
      </c>
      <c r="D80" t="s">
        <v>1464</v>
      </c>
      <c r="E80">
        <v>1</v>
      </c>
      <c r="F80">
        <v>49.9</v>
      </c>
    </row>
    <row r="81" spans="1:6">
      <c r="A81">
        <v>345045</v>
      </c>
      <c r="B81" t="s">
        <v>667</v>
      </c>
      <c r="D81" t="s">
        <v>1464</v>
      </c>
      <c r="E81">
        <v>1</v>
      </c>
      <c r="F81">
        <v>32.9</v>
      </c>
    </row>
    <row r="82" spans="1:6">
      <c r="A82">
        <v>345046</v>
      </c>
      <c r="B82" t="s">
        <v>668</v>
      </c>
      <c r="D82" t="s">
        <v>1464</v>
      </c>
      <c r="E82">
        <v>1</v>
      </c>
      <c r="F82">
        <v>42.9</v>
      </c>
    </row>
    <row r="83" spans="1:6">
      <c r="A83">
        <v>345047</v>
      </c>
      <c r="B83" t="s">
        <v>669</v>
      </c>
      <c r="D83" t="s">
        <v>1464</v>
      </c>
      <c r="E83">
        <v>1</v>
      </c>
      <c r="F83">
        <v>55.9</v>
      </c>
    </row>
    <row r="84" spans="1:6">
      <c r="A84">
        <v>345048</v>
      </c>
      <c r="B84" t="s">
        <v>670</v>
      </c>
      <c r="D84" t="s">
        <v>1464</v>
      </c>
      <c r="E84">
        <v>1</v>
      </c>
      <c r="F84">
        <v>36.9</v>
      </c>
    </row>
    <row r="85" spans="1:6">
      <c r="A85">
        <v>345049</v>
      </c>
      <c r="B85" t="s">
        <v>671</v>
      </c>
      <c r="D85" t="s">
        <v>1464</v>
      </c>
      <c r="E85">
        <v>1</v>
      </c>
      <c r="F85">
        <v>48.9</v>
      </c>
    </row>
    <row r="86" spans="1:6">
      <c r="A86">
        <v>345050</v>
      </c>
      <c r="B86" t="s">
        <v>672</v>
      </c>
      <c r="D86" t="s">
        <v>1464</v>
      </c>
      <c r="E86">
        <v>1</v>
      </c>
      <c r="F86">
        <v>65.900000000000006</v>
      </c>
    </row>
    <row r="87" spans="1:6">
      <c r="A87">
        <v>345051</v>
      </c>
      <c r="B87" t="s">
        <v>673</v>
      </c>
      <c r="D87" t="s">
        <v>1464</v>
      </c>
      <c r="E87">
        <v>1</v>
      </c>
      <c r="F87">
        <v>29.9</v>
      </c>
    </row>
    <row r="88" spans="1:6">
      <c r="A88">
        <v>345052</v>
      </c>
      <c r="B88" t="s">
        <v>674</v>
      </c>
      <c r="D88" t="s">
        <v>1464</v>
      </c>
      <c r="E88">
        <v>1</v>
      </c>
      <c r="F88">
        <v>23.9</v>
      </c>
    </row>
    <row r="89" spans="1:6">
      <c r="A89">
        <v>345053</v>
      </c>
      <c r="B89" t="s">
        <v>675</v>
      </c>
      <c r="D89" t="s">
        <v>1464</v>
      </c>
      <c r="E89">
        <v>1</v>
      </c>
      <c r="F89">
        <v>27.9</v>
      </c>
    </row>
    <row r="90" spans="1:6">
      <c r="A90">
        <v>345054</v>
      </c>
      <c r="B90" t="s">
        <v>676</v>
      </c>
      <c r="D90" t="s">
        <v>1464</v>
      </c>
      <c r="E90">
        <v>1</v>
      </c>
      <c r="F90">
        <v>25</v>
      </c>
    </row>
    <row r="91" spans="1:6">
      <c r="A91">
        <v>345055</v>
      </c>
      <c r="B91" t="s">
        <v>677</v>
      </c>
      <c r="D91" t="s">
        <v>1464</v>
      </c>
      <c r="E91">
        <v>1</v>
      </c>
      <c r="F91">
        <v>19.899999999999999</v>
      </c>
    </row>
    <row r="92" spans="1:6">
      <c r="A92">
        <v>345056</v>
      </c>
      <c r="B92" t="s">
        <v>678</v>
      </c>
      <c r="D92" t="s">
        <v>1464</v>
      </c>
      <c r="E92">
        <v>1</v>
      </c>
      <c r="F92">
        <v>31.9</v>
      </c>
    </row>
    <row r="93" spans="1:6">
      <c r="A93">
        <v>345057</v>
      </c>
      <c r="B93" t="s">
        <v>679</v>
      </c>
      <c r="D93" t="s">
        <v>1464</v>
      </c>
      <c r="E93">
        <v>1</v>
      </c>
      <c r="F93">
        <v>26.9</v>
      </c>
    </row>
    <row r="94" spans="1:6">
      <c r="A94">
        <v>345058</v>
      </c>
      <c r="B94" t="s">
        <v>680</v>
      </c>
      <c r="D94" t="s">
        <v>1464</v>
      </c>
      <c r="E94">
        <v>1</v>
      </c>
      <c r="F94">
        <v>23.9</v>
      </c>
    </row>
    <row r="95" spans="1:6">
      <c r="A95">
        <v>345059</v>
      </c>
      <c r="B95" t="s">
        <v>681</v>
      </c>
      <c r="D95" t="s">
        <v>1464</v>
      </c>
      <c r="E95">
        <v>1</v>
      </c>
      <c r="F95">
        <v>27.9</v>
      </c>
    </row>
    <row r="96" spans="1:6">
      <c r="A96">
        <v>345060</v>
      </c>
      <c r="B96" t="s">
        <v>682</v>
      </c>
      <c r="D96" t="s">
        <v>1464</v>
      </c>
      <c r="E96">
        <v>1</v>
      </c>
      <c r="F96">
        <v>32.9</v>
      </c>
    </row>
    <row r="97" spans="1:6">
      <c r="A97">
        <v>345064</v>
      </c>
      <c r="B97" t="s">
        <v>683</v>
      </c>
      <c r="D97" t="s">
        <v>1464</v>
      </c>
      <c r="E97">
        <v>1</v>
      </c>
      <c r="F97">
        <v>49</v>
      </c>
    </row>
    <row r="98" spans="1:6">
      <c r="A98">
        <v>345065</v>
      </c>
      <c r="B98" t="s">
        <v>684</v>
      </c>
      <c r="D98" t="s">
        <v>1464</v>
      </c>
      <c r="E98">
        <v>1</v>
      </c>
      <c r="F98">
        <v>49</v>
      </c>
    </row>
    <row r="99" spans="1:6">
      <c r="A99">
        <v>345066</v>
      </c>
      <c r="B99" t="s">
        <v>685</v>
      </c>
      <c r="D99" t="s">
        <v>1464</v>
      </c>
      <c r="E99">
        <v>1</v>
      </c>
      <c r="F99">
        <v>29</v>
      </c>
    </row>
    <row r="100" spans="1:6">
      <c r="A100">
        <v>345070</v>
      </c>
      <c r="B100" t="s">
        <v>686</v>
      </c>
      <c r="D100" t="s">
        <v>1464</v>
      </c>
      <c r="E100">
        <v>1</v>
      </c>
      <c r="F100">
        <v>52.9</v>
      </c>
    </row>
    <row r="101" spans="1:6">
      <c r="A101">
        <v>345071</v>
      </c>
      <c r="B101" t="s">
        <v>687</v>
      </c>
      <c r="D101" t="s">
        <v>1464</v>
      </c>
      <c r="E101">
        <v>1</v>
      </c>
      <c r="F101">
        <v>64.900000000000006</v>
      </c>
    </row>
    <row r="102" spans="1:6">
      <c r="A102">
        <v>345072</v>
      </c>
      <c r="B102" t="s">
        <v>688</v>
      </c>
      <c r="D102" t="s">
        <v>1464</v>
      </c>
      <c r="E102">
        <v>1</v>
      </c>
      <c r="F102">
        <v>34.9</v>
      </c>
    </row>
    <row r="103" spans="1:6">
      <c r="A103">
        <v>345076</v>
      </c>
      <c r="B103" t="s">
        <v>689</v>
      </c>
      <c r="D103" t="s">
        <v>1464</v>
      </c>
      <c r="E103">
        <v>1</v>
      </c>
      <c r="F103">
        <v>23.9</v>
      </c>
    </row>
    <row r="104" spans="1:6">
      <c r="A104">
        <v>345077</v>
      </c>
      <c r="B104" t="s">
        <v>690</v>
      </c>
      <c r="D104" t="s">
        <v>1464</v>
      </c>
      <c r="E104">
        <v>1</v>
      </c>
      <c r="F104">
        <v>32.9</v>
      </c>
    </row>
    <row r="105" spans="1:6">
      <c r="A105">
        <v>345078</v>
      </c>
      <c r="B105" t="s">
        <v>691</v>
      </c>
      <c r="D105" t="s">
        <v>1464</v>
      </c>
      <c r="E105">
        <v>1</v>
      </c>
      <c r="F105">
        <v>27.9</v>
      </c>
    </row>
    <row r="106" spans="1:6">
      <c r="A106">
        <v>345079</v>
      </c>
      <c r="B106" t="s">
        <v>692</v>
      </c>
      <c r="D106" t="s">
        <v>1464</v>
      </c>
      <c r="E106">
        <v>1</v>
      </c>
      <c r="F106">
        <v>29.9</v>
      </c>
    </row>
    <row r="107" spans="1:6">
      <c r="A107">
        <v>345080</v>
      </c>
      <c r="B107" t="s">
        <v>693</v>
      </c>
      <c r="D107" t="s">
        <v>1464</v>
      </c>
      <c r="E107">
        <v>1</v>
      </c>
      <c r="F107">
        <v>35</v>
      </c>
    </row>
    <row r="108" spans="1:6">
      <c r="A108">
        <v>345081</v>
      </c>
      <c r="B108" t="s">
        <v>694</v>
      </c>
      <c r="D108" t="s">
        <v>1464</v>
      </c>
      <c r="E108">
        <v>1</v>
      </c>
      <c r="F108">
        <v>41.9</v>
      </c>
    </row>
    <row r="109" spans="1:6">
      <c r="A109">
        <v>346695</v>
      </c>
      <c r="B109" t="s">
        <v>695</v>
      </c>
      <c r="D109" t="s">
        <v>1464</v>
      </c>
      <c r="E109">
        <v>1</v>
      </c>
      <c r="F109">
        <v>39.9</v>
      </c>
    </row>
    <row r="110" spans="1:6">
      <c r="A110">
        <v>346696</v>
      </c>
      <c r="B110" t="s">
        <v>696</v>
      </c>
      <c r="D110" t="s">
        <v>1464</v>
      </c>
      <c r="E110">
        <v>1</v>
      </c>
      <c r="F110">
        <v>49.9</v>
      </c>
    </row>
    <row r="111" spans="1:6">
      <c r="A111">
        <v>346697</v>
      </c>
      <c r="B111" t="s">
        <v>697</v>
      </c>
      <c r="D111" t="s">
        <v>1464</v>
      </c>
      <c r="E111">
        <v>1</v>
      </c>
      <c r="F111">
        <v>28.9</v>
      </c>
    </row>
    <row r="112" spans="1:6">
      <c r="A112">
        <v>347010</v>
      </c>
      <c r="B112" t="s">
        <v>698</v>
      </c>
      <c r="D112" t="s">
        <v>1464</v>
      </c>
      <c r="E112">
        <v>1</v>
      </c>
      <c r="F112">
        <v>32.9</v>
      </c>
    </row>
    <row r="113" spans="1:6">
      <c r="A113">
        <v>347011</v>
      </c>
      <c r="B113" t="s">
        <v>699</v>
      </c>
      <c r="D113" t="s">
        <v>1464</v>
      </c>
      <c r="E113">
        <v>1</v>
      </c>
      <c r="F113">
        <v>36.9</v>
      </c>
    </row>
    <row r="114" spans="1:6">
      <c r="A114">
        <v>347012</v>
      </c>
      <c r="B114" t="s">
        <v>700</v>
      </c>
      <c r="D114" t="s">
        <v>1464</v>
      </c>
      <c r="E114">
        <v>1</v>
      </c>
      <c r="F114">
        <v>41.9</v>
      </c>
    </row>
    <row r="115" spans="1:6">
      <c r="A115">
        <v>347013</v>
      </c>
      <c r="B115" t="s">
        <v>701</v>
      </c>
      <c r="D115" t="s">
        <v>1464</v>
      </c>
      <c r="E115">
        <v>1</v>
      </c>
      <c r="F115">
        <v>46.9</v>
      </c>
    </row>
    <row r="116" spans="1:6">
      <c r="A116">
        <v>347014</v>
      </c>
      <c r="B116" t="s">
        <v>702</v>
      </c>
      <c r="D116" t="s">
        <v>1464</v>
      </c>
      <c r="E116">
        <v>1</v>
      </c>
      <c r="F116">
        <v>26.9</v>
      </c>
    </row>
    <row r="117" spans="1:6">
      <c r="A117">
        <v>347015</v>
      </c>
      <c r="B117" t="s">
        <v>703</v>
      </c>
      <c r="D117" t="s">
        <v>1464</v>
      </c>
      <c r="E117">
        <v>1</v>
      </c>
      <c r="F117">
        <v>59.9</v>
      </c>
    </row>
    <row r="118" spans="1:6">
      <c r="A118">
        <v>347016</v>
      </c>
      <c r="B118" t="s">
        <v>704</v>
      </c>
      <c r="D118" t="s">
        <v>1464</v>
      </c>
      <c r="E118">
        <v>1</v>
      </c>
      <c r="F118">
        <v>49.9</v>
      </c>
    </row>
    <row r="119" spans="1:6">
      <c r="A119">
        <v>347017</v>
      </c>
      <c r="B119" t="s">
        <v>705</v>
      </c>
      <c r="D119" t="s">
        <v>1464</v>
      </c>
      <c r="E119">
        <v>1</v>
      </c>
      <c r="F119">
        <v>59.9</v>
      </c>
    </row>
    <row r="120" spans="1:6">
      <c r="A120">
        <v>347018</v>
      </c>
      <c r="B120" t="s">
        <v>706</v>
      </c>
      <c r="D120" t="s">
        <v>1464</v>
      </c>
      <c r="E120">
        <v>1</v>
      </c>
      <c r="F120">
        <v>41.9</v>
      </c>
    </row>
    <row r="121" spans="1:6">
      <c r="A121">
        <v>347019</v>
      </c>
      <c r="B121" t="s">
        <v>707</v>
      </c>
      <c r="D121" t="s">
        <v>1464</v>
      </c>
      <c r="E121">
        <v>1</v>
      </c>
      <c r="F121">
        <v>26.9</v>
      </c>
    </row>
    <row r="122" spans="1:6">
      <c r="A122">
        <v>347020</v>
      </c>
      <c r="B122" t="s">
        <v>708</v>
      </c>
      <c r="D122" t="s">
        <v>1464</v>
      </c>
      <c r="E122">
        <v>1</v>
      </c>
      <c r="F122">
        <v>69.900000000000006</v>
      </c>
    </row>
    <row r="123" spans="1:6">
      <c r="A123">
        <v>347021</v>
      </c>
      <c r="B123" t="s">
        <v>709</v>
      </c>
      <c r="D123" t="s">
        <v>1464</v>
      </c>
      <c r="E123">
        <v>1</v>
      </c>
      <c r="F123">
        <v>22.9</v>
      </c>
    </row>
    <row r="124" spans="1:6">
      <c r="A124">
        <v>347022</v>
      </c>
      <c r="B124" t="s">
        <v>710</v>
      </c>
      <c r="D124" t="s">
        <v>1464</v>
      </c>
      <c r="E124">
        <v>1</v>
      </c>
      <c r="F124">
        <v>69.900000000000006</v>
      </c>
    </row>
    <row r="125" spans="1:6">
      <c r="A125">
        <v>347023</v>
      </c>
      <c r="B125" t="s">
        <v>711</v>
      </c>
      <c r="D125" t="s">
        <v>1464</v>
      </c>
      <c r="E125">
        <v>1</v>
      </c>
      <c r="F125">
        <v>19.899999999999999</v>
      </c>
    </row>
    <row r="126" spans="1:6">
      <c r="A126">
        <v>347024</v>
      </c>
      <c r="B126" t="s">
        <v>712</v>
      </c>
      <c r="D126" t="s">
        <v>1464</v>
      </c>
      <c r="E126">
        <v>1</v>
      </c>
      <c r="F126">
        <v>15.9</v>
      </c>
    </row>
    <row r="127" spans="1:6">
      <c r="A127">
        <v>347025</v>
      </c>
      <c r="B127" t="s">
        <v>713</v>
      </c>
      <c r="D127" t="s">
        <v>1464</v>
      </c>
      <c r="E127">
        <v>1</v>
      </c>
      <c r="F127">
        <v>29.9</v>
      </c>
    </row>
    <row r="128" spans="1:6">
      <c r="A128">
        <v>347026</v>
      </c>
      <c r="B128" t="s">
        <v>714</v>
      </c>
      <c r="D128" t="s">
        <v>1464</v>
      </c>
      <c r="E128">
        <v>1</v>
      </c>
      <c r="F128">
        <v>29.9</v>
      </c>
    </row>
    <row r="129" spans="1:6">
      <c r="A129">
        <v>347027</v>
      </c>
      <c r="B129" t="s">
        <v>715</v>
      </c>
      <c r="D129" t="s">
        <v>1464</v>
      </c>
      <c r="E129">
        <v>1</v>
      </c>
      <c r="F129">
        <v>29.9</v>
      </c>
    </row>
    <row r="130" spans="1:6">
      <c r="A130">
        <v>347028</v>
      </c>
      <c r="B130" t="s">
        <v>716</v>
      </c>
      <c r="D130" t="s">
        <v>1464</v>
      </c>
      <c r="E130">
        <v>1</v>
      </c>
      <c r="F130">
        <v>36.9</v>
      </c>
    </row>
    <row r="131" spans="1:6">
      <c r="A131">
        <v>347029</v>
      </c>
      <c r="B131" t="s">
        <v>717</v>
      </c>
      <c r="D131" t="s">
        <v>1464</v>
      </c>
      <c r="E131">
        <v>1</v>
      </c>
      <c r="F131">
        <v>46.9</v>
      </c>
    </row>
    <row r="132" spans="1:6">
      <c r="A132">
        <v>347030</v>
      </c>
      <c r="B132" t="s">
        <v>718</v>
      </c>
      <c r="D132" t="s">
        <v>1464</v>
      </c>
      <c r="E132">
        <v>1</v>
      </c>
      <c r="F132">
        <v>24.9</v>
      </c>
    </row>
    <row r="133" spans="1:6">
      <c r="A133">
        <v>348360</v>
      </c>
      <c r="B133" t="s">
        <v>719</v>
      </c>
      <c r="D133" t="s">
        <v>1464</v>
      </c>
      <c r="E133">
        <v>1</v>
      </c>
      <c r="F133">
        <v>69</v>
      </c>
    </row>
    <row r="134" spans="1:6">
      <c r="A134">
        <v>348361</v>
      </c>
      <c r="B134" t="s">
        <v>720</v>
      </c>
      <c r="D134" t="s">
        <v>1464</v>
      </c>
      <c r="E134">
        <v>1</v>
      </c>
      <c r="F134">
        <v>99</v>
      </c>
    </row>
    <row r="135" spans="1:6">
      <c r="A135">
        <v>343709</v>
      </c>
      <c r="B135" t="s">
        <v>721</v>
      </c>
      <c r="D135" t="s">
        <v>1464</v>
      </c>
      <c r="E135">
        <v>24</v>
      </c>
      <c r="F135">
        <v>49.9</v>
      </c>
    </row>
    <row r="136" spans="1:6">
      <c r="A136">
        <v>343941</v>
      </c>
      <c r="B136" t="s">
        <v>722</v>
      </c>
      <c r="D136" t="s">
        <v>1464</v>
      </c>
      <c r="E136">
        <v>24</v>
      </c>
      <c r="F136">
        <v>49.9</v>
      </c>
    </row>
    <row r="137" spans="1:6">
      <c r="A137">
        <v>310013</v>
      </c>
      <c r="B137" t="s">
        <v>1703</v>
      </c>
      <c r="C137" t="s">
        <v>1463</v>
      </c>
      <c r="D137" t="s">
        <v>1464</v>
      </c>
      <c r="E137">
        <v>72</v>
      </c>
      <c r="F137">
        <v>9.8000000000000007</v>
      </c>
    </row>
    <row r="138" spans="1:6">
      <c r="A138">
        <v>310015</v>
      </c>
      <c r="B138" t="s">
        <v>1704</v>
      </c>
      <c r="C138" t="s">
        <v>1463</v>
      </c>
      <c r="D138" t="s">
        <v>1464</v>
      </c>
      <c r="E138">
        <v>96</v>
      </c>
      <c r="F138">
        <v>7.1</v>
      </c>
    </row>
    <row r="139" spans="1:6">
      <c r="A139">
        <v>310026</v>
      </c>
      <c r="B139" t="s">
        <v>1705</v>
      </c>
      <c r="C139" t="s">
        <v>1108</v>
      </c>
      <c r="D139" t="s">
        <v>861</v>
      </c>
      <c r="E139">
        <v>50</v>
      </c>
      <c r="F139">
        <v>15.65</v>
      </c>
    </row>
    <row r="140" spans="1:6">
      <c r="A140">
        <v>310028</v>
      </c>
      <c r="B140" t="s">
        <v>1706</v>
      </c>
      <c r="C140" t="s">
        <v>1108</v>
      </c>
      <c r="D140" t="s">
        <v>861</v>
      </c>
      <c r="E140">
        <v>60</v>
      </c>
      <c r="F140">
        <v>11.45</v>
      </c>
    </row>
    <row r="141" spans="1:6">
      <c r="A141">
        <v>310030</v>
      </c>
      <c r="B141" t="s">
        <v>1707</v>
      </c>
      <c r="C141" t="s">
        <v>1108</v>
      </c>
      <c r="D141" t="s">
        <v>861</v>
      </c>
      <c r="E141">
        <v>60</v>
      </c>
      <c r="F141">
        <v>12.8</v>
      </c>
    </row>
    <row r="142" spans="1:6">
      <c r="A142">
        <v>310031</v>
      </c>
      <c r="B142" t="s">
        <v>1708</v>
      </c>
      <c r="C142" t="s">
        <v>1463</v>
      </c>
      <c r="D142" t="s">
        <v>861</v>
      </c>
      <c r="E142">
        <v>36</v>
      </c>
      <c r="F142">
        <v>15.9</v>
      </c>
    </row>
    <row r="143" spans="1:6">
      <c r="A143">
        <v>310039</v>
      </c>
      <c r="B143" t="s">
        <v>1189</v>
      </c>
      <c r="C143" t="s">
        <v>1108</v>
      </c>
      <c r="D143" t="s">
        <v>1464</v>
      </c>
      <c r="E143">
        <v>60</v>
      </c>
      <c r="F143">
        <v>12.05</v>
      </c>
    </row>
    <row r="144" spans="1:6">
      <c r="A144">
        <v>310442</v>
      </c>
      <c r="B144" t="s">
        <v>1190</v>
      </c>
      <c r="C144" t="s">
        <v>1463</v>
      </c>
      <c r="D144" t="s">
        <v>861</v>
      </c>
      <c r="E144">
        <v>60</v>
      </c>
      <c r="F144">
        <v>12.85</v>
      </c>
    </row>
    <row r="145" spans="1:6">
      <c r="A145">
        <v>310443</v>
      </c>
      <c r="B145" t="s">
        <v>1191</v>
      </c>
      <c r="C145" t="s">
        <v>1108</v>
      </c>
      <c r="D145" t="s">
        <v>861</v>
      </c>
      <c r="E145">
        <v>48</v>
      </c>
      <c r="F145">
        <v>19.55</v>
      </c>
    </row>
    <row r="146" spans="1:6">
      <c r="A146">
        <v>310610</v>
      </c>
      <c r="B146" t="s">
        <v>1192</v>
      </c>
      <c r="C146" t="s">
        <v>1108</v>
      </c>
      <c r="D146" t="s">
        <v>861</v>
      </c>
      <c r="E146">
        <v>60</v>
      </c>
      <c r="F146">
        <v>14.2</v>
      </c>
    </row>
    <row r="147" spans="1:6">
      <c r="A147">
        <v>310625</v>
      </c>
      <c r="B147" t="s">
        <v>1193</v>
      </c>
      <c r="C147" t="s">
        <v>1467</v>
      </c>
      <c r="D147" t="s">
        <v>1464</v>
      </c>
      <c r="E147">
        <v>138</v>
      </c>
      <c r="F147">
        <v>9.6</v>
      </c>
    </row>
    <row r="148" spans="1:6">
      <c r="A148">
        <v>310626</v>
      </c>
      <c r="B148" t="s">
        <v>897</v>
      </c>
      <c r="C148" t="s">
        <v>1463</v>
      </c>
      <c r="D148" t="s">
        <v>1464</v>
      </c>
      <c r="E148">
        <v>160</v>
      </c>
      <c r="F148">
        <v>10.3</v>
      </c>
    </row>
    <row r="149" spans="1:6">
      <c r="A149">
        <v>310627</v>
      </c>
      <c r="B149" t="s">
        <v>898</v>
      </c>
      <c r="C149" t="s">
        <v>1463</v>
      </c>
      <c r="D149" t="s">
        <v>1464</v>
      </c>
      <c r="E149">
        <v>66</v>
      </c>
      <c r="F149">
        <v>18.7</v>
      </c>
    </row>
    <row r="150" spans="1:6">
      <c r="A150">
        <v>303002</v>
      </c>
      <c r="B150" t="s">
        <v>1702</v>
      </c>
      <c r="C150" t="s">
        <v>1467</v>
      </c>
      <c r="D150" t="s">
        <v>1464</v>
      </c>
      <c r="E150">
        <v>384</v>
      </c>
      <c r="F150">
        <v>7.8</v>
      </c>
    </row>
    <row r="151" spans="1:6">
      <c r="A151">
        <v>303004</v>
      </c>
      <c r="B151" t="s">
        <v>626</v>
      </c>
      <c r="C151" t="s">
        <v>1915</v>
      </c>
      <c r="D151" t="s">
        <v>861</v>
      </c>
      <c r="E151">
        <v>66</v>
      </c>
      <c r="F151">
        <v>19.8</v>
      </c>
    </row>
    <row r="152" spans="1:6">
      <c r="A152">
        <v>310381</v>
      </c>
      <c r="B152" t="s">
        <v>627</v>
      </c>
      <c r="C152" t="s">
        <v>1463</v>
      </c>
      <c r="D152" t="s">
        <v>1464</v>
      </c>
      <c r="E152">
        <v>50</v>
      </c>
      <c r="F152">
        <v>2.5</v>
      </c>
    </row>
    <row r="153" spans="1:6">
      <c r="A153">
        <v>310383</v>
      </c>
      <c r="B153" t="s">
        <v>629</v>
      </c>
      <c r="C153" t="s">
        <v>1108</v>
      </c>
      <c r="D153" t="s">
        <v>1464</v>
      </c>
      <c r="E153">
        <v>60</v>
      </c>
      <c r="F153">
        <v>4.2</v>
      </c>
    </row>
    <row r="154" spans="1:6">
      <c r="A154">
        <v>310385</v>
      </c>
      <c r="B154" t="s">
        <v>630</v>
      </c>
      <c r="C154" t="s">
        <v>1463</v>
      </c>
      <c r="D154" t="s">
        <v>1464</v>
      </c>
      <c r="E154">
        <v>80</v>
      </c>
      <c r="F154">
        <v>5.85</v>
      </c>
    </row>
    <row r="155" spans="1:6">
      <c r="A155">
        <v>310401</v>
      </c>
      <c r="B155" t="s">
        <v>631</v>
      </c>
      <c r="C155" t="s">
        <v>1463</v>
      </c>
      <c r="D155" t="s">
        <v>1464</v>
      </c>
      <c r="E155">
        <v>64</v>
      </c>
      <c r="F155">
        <v>7.3</v>
      </c>
    </row>
    <row r="156" spans="1:6">
      <c r="A156">
        <v>310402</v>
      </c>
      <c r="B156" t="s">
        <v>632</v>
      </c>
      <c r="C156" t="s">
        <v>1108</v>
      </c>
      <c r="D156" t="s">
        <v>1464</v>
      </c>
      <c r="E156">
        <v>60</v>
      </c>
      <c r="F156">
        <v>3.75</v>
      </c>
    </row>
    <row r="157" spans="1:6">
      <c r="A157">
        <v>310404</v>
      </c>
      <c r="B157" t="s">
        <v>633</v>
      </c>
      <c r="C157" t="s">
        <v>1108</v>
      </c>
      <c r="D157" t="s">
        <v>1464</v>
      </c>
      <c r="E157">
        <v>72</v>
      </c>
      <c r="F157">
        <v>5.6</v>
      </c>
    </row>
    <row r="158" spans="1:6">
      <c r="A158">
        <v>310406</v>
      </c>
      <c r="B158" t="s">
        <v>634</v>
      </c>
      <c r="C158" t="s">
        <v>1463</v>
      </c>
      <c r="D158" t="s">
        <v>1464</v>
      </c>
      <c r="E158">
        <v>24</v>
      </c>
      <c r="F158">
        <v>8.8000000000000007</v>
      </c>
    </row>
    <row r="159" spans="1:6">
      <c r="A159">
        <v>310408</v>
      </c>
      <c r="B159" t="s">
        <v>635</v>
      </c>
      <c r="C159" t="s">
        <v>1108</v>
      </c>
      <c r="D159" t="s">
        <v>1464</v>
      </c>
      <c r="E159">
        <v>66</v>
      </c>
      <c r="F159">
        <v>5.6</v>
      </c>
    </row>
    <row r="160" spans="1:6">
      <c r="A160">
        <v>310410</v>
      </c>
      <c r="B160" t="s">
        <v>1716</v>
      </c>
      <c r="C160" t="s">
        <v>1108</v>
      </c>
      <c r="D160" t="s">
        <v>1464</v>
      </c>
      <c r="E160">
        <v>30</v>
      </c>
      <c r="F160">
        <v>7.8</v>
      </c>
    </row>
    <row r="161" spans="1:6">
      <c r="A161">
        <v>310411</v>
      </c>
      <c r="B161" t="s">
        <v>1717</v>
      </c>
      <c r="C161" t="s">
        <v>1108</v>
      </c>
      <c r="D161" t="s">
        <v>1464</v>
      </c>
      <c r="E161">
        <v>24</v>
      </c>
      <c r="F161">
        <v>10.6</v>
      </c>
    </row>
    <row r="162" spans="1:6">
      <c r="A162">
        <v>310414</v>
      </c>
      <c r="B162" t="s">
        <v>1718</v>
      </c>
      <c r="C162" t="s">
        <v>1463</v>
      </c>
      <c r="D162" t="s">
        <v>1464</v>
      </c>
      <c r="E162">
        <v>24</v>
      </c>
      <c r="F162">
        <v>7.9</v>
      </c>
    </row>
    <row r="163" spans="1:6">
      <c r="A163">
        <v>310415</v>
      </c>
      <c r="B163" t="s">
        <v>1719</v>
      </c>
      <c r="C163" t="s">
        <v>1108</v>
      </c>
      <c r="D163" t="s">
        <v>1464</v>
      </c>
      <c r="E163">
        <v>20</v>
      </c>
      <c r="F163">
        <v>11.5</v>
      </c>
    </row>
    <row r="164" spans="1:6">
      <c r="A164">
        <v>320181</v>
      </c>
      <c r="B164" t="s">
        <v>899</v>
      </c>
      <c r="C164" t="s">
        <v>1463</v>
      </c>
      <c r="D164" t="s">
        <v>1464</v>
      </c>
      <c r="E164">
        <v>55</v>
      </c>
      <c r="F164">
        <v>14.4</v>
      </c>
    </row>
    <row r="165" spans="1:6">
      <c r="A165">
        <v>345716</v>
      </c>
      <c r="B165" t="s">
        <v>723</v>
      </c>
      <c r="D165" t="s">
        <v>1464</v>
      </c>
      <c r="E165">
        <v>10</v>
      </c>
      <c r="F165">
        <v>49</v>
      </c>
    </row>
    <row r="166" spans="1:6">
      <c r="A166">
        <v>346126</v>
      </c>
      <c r="B166" t="s">
        <v>724</v>
      </c>
      <c r="D166" t="s">
        <v>1464</v>
      </c>
      <c r="E166">
        <v>5</v>
      </c>
      <c r="F166">
        <v>44.9</v>
      </c>
    </row>
    <row r="167" spans="1:6">
      <c r="A167">
        <v>301858</v>
      </c>
      <c r="B167" t="s">
        <v>900</v>
      </c>
      <c r="C167" t="s">
        <v>1721</v>
      </c>
      <c r="D167" t="s">
        <v>1464</v>
      </c>
      <c r="E167">
        <v>12</v>
      </c>
      <c r="F167">
        <v>11.9</v>
      </c>
    </row>
    <row r="168" spans="1:6">
      <c r="A168">
        <v>350005</v>
      </c>
      <c r="B168" t="s">
        <v>461</v>
      </c>
      <c r="C168" t="s">
        <v>1108</v>
      </c>
      <c r="D168" t="s">
        <v>1464</v>
      </c>
      <c r="E168">
        <v>12</v>
      </c>
      <c r="F168">
        <v>7.9</v>
      </c>
    </row>
    <row r="169" spans="1:6">
      <c r="A169">
        <v>350006</v>
      </c>
      <c r="B169" t="s">
        <v>462</v>
      </c>
      <c r="C169" t="s">
        <v>1108</v>
      </c>
      <c r="D169" t="s">
        <v>1464</v>
      </c>
      <c r="E169">
        <v>12</v>
      </c>
      <c r="F169">
        <v>7.9</v>
      </c>
    </row>
    <row r="170" spans="1:6">
      <c r="A170">
        <v>350218</v>
      </c>
      <c r="B170" t="s">
        <v>463</v>
      </c>
      <c r="C170" t="s">
        <v>1721</v>
      </c>
      <c r="D170" t="s">
        <v>1464</v>
      </c>
      <c r="E170">
        <v>12</v>
      </c>
      <c r="F170">
        <v>9.4499999999999993</v>
      </c>
    </row>
    <row r="171" spans="1:6">
      <c r="A171">
        <v>350222</v>
      </c>
      <c r="B171" t="s">
        <v>464</v>
      </c>
      <c r="C171" t="s">
        <v>1721</v>
      </c>
      <c r="D171" t="s">
        <v>1464</v>
      </c>
      <c r="E171">
        <v>12</v>
      </c>
      <c r="F171">
        <v>9.15</v>
      </c>
    </row>
    <row r="172" spans="1:6">
      <c r="A172">
        <v>350230</v>
      </c>
      <c r="B172" t="s">
        <v>1890</v>
      </c>
      <c r="C172" t="s">
        <v>1721</v>
      </c>
      <c r="D172" t="s">
        <v>1464</v>
      </c>
      <c r="E172">
        <v>25</v>
      </c>
      <c r="F172">
        <v>6.1</v>
      </c>
    </row>
    <row r="173" spans="1:6">
      <c r="A173">
        <v>350234</v>
      </c>
      <c r="B173" t="s">
        <v>302</v>
      </c>
      <c r="C173" t="s">
        <v>1467</v>
      </c>
      <c r="D173" t="s">
        <v>1464</v>
      </c>
      <c r="E173">
        <v>2</v>
      </c>
      <c r="F173">
        <v>42.95</v>
      </c>
    </row>
    <row r="174" spans="1:6">
      <c r="A174">
        <v>350241</v>
      </c>
      <c r="B174" t="s">
        <v>303</v>
      </c>
      <c r="C174" t="s">
        <v>1721</v>
      </c>
      <c r="D174" t="s">
        <v>1464</v>
      </c>
      <c r="E174">
        <v>4</v>
      </c>
      <c r="F174">
        <v>61.9</v>
      </c>
    </row>
    <row r="175" spans="1:6">
      <c r="A175">
        <v>350245</v>
      </c>
      <c r="B175" t="s">
        <v>1903</v>
      </c>
      <c r="C175" t="s">
        <v>1721</v>
      </c>
      <c r="D175" t="s">
        <v>1464</v>
      </c>
      <c r="E175">
        <v>12</v>
      </c>
      <c r="F175">
        <v>11.95</v>
      </c>
    </row>
    <row r="176" spans="1:6">
      <c r="A176">
        <v>350248</v>
      </c>
      <c r="B176" t="s">
        <v>1905</v>
      </c>
      <c r="C176" t="s">
        <v>1721</v>
      </c>
      <c r="D176" t="s">
        <v>1464</v>
      </c>
      <c r="E176">
        <v>150</v>
      </c>
      <c r="F176">
        <v>7</v>
      </c>
    </row>
    <row r="177" spans="1:6">
      <c r="A177">
        <v>350250</v>
      </c>
      <c r="B177" t="s">
        <v>901</v>
      </c>
      <c r="C177" t="s">
        <v>1721</v>
      </c>
      <c r="D177" t="s">
        <v>1464</v>
      </c>
      <c r="E177">
        <v>144</v>
      </c>
      <c r="F177">
        <v>10.95</v>
      </c>
    </row>
    <row r="178" spans="1:6">
      <c r="A178">
        <v>350258</v>
      </c>
      <c r="B178" t="s">
        <v>1907</v>
      </c>
      <c r="C178" t="s">
        <v>1721</v>
      </c>
      <c r="D178" t="s">
        <v>1464</v>
      </c>
      <c r="E178">
        <v>12</v>
      </c>
      <c r="F178">
        <v>9.1999999999999993</v>
      </c>
    </row>
    <row r="179" spans="1:6">
      <c r="A179">
        <v>350259</v>
      </c>
      <c r="B179" t="s">
        <v>902</v>
      </c>
      <c r="C179" t="s">
        <v>1721</v>
      </c>
      <c r="D179" t="s">
        <v>1464</v>
      </c>
      <c r="E179">
        <v>12</v>
      </c>
      <c r="F179">
        <v>14.8</v>
      </c>
    </row>
    <row r="180" spans="1:6">
      <c r="A180">
        <v>350275</v>
      </c>
      <c r="B180" t="s">
        <v>1908</v>
      </c>
      <c r="C180" t="s">
        <v>1721</v>
      </c>
      <c r="D180" t="s">
        <v>1464</v>
      </c>
      <c r="E180">
        <v>12</v>
      </c>
      <c r="F180">
        <v>6.25</v>
      </c>
    </row>
    <row r="181" spans="1:6">
      <c r="A181">
        <v>350276</v>
      </c>
      <c r="B181" t="s">
        <v>1909</v>
      </c>
      <c r="C181" t="s">
        <v>1721</v>
      </c>
      <c r="D181" t="s">
        <v>1464</v>
      </c>
      <c r="E181">
        <v>12</v>
      </c>
      <c r="F181">
        <v>7.75</v>
      </c>
    </row>
    <row r="182" spans="1:6">
      <c r="A182">
        <v>350282</v>
      </c>
      <c r="B182" t="s">
        <v>1910</v>
      </c>
      <c r="C182" t="s">
        <v>1721</v>
      </c>
      <c r="D182" t="s">
        <v>1464</v>
      </c>
      <c r="E182">
        <v>12</v>
      </c>
      <c r="F182">
        <v>4.9000000000000004</v>
      </c>
    </row>
    <row r="183" spans="1:6">
      <c r="A183">
        <v>350500</v>
      </c>
      <c r="B183" t="s">
        <v>1866</v>
      </c>
      <c r="C183" t="s">
        <v>1721</v>
      </c>
      <c r="D183" t="s">
        <v>1464</v>
      </c>
      <c r="E183">
        <v>12</v>
      </c>
      <c r="F183">
        <v>6.9</v>
      </c>
    </row>
    <row r="184" spans="1:6">
      <c r="A184">
        <v>350501</v>
      </c>
      <c r="B184" t="s">
        <v>1793</v>
      </c>
      <c r="C184" t="s">
        <v>1721</v>
      </c>
      <c r="D184" t="s">
        <v>1464</v>
      </c>
      <c r="E184">
        <v>12</v>
      </c>
      <c r="F184">
        <v>9.1999999999999993</v>
      </c>
    </row>
    <row r="185" spans="1:6">
      <c r="A185">
        <v>350502</v>
      </c>
      <c r="B185" t="s">
        <v>1794</v>
      </c>
      <c r="C185" t="s">
        <v>1108</v>
      </c>
      <c r="D185" t="s">
        <v>1464</v>
      </c>
      <c r="E185">
        <v>20</v>
      </c>
      <c r="F185">
        <v>16.899999999999999</v>
      </c>
    </row>
    <row r="186" spans="1:6">
      <c r="A186">
        <v>350503</v>
      </c>
      <c r="B186" t="s">
        <v>1795</v>
      </c>
      <c r="C186" t="s">
        <v>1721</v>
      </c>
      <c r="D186" t="s">
        <v>1464</v>
      </c>
      <c r="E186">
        <v>12</v>
      </c>
      <c r="F186">
        <v>9.1999999999999993</v>
      </c>
    </row>
    <row r="187" spans="1:6">
      <c r="A187">
        <v>350504</v>
      </c>
      <c r="B187" t="s">
        <v>350</v>
      </c>
      <c r="C187" t="s">
        <v>1108</v>
      </c>
      <c r="D187" t="s">
        <v>1464</v>
      </c>
      <c r="E187">
        <v>12</v>
      </c>
      <c r="F187">
        <v>4.95</v>
      </c>
    </row>
    <row r="188" spans="1:6">
      <c r="A188">
        <v>350505</v>
      </c>
      <c r="B188" t="s">
        <v>1041</v>
      </c>
      <c r="C188" t="s">
        <v>1721</v>
      </c>
      <c r="D188" t="s">
        <v>1464</v>
      </c>
      <c r="E188">
        <v>12</v>
      </c>
      <c r="F188">
        <v>10.9</v>
      </c>
    </row>
    <row r="189" spans="1:6">
      <c r="A189">
        <v>354064</v>
      </c>
      <c r="B189" t="s">
        <v>1911</v>
      </c>
      <c r="C189" t="s">
        <v>1108</v>
      </c>
      <c r="D189" t="s">
        <v>1464</v>
      </c>
      <c r="E189">
        <v>2</v>
      </c>
      <c r="F189">
        <v>39.950000000000003</v>
      </c>
    </row>
    <row r="190" spans="1:6">
      <c r="A190">
        <v>377771</v>
      </c>
      <c r="B190" t="s">
        <v>903</v>
      </c>
      <c r="D190" t="s">
        <v>1464</v>
      </c>
      <c r="E190">
        <v>12</v>
      </c>
      <c r="F190">
        <v>149</v>
      </c>
    </row>
    <row r="191" spans="1:6">
      <c r="A191">
        <v>380450</v>
      </c>
      <c r="B191" t="s">
        <v>904</v>
      </c>
      <c r="D191" t="s">
        <v>1464</v>
      </c>
      <c r="E191">
        <v>11</v>
      </c>
      <c r="F191">
        <v>99</v>
      </c>
    </row>
    <row r="192" spans="1:6">
      <c r="A192">
        <v>300029</v>
      </c>
      <c r="B192" t="s">
        <v>905</v>
      </c>
      <c r="D192" t="s">
        <v>1464</v>
      </c>
      <c r="E192">
        <v>30</v>
      </c>
      <c r="F192">
        <v>4.5</v>
      </c>
    </row>
    <row r="193" spans="1:6">
      <c r="A193">
        <v>300039</v>
      </c>
      <c r="B193" t="s">
        <v>906</v>
      </c>
      <c r="D193" t="s">
        <v>1464</v>
      </c>
      <c r="E193">
        <v>30</v>
      </c>
      <c r="F193">
        <v>4.5</v>
      </c>
    </row>
    <row r="194" spans="1:6">
      <c r="A194">
        <v>300291</v>
      </c>
      <c r="B194" t="s">
        <v>907</v>
      </c>
      <c r="C194" t="s">
        <v>1441</v>
      </c>
      <c r="D194" t="s">
        <v>861</v>
      </c>
      <c r="E194">
        <v>60</v>
      </c>
      <c r="F194">
        <v>16.440000000000001</v>
      </c>
    </row>
    <row r="195" spans="1:6">
      <c r="A195">
        <v>300292</v>
      </c>
      <c r="B195" t="s">
        <v>908</v>
      </c>
      <c r="C195" t="s">
        <v>909</v>
      </c>
      <c r="D195" t="s">
        <v>861</v>
      </c>
      <c r="E195">
        <v>45</v>
      </c>
      <c r="F195">
        <v>28.11</v>
      </c>
    </row>
    <row r="196" spans="1:6">
      <c r="A196">
        <v>300312</v>
      </c>
      <c r="B196" t="s">
        <v>910</v>
      </c>
      <c r="D196" t="s">
        <v>861</v>
      </c>
      <c r="E196">
        <v>40</v>
      </c>
      <c r="F196">
        <v>12.98</v>
      </c>
    </row>
    <row r="197" spans="1:6">
      <c r="A197">
        <v>300324</v>
      </c>
      <c r="B197" t="s">
        <v>911</v>
      </c>
      <c r="D197" t="s">
        <v>861</v>
      </c>
      <c r="E197">
        <v>40</v>
      </c>
      <c r="F197">
        <v>12.98</v>
      </c>
    </row>
    <row r="198" spans="1:6">
      <c r="A198">
        <v>300332</v>
      </c>
      <c r="B198" t="s">
        <v>912</v>
      </c>
      <c r="D198" t="s">
        <v>861</v>
      </c>
      <c r="E198">
        <v>44</v>
      </c>
      <c r="F198">
        <v>9999</v>
      </c>
    </row>
    <row r="199" spans="1:6">
      <c r="A199">
        <v>300334</v>
      </c>
      <c r="B199" t="s">
        <v>913</v>
      </c>
      <c r="D199" t="s">
        <v>1464</v>
      </c>
      <c r="E199">
        <v>56</v>
      </c>
      <c r="F199">
        <v>9999</v>
      </c>
    </row>
    <row r="200" spans="1:6">
      <c r="A200">
        <v>300609</v>
      </c>
      <c r="B200" t="s">
        <v>1912</v>
      </c>
      <c r="C200" t="s">
        <v>1721</v>
      </c>
      <c r="D200" t="s">
        <v>1464</v>
      </c>
      <c r="E200">
        <v>24</v>
      </c>
      <c r="F200">
        <v>10.4</v>
      </c>
    </row>
    <row r="201" spans="1:6">
      <c r="A201">
        <v>301752</v>
      </c>
      <c r="B201" t="s">
        <v>1092</v>
      </c>
      <c r="C201" t="s">
        <v>1913</v>
      </c>
      <c r="D201" t="s">
        <v>861</v>
      </c>
      <c r="E201">
        <v>60</v>
      </c>
      <c r="F201">
        <v>10.28</v>
      </c>
    </row>
    <row r="202" spans="1:6">
      <c r="A202">
        <v>301761</v>
      </c>
      <c r="B202" t="s">
        <v>1094</v>
      </c>
      <c r="C202" t="s">
        <v>914</v>
      </c>
      <c r="D202" t="s">
        <v>861</v>
      </c>
      <c r="E202">
        <v>40</v>
      </c>
      <c r="F202">
        <v>16.440000000000001</v>
      </c>
    </row>
    <row r="203" spans="1:6">
      <c r="A203">
        <v>301765</v>
      </c>
      <c r="B203" t="s">
        <v>1096</v>
      </c>
      <c r="C203" t="s">
        <v>239</v>
      </c>
      <c r="D203" t="s">
        <v>861</v>
      </c>
      <c r="E203">
        <v>40</v>
      </c>
      <c r="F203">
        <v>16.440000000000001</v>
      </c>
    </row>
    <row r="204" spans="1:6">
      <c r="A204">
        <v>301788</v>
      </c>
      <c r="B204" t="s">
        <v>1097</v>
      </c>
      <c r="C204" t="s">
        <v>915</v>
      </c>
      <c r="D204" t="s">
        <v>861</v>
      </c>
      <c r="E204">
        <v>52</v>
      </c>
      <c r="F204">
        <v>15.75</v>
      </c>
    </row>
    <row r="205" spans="1:6">
      <c r="A205">
        <v>301944</v>
      </c>
      <c r="B205" t="s">
        <v>916</v>
      </c>
      <c r="D205" t="s">
        <v>1464</v>
      </c>
      <c r="E205">
        <v>30</v>
      </c>
      <c r="F205">
        <v>4.5</v>
      </c>
    </row>
    <row r="206" spans="1:6">
      <c r="A206">
        <v>301968</v>
      </c>
      <c r="B206" t="s">
        <v>917</v>
      </c>
      <c r="D206" t="s">
        <v>1464</v>
      </c>
      <c r="E206">
        <v>30</v>
      </c>
      <c r="F206">
        <v>4.5</v>
      </c>
    </row>
    <row r="207" spans="1:6">
      <c r="A207">
        <v>302001</v>
      </c>
      <c r="B207" t="s">
        <v>1102</v>
      </c>
      <c r="C207" t="s">
        <v>914</v>
      </c>
      <c r="D207" t="s">
        <v>861</v>
      </c>
      <c r="E207">
        <v>52</v>
      </c>
      <c r="F207">
        <v>15.75</v>
      </c>
    </row>
    <row r="208" spans="1:6">
      <c r="A208">
        <v>302010</v>
      </c>
      <c r="B208" t="s">
        <v>1104</v>
      </c>
      <c r="C208" t="s">
        <v>909</v>
      </c>
      <c r="D208" t="s">
        <v>861</v>
      </c>
      <c r="E208">
        <v>48</v>
      </c>
      <c r="F208">
        <v>16.57</v>
      </c>
    </row>
    <row r="209" spans="1:6">
      <c r="A209">
        <v>302011</v>
      </c>
      <c r="B209" t="s">
        <v>1105</v>
      </c>
      <c r="C209" t="s">
        <v>1913</v>
      </c>
      <c r="D209" t="s">
        <v>861</v>
      </c>
      <c r="E209">
        <v>44</v>
      </c>
      <c r="F209">
        <v>23.78</v>
      </c>
    </row>
    <row r="210" spans="1:6">
      <c r="A210">
        <v>302018</v>
      </c>
      <c r="B210" t="s">
        <v>226</v>
      </c>
      <c r="C210" t="s">
        <v>909</v>
      </c>
      <c r="D210" t="s">
        <v>861</v>
      </c>
      <c r="E210">
        <v>44</v>
      </c>
      <c r="F210">
        <v>23.78</v>
      </c>
    </row>
    <row r="211" spans="1:6">
      <c r="A211">
        <v>302019</v>
      </c>
      <c r="B211" t="s">
        <v>227</v>
      </c>
      <c r="C211" t="s">
        <v>918</v>
      </c>
      <c r="D211" t="s">
        <v>861</v>
      </c>
      <c r="E211">
        <v>45</v>
      </c>
      <c r="F211">
        <v>28.11</v>
      </c>
    </row>
    <row r="212" spans="1:6">
      <c r="A212">
        <v>302020</v>
      </c>
      <c r="B212" t="s">
        <v>328</v>
      </c>
      <c r="C212" t="s">
        <v>918</v>
      </c>
      <c r="D212" t="s">
        <v>861</v>
      </c>
      <c r="E212">
        <v>48</v>
      </c>
      <c r="F212">
        <v>16.57</v>
      </c>
    </row>
    <row r="213" spans="1:6">
      <c r="A213">
        <v>302025</v>
      </c>
      <c r="B213" t="s">
        <v>919</v>
      </c>
      <c r="C213" t="s">
        <v>883</v>
      </c>
      <c r="D213" t="s">
        <v>861</v>
      </c>
      <c r="E213">
        <v>44</v>
      </c>
      <c r="F213">
        <v>23.78</v>
      </c>
    </row>
    <row r="214" spans="1:6">
      <c r="A214">
        <v>302027</v>
      </c>
      <c r="B214" t="s">
        <v>920</v>
      </c>
      <c r="C214" t="s">
        <v>883</v>
      </c>
      <c r="D214" t="s">
        <v>861</v>
      </c>
      <c r="E214">
        <v>45</v>
      </c>
      <c r="F214">
        <v>26.73</v>
      </c>
    </row>
    <row r="215" spans="1:6">
      <c r="A215">
        <v>302028</v>
      </c>
      <c r="B215" t="s">
        <v>921</v>
      </c>
      <c r="C215" t="s">
        <v>909</v>
      </c>
      <c r="D215" t="s">
        <v>861</v>
      </c>
      <c r="E215">
        <v>60</v>
      </c>
      <c r="F215">
        <v>16.440000000000001</v>
      </c>
    </row>
    <row r="216" spans="1:6">
      <c r="A216">
        <v>302029</v>
      </c>
      <c r="B216" t="s">
        <v>922</v>
      </c>
      <c r="C216" t="s">
        <v>918</v>
      </c>
      <c r="D216" t="s">
        <v>861</v>
      </c>
      <c r="E216">
        <v>60</v>
      </c>
      <c r="F216">
        <v>7.98</v>
      </c>
    </row>
    <row r="217" spans="1:6">
      <c r="A217">
        <v>302032</v>
      </c>
      <c r="B217" t="s">
        <v>923</v>
      </c>
      <c r="C217" t="s">
        <v>909</v>
      </c>
      <c r="D217" t="s">
        <v>861</v>
      </c>
      <c r="E217">
        <v>48</v>
      </c>
      <c r="F217">
        <v>16.57</v>
      </c>
    </row>
    <row r="218" spans="1:6">
      <c r="A218">
        <v>302035</v>
      </c>
      <c r="B218" t="s">
        <v>924</v>
      </c>
      <c r="C218" t="s">
        <v>914</v>
      </c>
      <c r="D218" t="s">
        <v>861</v>
      </c>
      <c r="E218">
        <v>60</v>
      </c>
      <c r="F218">
        <v>16.440000000000001</v>
      </c>
    </row>
    <row r="219" spans="1:6">
      <c r="A219">
        <v>302047</v>
      </c>
      <c r="B219" t="s">
        <v>925</v>
      </c>
      <c r="D219" t="s">
        <v>861</v>
      </c>
      <c r="E219">
        <v>45</v>
      </c>
      <c r="F219">
        <v>28.11</v>
      </c>
    </row>
    <row r="220" spans="1:6">
      <c r="A220">
        <v>302049</v>
      </c>
      <c r="B220" t="s">
        <v>926</v>
      </c>
      <c r="D220" t="s">
        <v>861</v>
      </c>
      <c r="E220">
        <v>45</v>
      </c>
      <c r="F220">
        <v>28.11</v>
      </c>
    </row>
    <row r="221" spans="1:6">
      <c r="A221">
        <v>345700</v>
      </c>
      <c r="B221" t="s">
        <v>725</v>
      </c>
      <c r="D221" t="s">
        <v>1464</v>
      </c>
      <c r="E221">
        <v>12</v>
      </c>
      <c r="F221">
        <v>34.9</v>
      </c>
    </row>
    <row r="222" spans="1:6">
      <c r="A222">
        <v>360770</v>
      </c>
      <c r="B222" t="s">
        <v>1914</v>
      </c>
      <c r="C222" t="s">
        <v>914</v>
      </c>
      <c r="D222" t="s">
        <v>861</v>
      </c>
      <c r="E222">
        <v>65</v>
      </c>
      <c r="F222">
        <v>11.76</v>
      </c>
    </row>
    <row r="223" spans="1:6">
      <c r="A223">
        <v>360785</v>
      </c>
      <c r="B223" t="s">
        <v>927</v>
      </c>
      <c r="C223" t="s">
        <v>914</v>
      </c>
      <c r="D223" t="s">
        <v>861</v>
      </c>
      <c r="E223">
        <v>65</v>
      </c>
      <c r="F223">
        <v>15.12</v>
      </c>
    </row>
    <row r="224" spans="1:6">
      <c r="A224">
        <v>360786</v>
      </c>
      <c r="B224" t="s">
        <v>928</v>
      </c>
      <c r="C224" t="s">
        <v>1915</v>
      </c>
      <c r="D224" t="s">
        <v>861</v>
      </c>
      <c r="E224">
        <v>65</v>
      </c>
      <c r="F224">
        <v>15.12</v>
      </c>
    </row>
    <row r="225" spans="1:6">
      <c r="A225">
        <v>360787</v>
      </c>
      <c r="B225" t="s">
        <v>929</v>
      </c>
      <c r="C225" t="s">
        <v>1790</v>
      </c>
      <c r="D225" t="s">
        <v>861</v>
      </c>
      <c r="E225">
        <v>60</v>
      </c>
      <c r="F225">
        <v>16.54</v>
      </c>
    </row>
    <row r="226" spans="1:6">
      <c r="A226">
        <v>360788</v>
      </c>
      <c r="B226" t="s">
        <v>930</v>
      </c>
      <c r="C226" t="s">
        <v>1467</v>
      </c>
      <c r="D226" t="s">
        <v>861</v>
      </c>
      <c r="E226">
        <v>60</v>
      </c>
      <c r="F226">
        <v>16.54</v>
      </c>
    </row>
    <row r="227" spans="1:6">
      <c r="A227">
        <v>372343</v>
      </c>
      <c r="B227" t="s">
        <v>1916</v>
      </c>
      <c r="C227" t="s">
        <v>1467</v>
      </c>
      <c r="D227" t="s">
        <v>1464</v>
      </c>
      <c r="E227">
        <v>20</v>
      </c>
      <c r="F227">
        <v>5.05</v>
      </c>
    </row>
    <row r="228" spans="1:6">
      <c r="A228">
        <v>372344</v>
      </c>
      <c r="B228" t="s">
        <v>1917</v>
      </c>
      <c r="C228" t="s">
        <v>1790</v>
      </c>
      <c r="D228" t="s">
        <v>1464</v>
      </c>
      <c r="E228">
        <v>20</v>
      </c>
      <c r="F228">
        <v>5.05</v>
      </c>
    </row>
    <row r="229" spans="1:6">
      <c r="A229">
        <v>372376</v>
      </c>
      <c r="B229" t="s">
        <v>931</v>
      </c>
      <c r="C229" t="s">
        <v>1467</v>
      </c>
      <c r="D229" t="s">
        <v>1464</v>
      </c>
      <c r="E229">
        <v>20</v>
      </c>
      <c r="F229">
        <v>5.05</v>
      </c>
    </row>
    <row r="230" spans="1:6">
      <c r="A230">
        <v>372377</v>
      </c>
      <c r="B230" t="s">
        <v>932</v>
      </c>
      <c r="C230" t="s">
        <v>1463</v>
      </c>
      <c r="D230" t="s">
        <v>1464</v>
      </c>
      <c r="E230">
        <v>20</v>
      </c>
      <c r="F230">
        <v>5.05</v>
      </c>
    </row>
    <row r="231" spans="1:6">
      <c r="A231">
        <v>372379</v>
      </c>
      <c r="B231" t="s">
        <v>933</v>
      </c>
      <c r="C231" t="s">
        <v>1792</v>
      </c>
      <c r="D231" t="s">
        <v>1464</v>
      </c>
      <c r="E231">
        <v>20</v>
      </c>
      <c r="F231">
        <v>5.05</v>
      </c>
    </row>
    <row r="232" spans="1:6">
      <c r="A232">
        <v>372380</v>
      </c>
      <c r="B232" t="s">
        <v>934</v>
      </c>
      <c r="C232" t="s">
        <v>1915</v>
      </c>
      <c r="D232" t="s">
        <v>1464</v>
      </c>
      <c r="E232">
        <v>20</v>
      </c>
      <c r="F232">
        <v>5.05</v>
      </c>
    </row>
    <row r="233" spans="1:6">
      <c r="A233">
        <v>372382</v>
      </c>
      <c r="B233" t="s">
        <v>935</v>
      </c>
      <c r="C233" t="s">
        <v>1463</v>
      </c>
      <c r="D233" t="s">
        <v>1464</v>
      </c>
      <c r="E233">
        <v>30</v>
      </c>
      <c r="F233">
        <v>5.05</v>
      </c>
    </row>
    <row r="234" spans="1:6">
      <c r="A234">
        <v>372383</v>
      </c>
      <c r="B234" t="s">
        <v>936</v>
      </c>
      <c r="C234" t="s">
        <v>1792</v>
      </c>
      <c r="D234" t="s">
        <v>1464</v>
      </c>
      <c r="E234">
        <v>30</v>
      </c>
      <c r="F234">
        <v>5.05</v>
      </c>
    </row>
    <row r="235" spans="1:6">
      <c r="A235">
        <v>372385</v>
      </c>
      <c r="B235" t="s">
        <v>937</v>
      </c>
      <c r="C235" t="s">
        <v>1467</v>
      </c>
      <c r="D235" t="s">
        <v>1464</v>
      </c>
      <c r="E235">
        <v>20</v>
      </c>
      <c r="F235">
        <v>5</v>
      </c>
    </row>
    <row r="236" spans="1:6">
      <c r="A236">
        <v>372386</v>
      </c>
      <c r="B236" t="s">
        <v>1042</v>
      </c>
      <c r="C236" t="s">
        <v>1915</v>
      </c>
      <c r="D236" t="s">
        <v>1464</v>
      </c>
      <c r="E236">
        <v>30</v>
      </c>
      <c r="F236">
        <v>5</v>
      </c>
    </row>
    <row r="237" spans="1:6">
      <c r="A237">
        <v>372387</v>
      </c>
      <c r="B237" t="s">
        <v>1043</v>
      </c>
      <c r="C237" t="s">
        <v>1463</v>
      </c>
      <c r="D237" t="s">
        <v>1464</v>
      </c>
      <c r="E237">
        <v>20</v>
      </c>
      <c r="F237">
        <v>5</v>
      </c>
    </row>
    <row r="238" spans="1:6">
      <c r="A238">
        <v>372388</v>
      </c>
      <c r="B238" t="s">
        <v>1139</v>
      </c>
      <c r="C238" t="s">
        <v>1463</v>
      </c>
      <c r="D238" t="s">
        <v>1464</v>
      </c>
      <c r="E238">
        <v>20</v>
      </c>
      <c r="F238">
        <v>5</v>
      </c>
    </row>
    <row r="239" spans="1:6">
      <c r="A239">
        <v>372389</v>
      </c>
      <c r="B239" t="s">
        <v>1140</v>
      </c>
      <c r="C239" t="s">
        <v>1467</v>
      </c>
      <c r="D239" t="s">
        <v>1464</v>
      </c>
      <c r="E239">
        <v>30</v>
      </c>
      <c r="F239">
        <v>5</v>
      </c>
    </row>
    <row r="240" spans="1:6">
      <c r="A240">
        <v>372390</v>
      </c>
      <c r="B240" t="s">
        <v>1141</v>
      </c>
      <c r="C240" t="s">
        <v>1467</v>
      </c>
      <c r="D240" t="s">
        <v>1464</v>
      </c>
      <c r="E240">
        <v>20</v>
      </c>
      <c r="F240">
        <v>5</v>
      </c>
    </row>
    <row r="241" spans="1:6">
      <c r="A241">
        <v>372459</v>
      </c>
      <c r="B241" t="s">
        <v>1918</v>
      </c>
      <c r="C241" t="s">
        <v>1463</v>
      </c>
      <c r="D241" t="s">
        <v>1464</v>
      </c>
      <c r="E241">
        <v>30</v>
      </c>
      <c r="F241">
        <v>5.05</v>
      </c>
    </row>
    <row r="242" spans="1:6">
      <c r="A242">
        <v>302769</v>
      </c>
      <c r="B242" t="s">
        <v>1919</v>
      </c>
      <c r="C242" t="s">
        <v>239</v>
      </c>
      <c r="D242" t="s">
        <v>1464</v>
      </c>
      <c r="E242">
        <v>67</v>
      </c>
      <c r="F242">
        <v>5.09</v>
      </c>
    </row>
    <row r="243" spans="1:6">
      <c r="A243">
        <v>302772</v>
      </c>
      <c r="B243" t="s">
        <v>1920</v>
      </c>
      <c r="C243" t="s">
        <v>883</v>
      </c>
      <c r="D243" t="s">
        <v>1464</v>
      </c>
      <c r="E243">
        <v>63</v>
      </c>
      <c r="F243">
        <v>6.16</v>
      </c>
    </row>
    <row r="244" spans="1:6">
      <c r="A244">
        <v>302773</v>
      </c>
      <c r="B244" t="s">
        <v>494</v>
      </c>
      <c r="C244" t="s">
        <v>1441</v>
      </c>
      <c r="D244" t="s">
        <v>1464</v>
      </c>
      <c r="E244">
        <v>52</v>
      </c>
      <c r="F244">
        <v>7.76</v>
      </c>
    </row>
    <row r="245" spans="1:6">
      <c r="A245">
        <v>302776</v>
      </c>
      <c r="B245" t="s">
        <v>938</v>
      </c>
      <c r="D245" t="s">
        <v>1464</v>
      </c>
      <c r="E245">
        <v>37</v>
      </c>
      <c r="F245">
        <v>8</v>
      </c>
    </row>
    <row r="246" spans="1:6">
      <c r="A246">
        <v>302777</v>
      </c>
      <c r="B246" t="s">
        <v>939</v>
      </c>
      <c r="C246" t="s">
        <v>909</v>
      </c>
      <c r="D246" t="s">
        <v>1464</v>
      </c>
      <c r="E246">
        <v>63</v>
      </c>
      <c r="F246">
        <v>7.92</v>
      </c>
    </row>
    <row r="247" spans="1:6">
      <c r="A247">
        <v>302778</v>
      </c>
      <c r="B247" t="s">
        <v>940</v>
      </c>
      <c r="D247" t="s">
        <v>1464</v>
      </c>
      <c r="E247">
        <v>52</v>
      </c>
      <c r="F247">
        <v>9.4700000000000006</v>
      </c>
    </row>
    <row r="248" spans="1:6">
      <c r="A248">
        <v>360126</v>
      </c>
      <c r="B248" t="s">
        <v>496</v>
      </c>
      <c r="C248" t="s">
        <v>1792</v>
      </c>
      <c r="D248" t="s">
        <v>1464</v>
      </c>
      <c r="E248">
        <v>57</v>
      </c>
      <c r="F248">
        <v>18.899999999999999</v>
      </c>
    </row>
    <row r="249" spans="1:6">
      <c r="A249">
        <v>372607</v>
      </c>
      <c r="B249" t="s">
        <v>941</v>
      </c>
      <c r="C249" t="s">
        <v>1463</v>
      </c>
      <c r="D249" t="s">
        <v>1464</v>
      </c>
      <c r="E249">
        <v>35</v>
      </c>
      <c r="F249">
        <v>23.7</v>
      </c>
    </row>
    <row r="250" spans="1:6">
      <c r="A250">
        <v>300964</v>
      </c>
      <c r="B250" t="s">
        <v>942</v>
      </c>
      <c r="D250" t="s">
        <v>1464</v>
      </c>
      <c r="E250">
        <v>44</v>
      </c>
      <c r="F250">
        <v>4.49</v>
      </c>
    </row>
    <row r="251" spans="1:6">
      <c r="A251">
        <v>303003</v>
      </c>
      <c r="B251" t="s">
        <v>228</v>
      </c>
      <c r="C251" t="s">
        <v>1463</v>
      </c>
      <c r="D251" t="s">
        <v>1464</v>
      </c>
      <c r="E251">
        <v>8</v>
      </c>
      <c r="F251">
        <v>4.3499999999999996</v>
      </c>
    </row>
    <row r="252" spans="1:6">
      <c r="A252">
        <v>313370</v>
      </c>
      <c r="B252" t="s">
        <v>229</v>
      </c>
      <c r="C252" t="s">
        <v>1467</v>
      </c>
      <c r="D252" t="s">
        <v>1464</v>
      </c>
      <c r="E252">
        <v>50</v>
      </c>
      <c r="F252">
        <v>1.45</v>
      </c>
    </row>
    <row r="253" spans="1:6">
      <c r="A253">
        <v>313371</v>
      </c>
      <c r="B253" t="s">
        <v>230</v>
      </c>
      <c r="C253" t="s">
        <v>1463</v>
      </c>
      <c r="D253" t="s">
        <v>1464</v>
      </c>
      <c r="E253">
        <v>50</v>
      </c>
      <c r="F253">
        <v>1.95</v>
      </c>
    </row>
    <row r="254" spans="1:6">
      <c r="A254">
        <v>313372</v>
      </c>
      <c r="B254" t="s">
        <v>231</v>
      </c>
      <c r="C254" t="s">
        <v>1463</v>
      </c>
      <c r="D254" t="s">
        <v>1464</v>
      </c>
      <c r="E254">
        <v>50</v>
      </c>
      <c r="F254">
        <v>2.9</v>
      </c>
    </row>
    <row r="255" spans="1:6">
      <c r="A255">
        <v>313374</v>
      </c>
      <c r="B255" t="s">
        <v>232</v>
      </c>
      <c r="C255" t="s">
        <v>1463</v>
      </c>
      <c r="D255" t="s">
        <v>1464</v>
      </c>
      <c r="E255">
        <v>50</v>
      </c>
      <c r="F255">
        <v>4.0999999999999996</v>
      </c>
    </row>
    <row r="256" spans="1:6">
      <c r="A256">
        <v>313378</v>
      </c>
      <c r="B256" t="s">
        <v>233</v>
      </c>
      <c r="C256" t="s">
        <v>1467</v>
      </c>
      <c r="D256" t="s">
        <v>1464</v>
      </c>
      <c r="E256">
        <v>50</v>
      </c>
      <c r="F256">
        <v>2.2999999999999998</v>
      </c>
    </row>
    <row r="257" spans="1:6">
      <c r="A257">
        <v>313379</v>
      </c>
      <c r="B257" t="s">
        <v>234</v>
      </c>
      <c r="C257" t="s">
        <v>1463</v>
      </c>
      <c r="D257" t="s">
        <v>1464</v>
      </c>
      <c r="E257">
        <v>50</v>
      </c>
      <c r="F257">
        <v>2.5</v>
      </c>
    </row>
    <row r="258" spans="1:6">
      <c r="A258">
        <v>313380</v>
      </c>
      <c r="B258" t="s">
        <v>505</v>
      </c>
      <c r="C258" t="s">
        <v>1463</v>
      </c>
      <c r="D258" t="s">
        <v>1464</v>
      </c>
      <c r="E258">
        <v>50</v>
      </c>
      <c r="F258">
        <v>3.2</v>
      </c>
    </row>
    <row r="259" spans="1:6">
      <c r="A259">
        <v>313387</v>
      </c>
      <c r="B259" t="s">
        <v>506</v>
      </c>
      <c r="C259" t="s">
        <v>1463</v>
      </c>
      <c r="D259" t="s">
        <v>1464</v>
      </c>
      <c r="E259">
        <v>50</v>
      </c>
      <c r="F259">
        <v>3.3</v>
      </c>
    </row>
    <row r="260" spans="1:6">
      <c r="A260">
        <v>313388</v>
      </c>
      <c r="B260" t="s">
        <v>507</v>
      </c>
      <c r="C260" t="s">
        <v>1463</v>
      </c>
      <c r="D260" t="s">
        <v>1464</v>
      </c>
      <c r="E260">
        <v>40</v>
      </c>
      <c r="F260">
        <v>4.3</v>
      </c>
    </row>
    <row r="261" spans="1:6">
      <c r="A261">
        <v>313389</v>
      </c>
      <c r="B261" t="s">
        <v>1479</v>
      </c>
      <c r="C261" t="s">
        <v>1463</v>
      </c>
      <c r="D261" t="s">
        <v>1464</v>
      </c>
      <c r="E261">
        <v>30</v>
      </c>
      <c r="F261">
        <v>5.4</v>
      </c>
    </row>
    <row r="262" spans="1:6">
      <c r="A262">
        <v>313393</v>
      </c>
      <c r="B262" t="s">
        <v>584</v>
      </c>
      <c r="C262" t="s">
        <v>1463</v>
      </c>
      <c r="D262" t="s">
        <v>1464</v>
      </c>
      <c r="E262">
        <v>50</v>
      </c>
      <c r="F262">
        <v>3.8</v>
      </c>
    </row>
    <row r="263" spans="1:6">
      <c r="A263">
        <v>313398</v>
      </c>
      <c r="B263" t="s">
        <v>585</v>
      </c>
      <c r="C263" t="s">
        <v>1108</v>
      </c>
      <c r="D263" t="s">
        <v>1464</v>
      </c>
      <c r="E263">
        <v>32</v>
      </c>
      <c r="F263">
        <v>5.95</v>
      </c>
    </row>
    <row r="264" spans="1:6">
      <c r="A264">
        <v>330029</v>
      </c>
      <c r="B264" t="s">
        <v>471</v>
      </c>
      <c r="C264" t="s">
        <v>1108</v>
      </c>
      <c r="D264" t="s">
        <v>861</v>
      </c>
      <c r="E264">
        <v>20</v>
      </c>
      <c r="F264">
        <v>8.3000000000000007</v>
      </c>
    </row>
    <row r="265" spans="1:6">
      <c r="A265">
        <v>330032</v>
      </c>
      <c r="B265" t="s">
        <v>472</v>
      </c>
      <c r="C265" t="s">
        <v>1721</v>
      </c>
      <c r="D265" t="s">
        <v>861</v>
      </c>
      <c r="E265">
        <v>10</v>
      </c>
      <c r="F265">
        <v>14.65</v>
      </c>
    </row>
    <row r="266" spans="1:6">
      <c r="A266">
        <v>330035</v>
      </c>
      <c r="B266" t="s">
        <v>473</v>
      </c>
      <c r="C266" t="s">
        <v>1108</v>
      </c>
      <c r="D266" t="s">
        <v>861</v>
      </c>
      <c r="E266">
        <v>1</v>
      </c>
      <c r="F266">
        <v>7.35</v>
      </c>
    </row>
    <row r="267" spans="1:6">
      <c r="A267">
        <v>330037</v>
      </c>
      <c r="B267" t="s">
        <v>410</v>
      </c>
      <c r="C267" t="s">
        <v>1721</v>
      </c>
      <c r="D267" t="s">
        <v>861</v>
      </c>
      <c r="E267">
        <v>10</v>
      </c>
      <c r="F267">
        <v>14.65</v>
      </c>
    </row>
    <row r="268" spans="1:6">
      <c r="A268">
        <v>330038</v>
      </c>
      <c r="B268" t="s">
        <v>474</v>
      </c>
      <c r="C268" t="s">
        <v>1721</v>
      </c>
      <c r="D268" t="s">
        <v>861</v>
      </c>
      <c r="E268">
        <v>10</v>
      </c>
      <c r="F268">
        <v>20.2</v>
      </c>
    </row>
    <row r="269" spans="1:6">
      <c r="A269">
        <v>330040</v>
      </c>
      <c r="B269" t="s">
        <v>475</v>
      </c>
      <c r="C269" t="s">
        <v>1108</v>
      </c>
      <c r="D269" t="s">
        <v>861</v>
      </c>
      <c r="E269">
        <v>10</v>
      </c>
      <c r="F269">
        <v>13.75</v>
      </c>
    </row>
    <row r="270" spans="1:6">
      <c r="A270">
        <v>330041</v>
      </c>
      <c r="B270" t="s">
        <v>476</v>
      </c>
      <c r="C270" t="s">
        <v>1108</v>
      </c>
      <c r="D270" t="s">
        <v>861</v>
      </c>
      <c r="E270">
        <v>1</v>
      </c>
      <c r="F270">
        <v>8.5</v>
      </c>
    </row>
    <row r="271" spans="1:6">
      <c r="A271">
        <v>332632</v>
      </c>
      <c r="B271" t="s">
        <v>477</v>
      </c>
      <c r="C271" t="s">
        <v>1108</v>
      </c>
      <c r="D271" t="s">
        <v>1464</v>
      </c>
      <c r="E271">
        <v>20</v>
      </c>
      <c r="F271">
        <v>9.5</v>
      </c>
    </row>
    <row r="272" spans="1:6">
      <c r="A272">
        <v>332656</v>
      </c>
      <c r="B272" t="s">
        <v>478</v>
      </c>
      <c r="C272" t="s">
        <v>1108</v>
      </c>
      <c r="D272" t="s">
        <v>1464</v>
      </c>
      <c r="E272">
        <v>50</v>
      </c>
      <c r="F272">
        <v>2.2000000000000002</v>
      </c>
    </row>
    <row r="273" spans="1:6">
      <c r="A273">
        <v>332658</v>
      </c>
      <c r="B273" t="s">
        <v>479</v>
      </c>
      <c r="C273" t="s">
        <v>1463</v>
      </c>
      <c r="D273" t="s">
        <v>1464</v>
      </c>
      <c r="E273">
        <v>50</v>
      </c>
      <c r="F273">
        <v>3.5</v>
      </c>
    </row>
    <row r="274" spans="1:6">
      <c r="A274">
        <v>332668</v>
      </c>
      <c r="B274" t="s">
        <v>480</v>
      </c>
      <c r="C274" t="s">
        <v>1467</v>
      </c>
      <c r="D274" t="s">
        <v>1464</v>
      </c>
      <c r="E274">
        <v>50</v>
      </c>
      <c r="F274">
        <v>1.85</v>
      </c>
    </row>
    <row r="275" spans="1:6">
      <c r="A275">
        <v>332677</v>
      </c>
      <c r="B275" t="s">
        <v>481</v>
      </c>
      <c r="C275" t="s">
        <v>1915</v>
      </c>
      <c r="D275" t="s">
        <v>1464</v>
      </c>
      <c r="E275">
        <v>40</v>
      </c>
      <c r="F275">
        <v>1.55</v>
      </c>
    </row>
    <row r="276" spans="1:6">
      <c r="A276">
        <v>332679</v>
      </c>
      <c r="B276" t="s">
        <v>482</v>
      </c>
      <c r="C276" t="s">
        <v>1915</v>
      </c>
      <c r="D276" t="s">
        <v>1464</v>
      </c>
      <c r="E276">
        <v>80</v>
      </c>
      <c r="F276">
        <v>2.1</v>
      </c>
    </row>
    <row r="277" spans="1:6">
      <c r="A277">
        <v>332680</v>
      </c>
      <c r="B277" t="s">
        <v>483</v>
      </c>
      <c r="C277" t="s">
        <v>1915</v>
      </c>
      <c r="D277" t="s">
        <v>1464</v>
      </c>
      <c r="E277">
        <v>40</v>
      </c>
      <c r="F277">
        <v>4.05</v>
      </c>
    </row>
    <row r="278" spans="1:6">
      <c r="A278">
        <v>332684</v>
      </c>
      <c r="B278" t="s">
        <v>484</v>
      </c>
      <c r="C278" t="s">
        <v>1463</v>
      </c>
      <c r="D278" t="s">
        <v>1464</v>
      </c>
      <c r="E278">
        <v>40</v>
      </c>
      <c r="F278">
        <v>1.8</v>
      </c>
    </row>
    <row r="279" spans="1:6">
      <c r="A279">
        <v>332686</v>
      </c>
      <c r="B279" t="s">
        <v>485</v>
      </c>
      <c r="C279" t="s">
        <v>1463</v>
      </c>
      <c r="D279" t="s">
        <v>1464</v>
      </c>
      <c r="E279">
        <v>80</v>
      </c>
      <c r="F279">
        <v>2.2000000000000002</v>
      </c>
    </row>
    <row r="280" spans="1:6">
      <c r="A280">
        <v>332687</v>
      </c>
      <c r="B280" t="s">
        <v>486</v>
      </c>
      <c r="C280" t="s">
        <v>1467</v>
      </c>
      <c r="D280" t="s">
        <v>1464</v>
      </c>
      <c r="E280">
        <v>80</v>
      </c>
      <c r="F280">
        <v>2.6</v>
      </c>
    </row>
    <row r="281" spans="1:6">
      <c r="A281">
        <v>332688</v>
      </c>
      <c r="B281" t="s">
        <v>487</v>
      </c>
      <c r="C281" t="s">
        <v>1467</v>
      </c>
      <c r="D281" t="s">
        <v>1464</v>
      </c>
      <c r="E281">
        <v>40</v>
      </c>
      <c r="F281">
        <v>2.9</v>
      </c>
    </row>
    <row r="282" spans="1:6">
      <c r="A282">
        <v>332690</v>
      </c>
      <c r="B282" t="s">
        <v>488</v>
      </c>
      <c r="C282" t="s">
        <v>1463</v>
      </c>
      <c r="D282" t="s">
        <v>1464</v>
      </c>
      <c r="E282">
        <v>40</v>
      </c>
      <c r="F282">
        <v>3.85</v>
      </c>
    </row>
    <row r="283" spans="1:6">
      <c r="A283">
        <v>332692</v>
      </c>
      <c r="B283" t="s">
        <v>489</v>
      </c>
      <c r="C283" t="s">
        <v>1463</v>
      </c>
      <c r="D283" t="s">
        <v>1464</v>
      </c>
      <c r="E283">
        <v>50</v>
      </c>
      <c r="F283">
        <v>4.8</v>
      </c>
    </row>
    <row r="284" spans="1:6">
      <c r="A284">
        <v>332701</v>
      </c>
      <c r="B284" t="s">
        <v>490</v>
      </c>
      <c r="C284" t="s">
        <v>1467</v>
      </c>
      <c r="D284" t="s">
        <v>1464</v>
      </c>
      <c r="E284">
        <v>40</v>
      </c>
      <c r="F284">
        <v>3.55</v>
      </c>
    </row>
    <row r="285" spans="1:6">
      <c r="A285">
        <v>332703</v>
      </c>
      <c r="B285" t="s">
        <v>491</v>
      </c>
      <c r="C285" t="s">
        <v>1790</v>
      </c>
      <c r="D285" t="s">
        <v>1464</v>
      </c>
      <c r="E285">
        <v>40</v>
      </c>
      <c r="F285">
        <v>4.95</v>
      </c>
    </row>
    <row r="286" spans="1:6">
      <c r="A286">
        <v>332704</v>
      </c>
      <c r="B286" t="s">
        <v>492</v>
      </c>
      <c r="C286" t="s">
        <v>1915</v>
      </c>
      <c r="D286" t="s">
        <v>1464</v>
      </c>
      <c r="E286">
        <v>40</v>
      </c>
      <c r="F286">
        <v>6.1</v>
      </c>
    </row>
    <row r="287" spans="1:6">
      <c r="A287">
        <v>332707</v>
      </c>
      <c r="B287" t="s">
        <v>1796</v>
      </c>
      <c r="C287" t="s">
        <v>1467</v>
      </c>
      <c r="D287" t="s">
        <v>1464</v>
      </c>
      <c r="E287">
        <v>40</v>
      </c>
      <c r="F287">
        <v>2.95</v>
      </c>
    </row>
    <row r="288" spans="1:6">
      <c r="A288">
        <v>332708</v>
      </c>
      <c r="B288" t="s">
        <v>343</v>
      </c>
      <c r="C288" t="s">
        <v>1463</v>
      </c>
      <c r="D288" t="s">
        <v>1464</v>
      </c>
      <c r="E288">
        <v>40</v>
      </c>
      <c r="F288">
        <v>3.55</v>
      </c>
    </row>
    <row r="289" spans="1:6">
      <c r="A289">
        <v>332709</v>
      </c>
      <c r="B289" t="s">
        <v>344</v>
      </c>
      <c r="C289" t="s">
        <v>1463</v>
      </c>
      <c r="D289" t="s">
        <v>1464</v>
      </c>
      <c r="E289">
        <v>40</v>
      </c>
      <c r="F289">
        <v>4.25</v>
      </c>
    </row>
    <row r="290" spans="1:6">
      <c r="A290">
        <v>332710</v>
      </c>
      <c r="B290" t="s">
        <v>235</v>
      </c>
      <c r="C290" t="s">
        <v>1463</v>
      </c>
      <c r="D290" t="s">
        <v>1464</v>
      </c>
      <c r="E290">
        <v>40</v>
      </c>
      <c r="F290">
        <v>5.35</v>
      </c>
    </row>
    <row r="291" spans="1:6">
      <c r="A291">
        <v>332711</v>
      </c>
      <c r="B291" t="s">
        <v>1382</v>
      </c>
      <c r="C291" t="s">
        <v>1108</v>
      </c>
      <c r="D291" t="s">
        <v>1464</v>
      </c>
      <c r="E291">
        <v>40</v>
      </c>
      <c r="F291">
        <v>8.9</v>
      </c>
    </row>
    <row r="292" spans="1:6">
      <c r="A292">
        <v>332715</v>
      </c>
      <c r="B292" t="s">
        <v>458</v>
      </c>
      <c r="C292" t="s">
        <v>1915</v>
      </c>
      <c r="D292" t="s">
        <v>1464</v>
      </c>
      <c r="E292">
        <v>50</v>
      </c>
      <c r="F292">
        <v>2.2999999999999998</v>
      </c>
    </row>
    <row r="293" spans="1:6">
      <c r="A293">
        <v>332724</v>
      </c>
      <c r="B293" t="s">
        <v>1029</v>
      </c>
      <c r="C293" t="s">
        <v>1915</v>
      </c>
      <c r="D293" t="s">
        <v>1464</v>
      </c>
      <c r="E293">
        <v>40</v>
      </c>
      <c r="F293">
        <v>4.3499999999999996</v>
      </c>
    </row>
    <row r="294" spans="1:6">
      <c r="A294">
        <v>332729</v>
      </c>
      <c r="B294" t="s">
        <v>1620</v>
      </c>
      <c r="C294" t="s">
        <v>1463</v>
      </c>
      <c r="D294" t="s">
        <v>1464</v>
      </c>
      <c r="E294">
        <v>40</v>
      </c>
      <c r="F294">
        <v>6.7</v>
      </c>
    </row>
    <row r="295" spans="1:6">
      <c r="A295">
        <v>332789</v>
      </c>
      <c r="B295" t="s">
        <v>459</v>
      </c>
      <c r="C295" t="s">
        <v>1790</v>
      </c>
      <c r="D295" t="s">
        <v>1464</v>
      </c>
      <c r="E295">
        <v>40</v>
      </c>
      <c r="F295">
        <v>4.25</v>
      </c>
    </row>
    <row r="296" spans="1:6">
      <c r="A296">
        <v>343677</v>
      </c>
      <c r="B296" t="s">
        <v>726</v>
      </c>
      <c r="D296" t="s">
        <v>1464</v>
      </c>
      <c r="E296">
        <v>1</v>
      </c>
      <c r="F296">
        <v>1049</v>
      </c>
    </row>
    <row r="297" spans="1:6">
      <c r="A297">
        <v>384296</v>
      </c>
      <c r="B297" t="s">
        <v>460</v>
      </c>
      <c r="C297" t="s">
        <v>1463</v>
      </c>
      <c r="D297" t="s">
        <v>1464</v>
      </c>
      <c r="E297">
        <v>140</v>
      </c>
      <c r="F297">
        <v>5.95</v>
      </c>
    </row>
    <row r="298" spans="1:6">
      <c r="A298">
        <v>384302</v>
      </c>
      <c r="B298" t="s">
        <v>1603</v>
      </c>
      <c r="C298" t="s">
        <v>1463</v>
      </c>
      <c r="D298" t="s">
        <v>1464</v>
      </c>
      <c r="E298">
        <v>140</v>
      </c>
      <c r="F298">
        <v>3.5</v>
      </c>
    </row>
    <row r="299" spans="1:6">
      <c r="A299">
        <v>372598</v>
      </c>
      <c r="B299" t="s">
        <v>943</v>
      </c>
      <c r="D299" t="s">
        <v>861</v>
      </c>
      <c r="E299">
        <v>50</v>
      </c>
      <c r="F299">
        <v>19.14</v>
      </c>
    </row>
    <row r="300" spans="1:6">
      <c r="A300">
        <v>330019</v>
      </c>
      <c r="B300" t="s">
        <v>1532</v>
      </c>
      <c r="C300" t="s">
        <v>1913</v>
      </c>
      <c r="D300" t="s">
        <v>1464</v>
      </c>
      <c r="E300">
        <v>1500</v>
      </c>
      <c r="F300">
        <v>2.85</v>
      </c>
    </row>
    <row r="301" spans="1:6">
      <c r="A301">
        <v>332824</v>
      </c>
      <c r="B301" t="s">
        <v>1533</v>
      </c>
      <c r="C301" t="s">
        <v>1792</v>
      </c>
      <c r="D301" t="s">
        <v>1464</v>
      </c>
      <c r="E301">
        <v>1100</v>
      </c>
      <c r="F301">
        <v>3.7</v>
      </c>
    </row>
    <row r="302" spans="1:6">
      <c r="A302">
        <v>300643</v>
      </c>
      <c r="B302" t="s">
        <v>944</v>
      </c>
      <c r="D302" t="s">
        <v>861</v>
      </c>
      <c r="E302">
        <v>42</v>
      </c>
      <c r="F302">
        <v>9999</v>
      </c>
    </row>
    <row r="303" spans="1:6">
      <c r="A303">
        <v>350388</v>
      </c>
      <c r="B303" t="s">
        <v>945</v>
      </c>
      <c r="C303" t="s">
        <v>1790</v>
      </c>
      <c r="D303" t="s">
        <v>861</v>
      </c>
      <c r="E303">
        <v>70</v>
      </c>
      <c r="F303">
        <v>17.079999999999998</v>
      </c>
    </row>
    <row r="304" spans="1:6">
      <c r="A304">
        <v>372424</v>
      </c>
      <c r="B304" t="s">
        <v>946</v>
      </c>
      <c r="D304" t="s">
        <v>861</v>
      </c>
      <c r="E304">
        <v>42</v>
      </c>
      <c r="F304">
        <v>16.18</v>
      </c>
    </row>
    <row r="305" spans="1:6">
      <c r="A305">
        <v>372619</v>
      </c>
      <c r="B305" t="s">
        <v>947</v>
      </c>
      <c r="D305" t="s">
        <v>861</v>
      </c>
      <c r="E305">
        <v>42</v>
      </c>
      <c r="F305">
        <v>12.27</v>
      </c>
    </row>
    <row r="306" spans="1:6">
      <c r="A306">
        <v>372700</v>
      </c>
      <c r="B306" t="s">
        <v>948</v>
      </c>
      <c r="C306" t="s">
        <v>1790</v>
      </c>
      <c r="D306" t="s">
        <v>861</v>
      </c>
      <c r="E306">
        <v>99</v>
      </c>
      <c r="F306">
        <v>15.08</v>
      </c>
    </row>
    <row r="307" spans="1:6">
      <c r="A307">
        <v>372703</v>
      </c>
      <c r="B307" t="s">
        <v>992</v>
      </c>
      <c r="C307" t="s">
        <v>1913</v>
      </c>
      <c r="D307" t="s">
        <v>861</v>
      </c>
      <c r="E307">
        <v>91</v>
      </c>
      <c r="F307">
        <v>21.21</v>
      </c>
    </row>
    <row r="308" spans="1:6">
      <c r="A308">
        <v>380360</v>
      </c>
      <c r="B308" t="s">
        <v>1897</v>
      </c>
      <c r="C308" t="s">
        <v>1463</v>
      </c>
      <c r="D308" t="s">
        <v>1464</v>
      </c>
      <c r="E308">
        <v>224</v>
      </c>
      <c r="F308">
        <v>6.5</v>
      </c>
    </row>
    <row r="309" spans="1:6">
      <c r="A309">
        <v>380361</v>
      </c>
      <c r="B309" t="s">
        <v>1898</v>
      </c>
      <c r="C309" t="s">
        <v>1463</v>
      </c>
      <c r="D309" t="s">
        <v>1464</v>
      </c>
      <c r="E309">
        <v>168</v>
      </c>
      <c r="F309">
        <v>8.9</v>
      </c>
    </row>
    <row r="310" spans="1:6">
      <c r="A310">
        <v>380362</v>
      </c>
      <c r="B310" t="s">
        <v>982</v>
      </c>
      <c r="C310" t="s">
        <v>1463</v>
      </c>
      <c r="D310" t="s">
        <v>1464</v>
      </c>
      <c r="E310">
        <v>112</v>
      </c>
      <c r="F310">
        <v>10.5</v>
      </c>
    </row>
    <row r="311" spans="1:6">
      <c r="A311">
        <v>380363</v>
      </c>
      <c r="B311" t="s">
        <v>983</v>
      </c>
      <c r="C311" t="s">
        <v>1108</v>
      </c>
      <c r="D311" t="s">
        <v>1464</v>
      </c>
      <c r="E311">
        <v>112</v>
      </c>
      <c r="F311">
        <v>13.85</v>
      </c>
    </row>
    <row r="312" spans="1:6">
      <c r="A312">
        <v>303211</v>
      </c>
      <c r="B312" t="s">
        <v>0</v>
      </c>
      <c r="C312" t="s">
        <v>1108</v>
      </c>
      <c r="D312" t="s">
        <v>1</v>
      </c>
      <c r="E312">
        <v>42</v>
      </c>
      <c r="F312">
        <v>11.8</v>
      </c>
    </row>
    <row r="313" spans="1:6">
      <c r="A313">
        <v>300301</v>
      </c>
      <c r="B313" t="s">
        <v>2</v>
      </c>
      <c r="C313" t="s">
        <v>1915</v>
      </c>
      <c r="D313" t="s">
        <v>1464</v>
      </c>
      <c r="E313">
        <v>10</v>
      </c>
      <c r="F313">
        <v>6.8</v>
      </c>
    </row>
    <row r="314" spans="1:6">
      <c r="A314">
        <v>300302</v>
      </c>
      <c r="B314" t="s">
        <v>3</v>
      </c>
      <c r="D314" t="s">
        <v>1464</v>
      </c>
      <c r="E314">
        <v>30</v>
      </c>
      <c r="F314">
        <v>8.9</v>
      </c>
    </row>
    <row r="315" spans="1:6">
      <c r="A315">
        <v>301680</v>
      </c>
      <c r="B315" t="s">
        <v>4</v>
      </c>
      <c r="C315" t="s">
        <v>1108</v>
      </c>
      <c r="D315" t="s">
        <v>1464</v>
      </c>
      <c r="E315">
        <v>35</v>
      </c>
      <c r="F315">
        <v>7.65</v>
      </c>
    </row>
    <row r="316" spans="1:6">
      <c r="A316">
        <v>301683</v>
      </c>
      <c r="B316" t="s">
        <v>954</v>
      </c>
      <c r="C316" t="s">
        <v>1108</v>
      </c>
      <c r="D316" t="s">
        <v>1464</v>
      </c>
      <c r="E316">
        <v>35</v>
      </c>
      <c r="F316">
        <v>7.65</v>
      </c>
    </row>
    <row r="317" spans="1:6">
      <c r="A317">
        <v>301684</v>
      </c>
      <c r="B317" t="s">
        <v>955</v>
      </c>
      <c r="C317" t="s">
        <v>1108</v>
      </c>
      <c r="D317" t="s">
        <v>1464</v>
      </c>
      <c r="E317">
        <v>35</v>
      </c>
      <c r="F317">
        <v>7.65</v>
      </c>
    </row>
    <row r="318" spans="1:6">
      <c r="A318">
        <v>301780</v>
      </c>
      <c r="B318" t="s">
        <v>5</v>
      </c>
      <c r="C318" t="s">
        <v>1463</v>
      </c>
      <c r="D318" t="s">
        <v>1464</v>
      </c>
      <c r="E318">
        <v>35</v>
      </c>
      <c r="F318">
        <v>7.65</v>
      </c>
    </row>
    <row r="319" spans="1:6">
      <c r="A319">
        <v>301781</v>
      </c>
      <c r="B319" t="s">
        <v>1207</v>
      </c>
      <c r="C319" t="s">
        <v>1108</v>
      </c>
      <c r="D319" t="s">
        <v>1464</v>
      </c>
      <c r="E319">
        <v>35</v>
      </c>
      <c r="F319">
        <v>7.65</v>
      </c>
    </row>
    <row r="320" spans="1:6">
      <c r="A320">
        <v>301822</v>
      </c>
      <c r="B320" t="s">
        <v>1208</v>
      </c>
      <c r="C320" t="s">
        <v>1913</v>
      </c>
      <c r="D320" t="s">
        <v>1464</v>
      </c>
      <c r="E320">
        <v>10</v>
      </c>
      <c r="F320">
        <v>6.8</v>
      </c>
    </row>
    <row r="321" spans="1:6">
      <c r="A321">
        <v>301832</v>
      </c>
      <c r="B321" t="s">
        <v>1209</v>
      </c>
      <c r="C321" t="s">
        <v>1108</v>
      </c>
      <c r="D321" t="s">
        <v>6</v>
      </c>
      <c r="E321">
        <v>1</v>
      </c>
      <c r="F321">
        <v>11.8</v>
      </c>
    </row>
    <row r="322" spans="1:6">
      <c r="A322">
        <v>301836</v>
      </c>
      <c r="B322" t="s">
        <v>1407</v>
      </c>
      <c r="C322" t="s">
        <v>914</v>
      </c>
      <c r="D322" t="s">
        <v>1464</v>
      </c>
      <c r="E322">
        <v>10</v>
      </c>
      <c r="F322">
        <v>6.8</v>
      </c>
    </row>
    <row r="323" spans="1:6">
      <c r="A323">
        <v>301837</v>
      </c>
      <c r="B323" t="s">
        <v>1408</v>
      </c>
      <c r="C323" t="s">
        <v>914</v>
      </c>
      <c r="D323" t="s">
        <v>1464</v>
      </c>
      <c r="E323">
        <v>10</v>
      </c>
      <c r="F323">
        <v>6.8</v>
      </c>
    </row>
    <row r="324" spans="1:6">
      <c r="A324">
        <v>301840</v>
      </c>
      <c r="B324" t="s">
        <v>354</v>
      </c>
      <c r="D324" t="s">
        <v>1464</v>
      </c>
      <c r="E324">
        <v>10</v>
      </c>
      <c r="F324">
        <v>3.58</v>
      </c>
    </row>
    <row r="325" spans="1:6">
      <c r="A325">
        <v>301895</v>
      </c>
      <c r="B325" t="s">
        <v>357</v>
      </c>
      <c r="C325" t="s">
        <v>918</v>
      </c>
      <c r="D325" t="s">
        <v>1464</v>
      </c>
      <c r="E325">
        <v>10</v>
      </c>
      <c r="F325">
        <v>11.15</v>
      </c>
    </row>
    <row r="326" spans="1:6">
      <c r="A326">
        <v>301896</v>
      </c>
      <c r="B326" t="s">
        <v>358</v>
      </c>
      <c r="C326" t="s">
        <v>1915</v>
      </c>
      <c r="D326" t="s">
        <v>1464</v>
      </c>
      <c r="E326">
        <v>5</v>
      </c>
      <c r="F326">
        <v>8.5500000000000007</v>
      </c>
    </row>
    <row r="327" spans="1:6">
      <c r="A327">
        <v>301897</v>
      </c>
      <c r="B327" t="s">
        <v>359</v>
      </c>
      <c r="C327" t="s">
        <v>1463</v>
      </c>
      <c r="D327" t="s">
        <v>1464</v>
      </c>
      <c r="E327">
        <v>10</v>
      </c>
      <c r="F327">
        <v>6.95</v>
      </c>
    </row>
    <row r="328" spans="1:6">
      <c r="A328">
        <v>301898</v>
      </c>
      <c r="B328" t="s">
        <v>360</v>
      </c>
      <c r="C328" t="s">
        <v>1463</v>
      </c>
      <c r="D328" t="s">
        <v>1464</v>
      </c>
      <c r="E328">
        <v>5</v>
      </c>
      <c r="F328">
        <v>9.9</v>
      </c>
    </row>
    <row r="329" spans="1:6">
      <c r="A329">
        <v>301899</v>
      </c>
      <c r="B329" t="s">
        <v>361</v>
      </c>
      <c r="C329" t="s">
        <v>1108</v>
      </c>
      <c r="D329" t="s">
        <v>1464</v>
      </c>
      <c r="E329">
        <v>5</v>
      </c>
      <c r="F329">
        <v>8.9</v>
      </c>
    </row>
    <row r="330" spans="1:6">
      <c r="A330">
        <v>301902</v>
      </c>
      <c r="B330" t="s">
        <v>7</v>
      </c>
      <c r="C330" t="s">
        <v>1108</v>
      </c>
      <c r="D330" t="s">
        <v>1464</v>
      </c>
      <c r="E330">
        <v>20</v>
      </c>
      <c r="F330">
        <v>4.53</v>
      </c>
    </row>
    <row r="331" spans="1:6">
      <c r="A331">
        <v>301903</v>
      </c>
      <c r="B331" t="s">
        <v>362</v>
      </c>
      <c r="C331" t="s">
        <v>1108</v>
      </c>
      <c r="D331" t="s">
        <v>1464</v>
      </c>
      <c r="E331">
        <v>20</v>
      </c>
      <c r="F331">
        <v>9.0500000000000007</v>
      </c>
    </row>
    <row r="332" spans="1:6">
      <c r="A332">
        <v>301904</v>
      </c>
      <c r="B332" t="s">
        <v>363</v>
      </c>
      <c r="C332" t="s">
        <v>1467</v>
      </c>
      <c r="D332" t="s">
        <v>1464</v>
      </c>
      <c r="E332">
        <v>20</v>
      </c>
      <c r="F332">
        <v>4.53</v>
      </c>
    </row>
    <row r="333" spans="1:6">
      <c r="A333">
        <v>301905</v>
      </c>
      <c r="B333" t="s">
        <v>364</v>
      </c>
      <c r="C333" t="s">
        <v>1108</v>
      </c>
      <c r="D333" t="s">
        <v>1464</v>
      </c>
      <c r="E333">
        <v>30</v>
      </c>
      <c r="F333">
        <v>9.0500000000000007</v>
      </c>
    </row>
    <row r="334" spans="1:6">
      <c r="A334">
        <v>301906</v>
      </c>
      <c r="B334" t="s">
        <v>365</v>
      </c>
      <c r="C334" t="s">
        <v>1108</v>
      </c>
      <c r="D334" t="s">
        <v>1464</v>
      </c>
      <c r="E334">
        <v>30</v>
      </c>
      <c r="F334">
        <v>9.0500000000000007</v>
      </c>
    </row>
    <row r="335" spans="1:6">
      <c r="A335">
        <v>301907</v>
      </c>
      <c r="B335" t="s">
        <v>366</v>
      </c>
      <c r="C335" t="s">
        <v>1721</v>
      </c>
      <c r="D335" t="s">
        <v>1464</v>
      </c>
      <c r="E335">
        <v>30</v>
      </c>
      <c r="F335">
        <v>9.0500000000000007</v>
      </c>
    </row>
    <row r="336" spans="1:6">
      <c r="A336">
        <v>301908</v>
      </c>
      <c r="B336" t="s">
        <v>367</v>
      </c>
      <c r="C336" t="s">
        <v>1463</v>
      </c>
      <c r="D336" t="s">
        <v>1464</v>
      </c>
      <c r="E336">
        <v>70</v>
      </c>
      <c r="F336">
        <v>5.8</v>
      </c>
    </row>
    <row r="337" spans="1:6">
      <c r="A337">
        <v>301909</v>
      </c>
      <c r="B337" t="s">
        <v>368</v>
      </c>
      <c r="C337" t="s">
        <v>1463</v>
      </c>
      <c r="D337" t="s">
        <v>1464</v>
      </c>
      <c r="E337">
        <v>70</v>
      </c>
      <c r="F337">
        <v>5.5</v>
      </c>
    </row>
    <row r="338" spans="1:6">
      <c r="A338">
        <v>301914</v>
      </c>
      <c r="B338" t="s">
        <v>1411</v>
      </c>
      <c r="C338" t="s">
        <v>1463</v>
      </c>
      <c r="D338" t="s">
        <v>1464</v>
      </c>
      <c r="E338">
        <v>30</v>
      </c>
      <c r="F338">
        <v>8.9</v>
      </c>
    </row>
    <row r="339" spans="1:6">
      <c r="A339">
        <v>301916</v>
      </c>
      <c r="B339" t="s">
        <v>1412</v>
      </c>
      <c r="C339" t="s">
        <v>1467</v>
      </c>
      <c r="D339" t="s">
        <v>1464</v>
      </c>
      <c r="E339">
        <v>30</v>
      </c>
      <c r="F339">
        <v>8.9</v>
      </c>
    </row>
    <row r="340" spans="1:6">
      <c r="A340">
        <v>301918</v>
      </c>
      <c r="B340" t="s">
        <v>1414</v>
      </c>
      <c r="C340" t="s">
        <v>1108</v>
      </c>
      <c r="D340" t="s">
        <v>1464</v>
      </c>
      <c r="E340">
        <v>30</v>
      </c>
      <c r="F340">
        <v>8.9</v>
      </c>
    </row>
    <row r="341" spans="1:6">
      <c r="A341">
        <v>301922</v>
      </c>
      <c r="B341" t="s">
        <v>1416</v>
      </c>
      <c r="C341" t="s">
        <v>1108</v>
      </c>
      <c r="D341" t="s">
        <v>1464</v>
      </c>
      <c r="E341">
        <v>30</v>
      </c>
      <c r="F341">
        <v>8.9</v>
      </c>
    </row>
    <row r="342" spans="1:6">
      <c r="A342">
        <v>301924</v>
      </c>
      <c r="B342" t="s">
        <v>1418</v>
      </c>
      <c r="C342" t="s">
        <v>1108</v>
      </c>
      <c r="D342" t="s">
        <v>1464</v>
      </c>
      <c r="E342">
        <v>30</v>
      </c>
      <c r="F342">
        <v>8.9</v>
      </c>
    </row>
    <row r="343" spans="1:6">
      <c r="A343">
        <v>301925</v>
      </c>
      <c r="B343" t="s">
        <v>345</v>
      </c>
      <c r="C343" t="s">
        <v>1463</v>
      </c>
      <c r="D343" t="s">
        <v>1464</v>
      </c>
      <c r="E343">
        <v>30</v>
      </c>
      <c r="F343">
        <v>8.9</v>
      </c>
    </row>
    <row r="344" spans="1:6">
      <c r="A344">
        <v>302030</v>
      </c>
      <c r="B344" t="s">
        <v>8</v>
      </c>
      <c r="C344" t="s">
        <v>1463</v>
      </c>
      <c r="D344" t="s">
        <v>1464</v>
      </c>
      <c r="E344">
        <v>30</v>
      </c>
      <c r="F344">
        <v>8.9</v>
      </c>
    </row>
    <row r="345" spans="1:6">
      <c r="A345">
        <v>302031</v>
      </c>
      <c r="B345" t="s">
        <v>9</v>
      </c>
      <c r="C345" t="s">
        <v>1915</v>
      </c>
      <c r="D345" t="s">
        <v>1464</v>
      </c>
      <c r="E345">
        <v>10</v>
      </c>
      <c r="F345">
        <v>3.4</v>
      </c>
    </row>
    <row r="346" spans="1:6">
      <c r="A346">
        <v>302033</v>
      </c>
      <c r="B346" t="s">
        <v>10</v>
      </c>
      <c r="C346" t="s">
        <v>1463</v>
      </c>
      <c r="D346" t="s">
        <v>1464</v>
      </c>
      <c r="E346">
        <v>30</v>
      </c>
      <c r="F346">
        <v>8.9</v>
      </c>
    </row>
    <row r="347" spans="1:6">
      <c r="A347">
        <v>302034</v>
      </c>
      <c r="B347" t="s">
        <v>11</v>
      </c>
      <c r="C347" t="s">
        <v>918</v>
      </c>
      <c r="D347" t="s">
        <v>1464</v>
      </c>
      <c r="E347">
        <v>10</v>
      </c>
      <c r="F347">
        <v>6.8</v>
      </c>
    </row>
    <row r="348" spans="1:6">
      <c r="A348">
        <v>302036</v>
      </c>
      <c r="B348" t="s">
        <v>12</v>
      </c>
      <c r="C348" t="s">
        <v>1463</v>
      </c>
      <c r="D348" t="s">
        <v>1464</v>
      </c>
      <c r="E348">
        <v>30</v>
      </c>
      <c r="F348">
        <v>8.9</v>
      </c>
    </row>
    <row r="349" spans="1:6">
      <c r="A349">
        <v>302037</v>
      </c>
      <c r="B349" t="s">
        <v>13</v>
      </c>
      <c r="C349" t="s">
        <v>1913</v>
      </c>
      <c r="D349" t="s">
        <v>1464</v>
      </c>
      <c r="E349">
        <v>10</v>
      </c>
      <c r="F349">
        <v>6.8</v>
      </c>
    </row>
    <row r="350" spans="1:6">
      <c r="A350">
        <v>302045</v>
      </c>
      <c r="B350" t="s">
        <v>14</v>
      </c>
      <c r="C350" t="s">
        <v>1463</v>
      </c>
      <c r="D350" t="s">
        <v>1464</v>
      </c>
      <c r="E350">
        <v>30</v>
      </c>
      <c r="F350">
        <v>8.9</v>
      </c>
    </row>
    <row r="351" spans="1:6">
      <c r="A351">
        <v>302046</v>
      </c>
      <c r="B351" t="s">
        <v>15</v>
      </c>
      <c r="C351" t="s">
        <v>1913</v>
      </c>
      <c r="D351" t="s">
        <v>1464</v>
      </c>
      <c r="E351">
        <v>10</v>
      </c>
      <c r="F351">
        <v>6.8</v>
      </c>
    </row>
    <row r="352" spans="1:6">
      <c r="A352">
        <v>302057</v>
      </c>
      <c r="B352" t="s">
        <v>16</v>
      </c>
      <c r="D352" t="s">
        <v>861</v>
      </c>
      <c r="E352">
        <v>1</v>
      </c>
      <c r="F352">
        <v>9.9</v>
      </c>
    </row>
    <row r="353" spans="1:6">
      <c r="A353">
        <v>302058</v>
      </c>
      <c r="B353" t="s">
        <v>17</v>
      </c>
      <c r="D353" t="s">
        <v>861</v>
      </c>
      <c r="E353">
        <v>1</v>
      </c>
      <c r="F353">
        <v>9.9</v>
      </c>
    </row>
    <row r="354" spans="1:6">
      <c r="A354">
        <v>303012</v>
      </c>
      <c r="B354" t="s">
        <v>568</v>
      </c>
      <c r="C354" t="s">
        <v>1915</v>
      </c>
      <c r="D354" t="s">
        <v>1464</v>
      </c>
      <c r="E354">
        <v>10</v>
      </c>
      <c r="F354">
        <v>6.8</v>
      </c>
    </row>
    <row r="355" spans="1:6">
      <c r="A355">
        <v>303094</v>
      </c>
      <c r="B355" t="s">
        <v>1212</v>
      </c>
      <c r="C355" t="s">
        <v>1792</v>
      </c>
      <c r="D355" t="s">
        <v>1464</v>
      </c>
      <c r="E355">
        <v>10</v>
      </c>
      <c r="F355">
        <v>4.9000000000000004</v>
      </c>
    </row>
    <row r="356" spans="1:6">
      <c r="A356">
        <v>303104</v>
      </c>
      <c r="B356" t="s">
        <v>1213</v>
      </c>
      <c r="C356" t="s">
        <v>1721</v>
      </c>
      <c r="D356" t="s">
        <v>1464</v>
      </c>
      <c r="E356">
        <v>10</v>
      </c>
      <c r="F356">
        <v>9.25</v>
      </c>
    </row>
    <row r="357" spans="1:6">
      <c r="A357">
        <v>303132</v>
      </c>
      <c r="B357" t="s">
        <v>18</v>
      </c>
      <c r="C357" t="s">
        <v>1790</v>
      </c>
      <c r="D357" t="s">
        <v>1464</v>
      </c>
      <c r="E357">
        <v>10</v>
      </c>
      <c r="F357">
        <v>6.95</v>
      </c>
    </row>
    <row r="358" spans="1:6">
      <c r="A358">
        <v>303153</v>
      </c>
      <c r="B358" t="s">
        <v>370</v>
      </c>
      <c r="C358" t="s">
        <v>1463</v>
      </c>
      <c r="D358" t="s">
        <v>1464</v>
      </c>
      <c r="E358">
        <v>20</v>
      </c>
      <c r="F358">
        <v>3.95</v>
      </c>
    </row>
    <row r="359" spans="1:6">
      <c r="A359">
        <v>303154</v>
      </c>
      <c r="B359" t="s">
        <v>371</v>
      </c>
      <c r="C359" t="s">
        <v>1463</v>
      </c>
      <c r="D359" t="s">
        <v>1464</v>
      </c>
      <c r="E359">
        <v>20</v>
      </c>
      <c r="F359">
        <v>3.95</v>
      </c>
    </row>
    <row r="360" spans="1:6">
      <c r="A360">
        <v>303155</v>
      </c>
      <c r="B360" t="s">
        <v>372</v>
      </c>
      <c r="C360" t="s">
        <v>1792</v>
      </c>
      <c r="D360" t="s">
        <v>1464</v>
      </c>
      <c r="E360">
        <v>20</v>
      </c>
      <c r="F360">
        <v>3.95</v>
      </c>
    </row>
    <row r="361" spans="1:6">
      <c r="A361">
        <v>303173</v>
      </c>
      <c r="B361" t="s">
        <v>571</v>
      </c>
      <c r="C361" t="s">
        <v>1913</v>
      </c>
      <c r="D361" t="s">
        <v>1464</v>
      </c>
      <c r="E361">
        <v>10</v>
      </c>
      <c r="F361">
        <v>6.95</v>
      </c>
    </row>
    <row r="362" spans="1:6">
      <c r="A362">
        <v>303184</v>
      </c>
      <c r="B362" t="s">
        <v>2039</v>
      </c>
      <c r="C362" t="s">
        <v>1467</v>
      </c>
      <c r="D362" t="s">
        <v>1464</v>
      </c>
      <c r="E362">
        <v>30</v>
      </c>
      <c r="F362">
        <v>8.9</v>
      </c>
    </row>
    <row r="363" spans="1:6">
      <c r="A363">
        <v>303185</v>
      </c>
      <c r="B363" t="s">
        <v>2040</v>
      </c>
      <c r="C363" t="s">
        <v>918</v>
      </c>
      <c r="D363" t="s">
        <v>1464</v>
      </c>
      <c r="E363">
        <v>10</v>
      </c>
      <c r="F363">
        <v>6.8</v>
      </c>
    </row>
    <row r="364" spans="1:6">
      <c r="A364">
        <v>303188</v>
      </c>
      <c r="B364" t="s">
        <v>2042</v>
      </c>
      <c r="C364" t="s">
        <v>1108</v>
      </c>
      <c r="D364" t="s">
        <v>1464</v>
      </c>
      <c r="E364">
        <v>30</v>
      </c>
      <c r="F364">
        <v>8.9</v>
      </c>
    </row>
    <row r="365" spans="1:6">
      <c r="A365">
        <v>303189</v>
      </c>
      <c r="B365" t="s">
        <v>2043</v>
      </c>
      <c r="C365" t="s">
        <v>914</v>
      </c>
      <c r="D365" t="s">
        <v>1464</v>
      </c>
      <c r="E365">
        <v>10</v>
      </c>
      <c r="F365">
        <v>6.8</v>
      </c>
    </row>
    <row r="366" spans="1:6">
      <c r="A366">
        <v>303191</v>
      </c>
      <c r="B366" t="s">
        <v>1830</v>
      </c>
      <c r="C366" t="s">
        <v>914</v>
      </c>
      <c r="D366" t="s">
        <v>1464</v>
      </c>
      <c r="E366">
        <v>10</v>
      </c>
      <c r="F366">
        <v>6.8</v>
      </c>
    </row>
    <row r="367" spans="1:6">
      <c r="A367">
        <v>303192</v>
      </c>
      <c r="B367" t="s">
        <v>1806</v>
      </c>
      <c r="C367" t="s">
        <v>1463</v>
      </c>
      <c r="D367" t="s">
        <v>1464</v>
      </c>
      <c r="E367">
        <v>30</v>
      </c>
      <c r="F367">
        <v>8.9</v>
      </c>
    </row>
    <row r="368" spans="1:6">
      <c r="A368">
        <v>303193</v>
      </c>
      <c r="B368" t="s">
        <v>1807</v>
      </c>
      <c r="C368" t="s">
        <v>915</v>
      </c>
      <c r="D368" t="s">
        <v>1464</v>
      </c>
      <c r="E368">
        <v>10</v>
      </c>
      <c r="F368">
        <v>6.8</v>
      </c>
    </row>
    <row r="369" spans="1:6">
      <c r="A369">
        <v>303194</v>
      </c>
      <c r="B369" t="s">
        <v>1808</v>
      </c>
      <c r="C369" t="s">
        <v>1108</v>
      </c>
      <c r="D369" t="s">
        <v>1464</v>
      </c>
      <c r="E369">
        <v>30</v>
      </c>
      <c r="F369">
        <v>8.9</v>
      </c>
    </row>
    <row r="370" spans="1:6">
      <c r="A370">
        <v>303195</v>
      </c>
      <c r="B370" t="s">
        <v>1809</v>
      </c>
      <c r="C370" t="s">
        <v>914</v>
      </c>
      <c r="D370" t="s">
        <v>1464</v>
      </c>
      <c r="E370">
        <v>10</v>
      </c>
      <c r="F370">
        <v>6.8</v>
      </c>
    </row>
    <row r="371" spans="1:6">
      <c r="A371">
        <v>303196</v>
      </c>
      <c r="B371" t="s">
        <v>1810</v>
      </c>
      <c r="C371" t="s">
        <v>1463</v>
      </c>
      <c r="D371" t="s">
        <v>1464</v>
      </c>
      <c r="E371">
        <v>30</v>
      </c>
      <c r="F371">
        <v>8.9</v>
      </c>
    </row>
    <row r="372" spans="1:6">
      <c r="A372">
        <v>303197</v>
      </c>
      <c r="B372" t="s">
        <v>19</v>
      </c>
      <c r="C372" t="s">
        <v>1792</v>
      </c>
      <c r="D372" t="s">
        <v>1464</v>
      </c>
      <c r="E372">
        <v>10</v>
      </c>
      <c r="F372">
        <v>6.8</v>
      </c>
    </row>
    <row r="373" spans="1:6">
      <c r="A373">
        <v>303198</v>
      </c>
      <c r="B373" t="s">
        <v>20</v>
      </c>
      <c r="C373" t="s">
        <v>1108</v>
      </c>
      <c r="D373" t="s">
        <v>1464</v>
      </c>
      <c r="E373">
        <v>30</v>
      </c>
      <c r="F373">
        <v>8.9</v>
      </c>
    </row>
    <row r="374" spans="1:6">
      <c r="A374">
        <v>303205</v>
      </c>
      <c r="B374" t="s">
        <v>21</v>
      </c>
      <c r="C374" t="s">
        <v>1792</v>
      </c>
      <c r="D374" t="s">
        <v>1464</v>
      </c>
      <c r="E374">
        <v>10</v>
      </c>
      <c r="F374">
        <v>6.8</v>
      </c>
    </row>
    <row r="375" spans="1:6">
      <c r="A375">
        <v>303206</v>
      </c>
      <c r="B375" t="s">
        <v>22</v>
      </c>
      <c r="C375" t="s">
        <v>1463</v>
      </c>
      <c r="D375" t="s">
        <v>1464</v>
      </c>
      <c r="E375">
        <v>30</v>
      </c>
      <c r="F375">
        <v>8.9</v>
      </c>
    </row>
    <row r="376" spans="1:6">
      <c r="A376">
        <v>303207</v>
      </c>
      <c r="B376" t="s">
        <v>23</v>
      </c>
      <c r="C376" t="s">
        <v>1913</v>
      </c>
      <c r="D376" t="s">
        <v>1464</v>
      </c>
      <c r="E376">
        <v>10</v>
      </c>
      <c r="F376">
        <v>6.8</v>
      </c>
    </row>
    <row r="377" spans="1:6">
      <c r="A377">
        <v>303208</v>
      </c>
      <c r="B377" t="s">
        <v>24</v>
      </c>
      <c r="C377" t="s">
        <v>1108</v>
      </c>
      <c r="D377" t="s">
        <v>1464</v>
      </c>
      <c r="E377">
        <v>30</v>
      </c>
      <c r="F377">
        <v>8.9</v>
      </c>
    </row>
    <row r="378" spans="1:6">
      <c r="A378">
        <v>303209</v>
      </c>
      <c r="B378" t="s">
        <v>25</v>
      </c>
      <c r="C378" t="s">
        <v>918</v>
      </c>
      <c r="D378" t="s">
        <v>1464</v>
      </c>
      <c r="E378">
        <v>10</v>
      </c>
      <c r="F378">
        <v>6.8</v>
      </c>
    </row>
    <row r="379" spans="1:6">
      <c r="A379">
        <v>303210</v>
      </c>
      <c r="B379" t="s">
        <v>26</v>
      </c>
      <c r="C379" t="s">
        <v>1108</v>
      </c>
      <c r="D379" t="s">
        <v>1464</v>
      </c>
      <c r="E379">
        <v>30</v>
      </c>
      <c r="F379">
        <v>8.9</v>
      </c>
    </row>
    <row r="380" spans="1:6">
      <c r="A380">
        <v>303708</v>
      </c>
      <c r="B380" t="s">
        <v>1214</v>
      </c>
      <c r="C380" t="s">
        <v>1792</v>
      </c>
      <c r="D380" t="s">
        <v>1464</v>
      </c>
      <c r="E380">
        <v>10</v>
      </c>
      <c r="F380">
        <v>3.99</v>
      </c>
    </row>
    <row r="381" spans="1:6">
      <c r="A381">
        <v>303709</v>
      </c>
      <c r="B381" t="s">
        <v>1215</v>
      </c>
      <c r="C381" t="s">
        <v>915</v>
      </c>
      <c r="D381" t="s">
        <v>1464</v>
      </c>
      <c r="E381">
        <v>10</v>
      </c>
      <c r="F381">
        <v>5.6</v>
      </c>
    </row>
    <row r="382" spans="1:6">
      <c r="A382">
        <v>303710</v>
      </c>
      <c r="B382" t="s">
        <v>1216</v>
      </c>
      <c r="C382" t="s">
        <v>1915</v>
      </c>
      <c r="D382" t="s">
        <v>1464</v>
      </c>
      <c r="E382">
        <v>10</v>
      </c>
      <c r="F382">
        <v>3.99</v>
      </c>
    </row>
    <row r="383" spans="1:6">
      <c r="A383">
        <v>303711</v>
      </c>
      <c r="B383" t="s">
        <v>1217</v>
      </c>
      <c r="C383" t="s">
        <v>1792</v>
      </c>
      <c r="D383" t="s">
        <v>1464</v>
      </c>
      <c r="E383">
        <v>10</v>
      </c>
      <c r="F383">
        <v>5.6</v>
      </c>
    </row>
    <row r="384" spans="1:6">
      <c r="A384">
        <v>303712</v>
      </c>
      <c r="B384" t="s">
        <v>1218</v>
      </c>
      <c r="C384" t="s">
        <v>1915</v>
      </c>
      <c r="D384" t="s">
        <v>1464</v>
      </c>
      <c r="E384">
        <v>10</v>
      </c>
      <c r="F384">
        <v>3.99</v>
      </c>
    </row>
    <row r="385" spans="1:6">
      <c r="A385">
        <v>303713</v>
      </c>
      <c r="B385" t="s">
        <v>1219</v>
      </c>
      <c r="C385" t="s">
        <v>1467</v>
      </c>
      <c r="D385" t="s">
        <v>1464</v>
      </c>
      <c r="E385">
        <v>10</v>
      </c>
      <c r="F385">
        <v>5.6</v>
      </c>
    </row>
    <row r="386" spans="1:6">
      <c r="A386">
        <v>303720</v>
      </c>
      <c r="B386" t="s">
        <v>1220</v>
      </c>
      <c r="C386" t="s">
        <v>1108</v>
      </c>
      <c r="D386" t="s">
        <v>861</v>
      </c>
      <c r="E386">
        <v>1</v>
      </c>
      <c r="F386">
        <v>9.9</v>
      </c>
    </row>
    <row r="387" spans="1:6">
      <c r="A387">
        <v>303722</v>
      </c>
      <c r="B387" t="s">
        <v>27</v>
      </c>
      <c r="C387" t="s">
        <v>1108</v>
      </c>
      <c r="D387" t="s">
        <v>861</v>
      </c>
      <c r="E387">
        <v>1</v>
      </c>
      <c r="F387">
        <v>9.9</v>
      </c>
    </row>
    <row r="388" spans="1:6">
      <c r="A388">
        <v>391198</v>
      </c>
      <c r="B388" t="s">
        <v>988</v>
      </c>
      <c r="C388" t="s">
        <v>1108</v>
      </c>
      <c r="D388" t="s">
        <v>1464</v>
      </c>
      <c r="E388">
        <v>70</v>
      </c>
      <c r="F388">
        <v>3.4</v>
      </c>
    </row>
    <row r="389" spans="1:6">
      <c r="A389">
        <v>391202</v>
      </c>
      <c r="B389" t="s">
        <v>989</v>
      </c>
      <c r="C389" t="s">
        <v>1463</v>
      </c>
      <c r="D389" t="s">
        <v>1464</v>
      </c>
      <c r="E389">
        <v>70</v>
      </c>
      <c r="F389">
        <v>3.71</v>
      </c>
    </row>
    <row r="390" spans="1:6">
      <c r="A390">
        <v>391237</v>
      </c>
      <c r="B390" t="s">
        <v>990</v>
      </c>
      <c r="C390" t="s">
        <v>1463</v>
      </c>
      <c r="D390" t="s">
        <v>1464</v>
      </c>
      <c r="E390">
        <v>70</v>
      </c>
      <c r="F390">
        <v>3.4</v>
      </c>
    </row>
    <row r="391" spans="1:6">
      <c r="A391">
        <v>391242</v>
      </c>
      <c r="B391" t="s">
        <v>991</v>
      </c>
      <c r="C391" t="s">
        <v>1108</v>
      </c>
      <c r="D391" t="s">
        <v>1464</v>
      </c>
      <c r="E391">
        <v>70</v>
      </c>
      <c r="F391">
        <v>3.7</v>
      </c>
    </row>
    <row r="392" spans="1:6">
      <c r="A392">
        <v>300642</v>
      </c>
      <c r="B392" t="s">
        <v>543</v>
      </c>
      <c r="D392" t="s">
        <v>861</v>
      </c>
      <c r="E392">
        <v>42</v>
      </c>
      <c r="F392">
        <v>10.65</v>
      </c>
    </row>
    <row r="393" spans="1:6">
      <c r="A393">
        <v>303088</v>
      </c>
      <c r="B393" t="s">
        <v>28</v>
      </c>
      <c r="C393" t="s">
        <v>1108</v>
      </c>
      <c r="D393" t="s">
        <v>1464</v>
      </c>
      <c r="E393">
        <v>99</v>
      </c>
      <c r="F393">
        <v>16.45</v>
      </c>
    </row>
    <row r="394" spans="1:6">
      <c r="A394">
        <v>332847</v>
      </c>
      <c r="B394" t="s">
        <v>1604</v>
      </c>
      <c r="C394" t="s">
        <v>1792</v>
      </c>
      <c r="D394" t="s">
        <v>1464</v>
      </c>
      <c r="E394">
        <v>120</v>
      </c>
      <c r="F394">
        <v>4.4000000000000004</v>
      </c>
    </row>
    <row r="395" spans="1:6">
      <c r="A395">
        <v>332848</v>
      </c>
      <c r="B395" t="s">
        <v>1527</v>
      </c>
      <c r="C395" t="s">
        <v>1790</v>
      </c>
      <c r="D395" t="s">
        <v>1464</v>
      </c>
      <c r="E395">
        <v>330</v>
      </c>
      <c r="F395">
        <v>3.5</v>
      </c>
    </row>
    <row r="396" spans="1:6">
      <c r="A396">
        <v>332849</v>
      </c>
      <c r="B396" t="s">
        <v>1528</v>
      </c>
      <c r="C396" t="s">
        <v>1792</v>
      </c>
      <c r="D396" t="s">
        <v>1464</v>
      </c>
      <c r="E396">
        <v>450</v>
      </c>
      <c r="F396">
        <v>2.5</v>
      </c>
    </row>
    <row r="397" spans="1:6">
      <c r="A397">
        <v>342446</v>
      </c>
      <c r="B397" t="s">
        <v>1534</v>
      </c>
      <c r="C397" t="s">
        <v>1463</v>
      </c>
      <c r="D397" t="s">
        <v>1464</v>
      </c>
      <c r="E397">
        <v>12</v>
      </c>
      <c r="F397">
        <v>11.9</v>
      </c>
    </row>
    <row r="398" spans="1:6">
      <c r="A398">
        <v>342447</v>
      </c>
      <c r="B398" t="s">
        <v>1535</v>
      </c>
      <c r="C398" t="s">
        <v>1463</v>
      </c>
      <c r="D398" t="s">
        <v>1464</v>
      </c>
      <c r="E398">
        <v>10</v>
      </c>
      <c r="F398">
        <v>20.95</v>
      </c>
    </row>
    <row r="399" spans="1:6">
      <c r="A399">
        <v>342551</v>
      </c>
      <c r="B399" t="s">
        <v>1536</v>
      </c>
      <c r="C399" t="s">
        <v>1108</v>
      </c>
      <c r="D399" t="s">
        <v>1464</v>
      </c>
      <c r="E399">
        <v>24</v>
      </c>
      <c r="F399">
        <v>64.900000000000006</v>
      </c>
    </row>
    <row r="400" spans="1:6">
      <c r="A400">
        <v>342555</v>
      </c>
      <c r="B400" t="s">
        <v>29</v>
      </c>
      <c r="C400" t="s">
        <v>1721</v>
      </c>
      <c r="D400" t="s">
        <v>1464</v>
      </c>
      <c r="E400">
        <v>1</v>
      </c>
      <c r="F400">
        <v>13.5</v>
      </c>
    </row>
    <row r="401" spans="1:6">
      <c r="A401">
        <v>342563</v>
      </c>
      <c r="B401" t="s">
        <v>30</v>
      </c>
      <c r="C401" t="s">
        <v>1721</v>
      </c>
      <c r="D401" t="s">
        <v>1464</v>
      </c>
      <c r="E401">
        <v>1</v>
      </c>
      <c r="F401">
        <v>17.5</v>
      </c>
    </row>
    <row r="402" spans="1:6">
      <c r="A402">
        <v>342565</v>
      </c>
      <c r="B402" t="s">
        <v>31</v>
      </c>
      <c r="C402" t="s">
        <v>1108</v>
      </c>
      <c r="D402" t="s">
        <v>1464</v>
      </c>
      <c r="E402">
        <v>1</v>
      </c>
      <c r="F402">
        <v>20.9</v>
      </c>
    </row>
    <row r="403" spans="1:6">
      <c r="A403">
        <v>342569</v>
      </c>
      <c r="B403" t="s">
        <v>32</v>
      </c>
      <c r="C403" t="s">
        <v>1721</v>
      </c>
      <c r="D403" t="s">
        <v>1464</v>
      </c>
      <c r="E403">
        <v>1</v>
      </c>
      <c r="F403">
        <v>30.9</v>
      </c>
    </row>
    <row r="404" spans="1:6">
      <c r="A404">
        <v>342595</v>
      </c>
      <c r="B404" t="s">
        <v>33</v>
      </c>
      <c r="C404" t="s">
        <v>1721</v>
      </c>
      <c r="D404" t="s">
        <v>1464</v>
      </c>
      <c r="E404">
        <v>1</v>
      </c>
      <c r="F404">
        <v>30.9</v>
      </c>
    </row>
    <row r="405" spans="1:6">
      <c r="A405">
        <v>342597</v>
      </c>
      <c r="B405" t="s">
        <v>34</v>
      </c>
      <c r="C405" t="s">
        <v>1721</v>
      </c>
      <c r="D405" t="s">
        <v>1464</v>
      </c>
      <c r="E405">
        <v>1</v>
      </c>
      <c r="F405">
        <v>13.5</v>
      </c>
    </row>
    <row r="406" spans="1:6">
      <c r="A406">
        <v>342599</v>
      </c>
      <c r="B406" t="s">
        <v>35</v>
      </c>
      <c r="C406" t="s">
        <v>1108</v>
      </c>
      <c r="D406" t="s">
        <v>1464</v>
      </c>
      <c r="E406">
        <v>1</v>
      </c>
      <c r="F406">
        <v>20.9</v>
      </c>
    </row>
    <row r="407" spans="1:6">
      <c r="A407">
        <v>342600</v>
      </c>
      <c r="B407" t="s">
        <v>36</v>
      </c>
      <c r="C407" t="s">
        <v>1721</v>
      </c>
      <c r="D407" t="s">
        <v>1464</v>
      </c>
      <c r="E407">
        <v>1</v>
      </c>
      <c r="F407">
        <v>17.5</v>
      </c>
    </row>
    <row r="408" spans="1:6">
      <c r="A408">
        <v>342602</v>
      </c>
      <c r="B408" t="s">
        <v>1090</v>
      </c>
      <c r="C408" t="s">
        <v>1721</v>
      </c>
      <c r="D408" t="s">
        <v>1464</v>
      </c>
      <c r="E408">
        <v>20</v>
      </c>
      <c r="F408">
        <v>13.6</v>
      </c>
    </row>
    <row r="409" spans="1:6">
      <c r="A409">
        <v>342606</v>
      </c>
      <c r="B409" t="s">
        <v>37</v>
      </c>
      <c r="C409" t="s">
        <v>1721</v>
      </c>
      <c r="D409" t="s">
        <v>1464</v>
      </c>
      <c r="E409">
        <v>20</v>
      </c>
      <c r="F409">
        <v>20.95</v>
      </c>
    </row>
    <row r="410" spans="1:6">
      <c r="A410">
        <v>342772</v>
      </c>
      <c r="B410" t="s">
        <v>38</v>
      </c>
      <c r="C410" t="s">
        <v>1463</v>
      </c>
      <c r="D410" t="s">
        <v>1464</v>
      </c>
      <c r="E410">
        <v>24</v>
      </c>
      <c r="F410">
        <v>35.9</v>
      </c>
    </row>
    <row r="411" spans="1:6">
      <c r="A411">
        <v>342773</v>
      </c>
      <c r="B411" t="s">
        <v>39</v>
      </c>
      <c r="C411" t="s">
        <v>1463</v>
      </c>
      <c r="D411" t="s">
        <v>1464</v>
      </c>
      <c r="E411">
        <v>24</v>
      </c>
      <c r="F411">
        <v>43.9</v>
      </c>
    </row>
    <row r="412" spans="1:6">
      <c r="A412">
        <v>342774</v>
      </c>
      <c r="B412" t="s">
        <v>40</v>
      </c>
      <c r="C412" t="s">
        <v>1463</v>
      </c>
      <c r="D412" t="s">
        <v>1464</v>
      </c>
      <c r="E412">
        <v>24</v>
      </c>
      <c r="F412">
        <v>47.9</v>
      </c>
    </row>
    <row r="413" spans="1:6">
      <c r="A413">
        <v>342775</v>
      </c>
      <c r="B413" t="s">
        <v>41</v>
      </c>
      <c r="C413" t="s">
        <v>1463</v>
      </c>
      <c r="D413" t="s">
        <v>1464</v>
      </c>
      <c r="E413">
        <v>24</v>
      </c>
      <c r="F413">
        <v>64.900000000000006</v>
      </c>
    </row>
    <row r="414" spans="1:6">
      <c r="A414">
        <v>342777</v>
      </c>
      <c r="B414" t="s">
        <v>42</v>
      </c>
      <c r="C414" t="s">
        <v>1463</v>
      </c>
      <c r="D414" t="s">
        <v>1464</v>
      </c>
      <c r="E414">
        <v>24</v>
      </c>
      <c r="F414">
        <v>49.9</v>
      </c>
    </row>
    <row r="415" spans="1:6">
      <c r="A415">
        <v>342779</v>
      </c>
      <c r="B415" t="s">
        <v>43</v>
      </c>
      <c r="C415" t="s">
        <v>1721</v>
      </c>
      <c r="D415" t="s">
        <v>1464</v>
      </c>
      <c r="E415">
        <v>1</v>
      </c>
      <c r="F415">
        <v>13.5</v>
      </c>
    </row>
    <row r="416" spans="1:6">
      <c r="A416">
        <v>342780</v>
      </c>
      <c r="B416" t="s">
        <v>44</v>
      </c>
      <c r="C416" t="s">
        <v>1721</v>
      </c>
      <c r="D416" t="s">
        <v>1464</v>
      </c>
      <c r="E416">
        <v>1</v>
      </c>
      <c r="F416">
        <v>17.5</v>
      </c>
    </row>
    <row r="417" spans="1:6">
      <c r="A417">
        <v>342781</v>
      </c>
      <c r="B417" t="s">
        <v>45</v>
      </c>
      <c r="C417" t="s">
        <v>1721</v>
      </c>
      <c r="D417" t="s">
        <v>1464</v>
      </c>
      <c r="E417">
        <v>1</v>
      </c>
      <c r="F417">
        <v>20.9</v>
      </c>
    </row>
    <row r="418" spans="1:6">
      <c r="A418">
        <v>342782</v>
      </c>
      <c r="B418" t="s">
        <v>46</v>
      </c>
      <c r="C418" t="s">
        <v>1721</v>
      </c>
      <c r="D418" t="s">
        <v>1464</v>
      </c>
      <c r="E418">
        <v>1</v>
      </c>
      <c r="F418">
        <v>30.9</v>
      </c>
    </row>
    <row r="419" spans="1:6">
      <c r="A419">
        <v>343319</v>
      </c>
      <c r="B419" t="s">
        <v>47</v>
      </c>
      <c r="C419" t="s">
        <v>1108</v>
      </c>
      <c r="D419" t="s">
        <v>1464</v>
      </c>
      <c r="E419">
        <v>15</v>
      </c>
      <c r="F419">
        <v>41.95</v>
      </c>
    </row>
    <row r="420" spans="1:6">
      <c r="A420">
        <v>343320</v>
      </c>
      <c r="B420" t="s">
        <v>48</v>
      </c>
      <c r="C420" t="s">
        <v>1721</v>
      </c>
      <c r="D420" t="s">
        <v>1464</v>
      </c>
      <c r="E420">
        <v>15</v>
      </c>
      <c r="F420">
        <v>69.900000000000006</v>
      </c>
    </row>
    <row r="421" spans="1:6">
      <c r="A421">
        <v>343840</v>
      </c>
      <c r="B421" t="s">
        <v>49</v>
      </c>
      <c r="C421" t="s">
        <v>1463</v>
      </c>
      <c r="D421" t="s">
        <v>1464</v>
      </c>
      <c r="E421">
        <v>12</v>
      </c>
      <c r="F421">
        <v>47.9</v>
      </c>
    </row>
    <row r="422" spans="1:6">
      <c r="A422">
        <v>344001</v>
      </c>
      <c r="B422" t="s">
        <v>50</v>
      </c>
      <c r="C422" t="s">
        <v>1108</v>
      </c>
      <c r="D422" t="s">
        <v>1464</v>
      </c>
      <c r="E422">
        <v>12</v>
      </c>
      <c r="F422">
        <v>104</v>
      </c>
    </row>
    <row r="423" spans="1:6">
      <c r="A423">
        <v>344002</v>
      </c>
      <c r="B423" t="s">
        <v>51</v>
      </c>
      <c r="C423" t="s">
        <v>1108</v>
      </c>
      <c r="D423" t="s">
        <v>1464</v>
      </c>
      <c r="E423">
        <v>12</v>
      </c>
      <c r="F423">
        <v>66.900000000000006</v>
      </c>
    </row>
    <row r="424" spans="1:6">
      <c r="A424">
        <v>346001</v>
      </c>
      <c r="B424" t="s">
        <v>1674</v>
      </c>
      <c r="D424" t="s">
        <v>1464</v>
      </c>
      <c r="E424">
        <v>12</v>
      </c>
      <c r="F424">
        <v>89.9</v>
      </c>
    </row>
    <row r="425" spans="1:6">
      <c r="A425">
        <v>348402</v>
      </c>
      <c r="B425" t="s">
        <v>52</v>
      </c>
      <c r="D425" t="s">
        <v>1464</v>
      </c>
      <c r="E425">
        <v>12</v>
      </c>
      <c r="F425">
        <v>89</v>
      </c>
    </row>
    <row r="426" spans="1:6">
      <c r="A426">
        <v>348435</v>
      </c>
      <c r="B426" t="s">
        <v>53</v>
      </c>
      <c r="D426" t="s">
        <v>1464</v>
      </c>
      <c r="E426">
        <v>50</v>
      </c>
      <c r="F426">
        <v>4.1500000000000004</v>
      </c>
    </row>
    <row r="427" spans="1:6">
      <c r="A427">
        <v>348469</v>
      </c>
      <c r="B427" t="s">
        <v>54</v>
      </c>
      <c r="D427" t="s">
        <v>1464</v>
      </c>
      <c r="E427">
        <v>15</v>
      </c>
      <c r="F427">
        <v>55.9</v>
      </c>
    </row>
    <row r="428" spans="1:6">
      <c r="A428">
        <v>348476</v>
      </c>
      <c r="B428" t="s">
        <v>55</v>
      </c>
      <c r="D428" t="s">
        <v>1464</v>
      </c>
      <c r="E428">
        <v>8</v>
      </c>
      <c r="F428">
        <v>99</v>
      </c>
    </row>
    <row r="429" spans="1:6">
      <c r="A429">
        <v>348610</v>
      </c>
      <c r="B429" t="s">
        <v>56</v>
      </c>
      <c r="C429" t="s">
        <v>1467</v>
      </c>
      <c r="D429" t="s">
        <v>1464</v>
      </c>
      <c r="E429">
        <v>50</v>
      </c>
      <c r="F429">
        <v>4.5</v>
      </c>
    </row>
    <row r="430" spans="1:6">
      <c r="A430">
        <v>348611</v>
      </c>
      <c r="B430" t="s">
        <v>57</v>
      </c>
      <c r="C430" t="s">
        <v>1463</v>
      </c>
      <c r="D430" t="s">
        <v>1464</v>
      </c>
      <c r="E430">
        <v>50</v>
      </c>
      <c r="F430">
        <v>13.9</v>
      </c>
    </row>
    <row r="431" spans="1:6">
      <c r="A431">
        <v>377772</v>
      </c>
      <c r="B431" t="s">
        <v>58</v>
      </c>
      <c r="D431" t="s">
        <v>1464</v>
      </c>
      <c r="E431">
        <v>15</v>
      </c>
      <c r="F431">
        <v>53.9</v>
      </c>
    </row>
    <row r="432" spans="1:6">
      <c r="A432">
        <v>377790</v>
      </c>
      <c r="B432" t="s">
        <v>59</v>
      </c>
      <c r="D432" t="s">
        <v>1464</v>
      </c>
      <c r="E432">
        <v>15</v>
      </c>
      <c r="F432">
        <v>49.9</v>
      </c>
    </row>
    <row r="433" spans="1:6">
      <c r="A433">
        <v>380394</v>
      </c>
      <c r="B433" t="s">
        <v>60</v>
      </c>
      <c r="C433" t="s">
        <v>1463</v>
      </c>
      <c r="D433" t="s">
        <v>1464</v>
      </c>
      <c r="E433">
        <v>24</v>
      </c>
      <c r="F433">
        <v>49.9</v>
      </c>
    </row>
    <row r="434" spans="1:6">
      <c r="A434">
        <v>380395</v>
      </c>
      <c r="B434" t="s">
        <v>61</v>
      </c>
      <c r="C434" t="s">
        <v>1915</v>
      </c>
      <c r="D434" t="s">
        <v>1464</v>
      </c>
      <c r="E434">
        <v>24</v>
      </c>
      <c r="F434">
        <v>49.9</v>
      </c>
    </row>
    <row r="435" spans="1:6">
      <c r="A435">
        <v>380396</v>
      </c>
      <c r="B435" t="s">
        <v>62</v>
      </c>
      <c r="C435" t="s">
        <v>1108</v>
      </c>
      <c r="D435" t="s">
        <v>1464</v>
      </c>
      <c r="E435">
        <v>24</v>
      </c>
      <c r="F435">
        <v>79</v>
      </c>
    </row>
    <row r="436" spans="1:6">
      <c r="A436">
        <v>380397</v>
      </c>
      <c r="B436" t="s">
        <v>63</v>
      </c>
      <c r="C436" t="s">
        <v>1463</v>
      </c>
      <c r="D436" t="s">
        <v>1464</v>
      </c>
      <c r="E436">
        <v>24</v>
      </c>
      <c r="F436">
        <v>79</v>
      </c>
    </row>
    <row r="437" spans="1:6">
      <c r="A437">
        <v>380471</v>
      </c>
      <c r="B437" t="s">
        <v>64</v>
      </c>
      <c r="C437" t="s">
        <v>1108</v>
      </c>
      <c r="D437" t="s">
        <v>1464</v>
      </c>
      <c r="E437">
        <v>20</v>
      </c>
      <c r="F437">
        <v>17.5</v>
      </c>
    </row>
    <row r="438" spans="1:6">
      <c r="A438">
        <v>301768</v>
      </c>
      <c r="B438" t="s">
        <v>65</v>
      </c>
      <c r="C438" t="s">
        <v>1463</v>
      </c>
      <c r="D438" t="s">
        <v>1</v>
      </c>
      <c r="E438">
        <v>44</v>
      </c>
      <c r="F438">
        <v>40.950000000000003</v>
      </c>
    </row>
    <row r="439" spans="1:6">
      <c r="A439">
        <v>303212</v>
      </c>
      <c r="B439" t="s">
        <v>66</v>
      </c>
      <c r="C439" t="s">
        <v>1108</v>
      </c>
      <c r="D439" t="s">
        <v>1</v>
      </c>
      <c r="E439">
        <v>20</v>
      </c>
      <c r="F439">
        <v>40.950000000000003</v>
      </c>
    </row>
    <row r="440" spans="1:6">
      <c r="A440">
        <v>303213</v>
      </c>
      <c r="B440" t="s">
        <v>67</v>
      </c>
      <c r="C440" t="s">
        <v>1108</v>
      </c>
      <c r="D440" t="s">
        <v>1</v>
      </c>
      <c r="E440">
        <v>50</v>
      </c>
      <c r="F440">
        <v>8.8000000000000007</v>
      </c>
    </row>
    <row r="441" spans="1:6">
      <c r="A441">
        <v>303216</v>
      </c>
      <c r="B441" t="s">
        <v>68</v>
      </c>
      <c r="C441" t="s">
        <v>1467</v>
      </c>
      <c r="D441" t="s">
        <v>1464</v>
      </c>
      <c r="E441">
        <v>26</v>
      </c>
      <c r="F441">
        <v>14.61</v>
      </c>
    </row>
    <row r="442" spans="1:6">
      <c r="A442">
        <v>310750</v>
      </c>
      <c r="B442" t="s">
        <v>1194</v>
      </c>
      <c r="C442" t="s">
        <v>1108</v>
      </c>
      <c r="D442" t="s">
        <v>861</v>
      </c>
      <c r="E442">
        <v>285</v>
      </c>
      <c r="F442">
        <v>5.4</v>
      </c>
    </row>
    <row r="443" spans="1:6">
      <c r="A443">
        <v>343086</v>
      </c>
      <c r="B443" t="s">
        <v>1195</v>
      </c>
      <c r="C443" t="s">
        <v>1721</v>
      </c>
      <c r="D443" t="s">
        <v>1464</v>
      </c>
      <c r="E443">
        <v>22</v>
      </c>
      <c r="F443">
        <v>38.9</v>
      </c>
    </row>
    <row r="444" spans="1:6">
      <c r="A444">
        <v>343087</v>
      </c>
      <c r="B444" t="s">
        <v>1196</v>
      </c>
      <c r="C444" t="s">
        <v>1721</v>
      </c>
      <c r="D444" t="s">
        <v>1464</v>
      </c>
      <c r="E444">
        <v>11</v>
      </c>
      <c r="F444">
        <v>42.9</v>
      </c>
    </row>
    <row r="445" spans="1:6">
      <c r="A445">
        <v>343088</v>
      </c>
      <c r="B445" t="s">
        <v>1197</v>
      </c>
      <c r="C445" t="s">
        <v>1108</v>
      </c>
      <c r="D445" t="s">
        <v>1464</v>
      </c>
      <c r="E445">
        <v>26</v>
      </c>
      <c r="F445">
        <v>27.9</v>
      </c>
    </row>
    <row r="446" spans="1:6">
      <c r="A446">
        <v>343089</v>
      </c>
      <c r="B446" t="s">
        <v>314</v>
      </c>
      <c r="C446" t="s">
        <v>1721</v>
      </c>
      <c r="D446" t="s">
        <v>1464</v>
      </c>
      <c r="E446">
        <v>18</v>
      </c>
      <c r="F446">
        <v>45.9</v>
      </c>
    </row>
    <row r="447" spans="1:6">
      <c r="A447">
        <v>343090</v>
      </c>
      <c r="B447" t="s">
        <v>315</v>
      </c>
      <c r="C447" t="s">
        <v>1108</v>
      </c>
      <c r="D447" t="s">
        <v>1464</v>
      </c>
      <c r="E447">
        <v>13</v>
      </c>
      <c r="F447">
        <v>79.900000000000006</v>
      </c>
    </row>
    <row r="448" spans="1:6">
      <c r="A448">
        <v>343107</v>
      </c>
      <c r="B448" t="s">
        <v>956</v>
      </c>
      <c r="C448" t="s">
        <v>1108</v>
      </c>
      <c r="D448" t="s">
        <v>1464</v>
      </c>
      <c r="E448">
        <v>33</v>
      </c>
      <c r="F448">
        <v>19.5</v>
      </c>
    </row>
    <row r="449" spans="1:6">
      <c r="A449">
        <v>343108</v>
      </c>
      <c r="B449" t="s">
        <v>957</v>
      </c>
      <c r="C449" t="s">
        <v>1108</v>
      </c>
      <c r="D449" t="s">
        <v>1464</v>
      </c>
      <c r="E449">
        <v>24</v>
      </c>
      <c r="F449">
        <v>26.9</v>
      </c>
    </row>
    <row r="450" spans="1:6">
      <c r="A450">
        <v>343109</v>
      </c>
      <c r="B450" t="s">
        <v>958</v>
      </c>
      <c r="C450" t="s">
        <v>1721</v>
      </c>
      <c r="D450" t="s">
        <v>1464</v>
      </c>
      <c r="E450">
        <v>13</v>
      </c>
      <c r="F450">
        <v>41.5</v>
      </c>
    </row>
    <row r="451" spans="1:6">
      <c r="A451">
        <v>343110</v>
      </c>
      <c r="B451" t="s">
        <v>959</v>
      </c>
      <c r="C451" t="s">
        <v>1108</v>
      </c>
      <c r="D451" t="s">
        <v>1464</v>
      </c>
      <c r="E451">
        <v>28</v>
      </c>
      <c r="F451">
        <v>15.9</v>
      </c>
    </row>
    <row r="452" spans="1:6">
      <c r="A452">
        <v>343111</v>
      </c>
      <c r="B452" t="s">
        <v>960</v>
      </c>
      <c r="C452" t="s">
        <v>1721</v>
      </c>
      <c r="D452" t="s">
        <v>1464</v>
      </c>
      <c r="E452">
        <v>22</v>
      </c>
      <c r="F452">
        <v>38.5</v>
      </c>
    </row>
    <row r="453" spans="1:6">
      <c r="A453">
        <v>343112</v>
      </c>
      <c r="B453" t="s">
        <v>961</v>
      </c>
      <c r="C453" t="s">
        <v>1721</v>
      </c>
      <c r="D453" t="s">
        <v>1464</v>
      </c>
      <c r="E453">
        <v>16</v>
      </c>
      <c r="F453">
        <v>50.5</v>
      </c>
    </row>
    <row r="454" spans="1:6">
      <c r="A454">
        <v>343113</v>
      </c>
      <c r="B454" t="s">
        <v>1605</v>
      </c>
      <c r="C454" t="s">
        <v>1721</v>
      </c>
      <c r="D454" t="s">
        <v>1464</v>
      </c>
      <c r="E454">
        <v>28</v>
      </c>
      <c r="F454">
        <v>26.9</v>
      </c>
    </row>
    <row r="455" spans="1:6">
      <c r="A455">
        <v>343121</v>
      </c>
      <c r="B455" t="s">
        <v>1012</v>
      </c>
      <c r="C455" t="s">
        <v>1721</v>
      </c>
      <c r="D455" t="s">
        <v>1464</v>
      </c>
      <c r="E455">
        <v>26</v>
      </c>
      <c r="F455">
        <v>33</v>
      </c>
    </row>
    <row r="456" spans="1:6">
      <c r="A456">
        <v>343122</v>
      </c>
      <c r="B456" t="s">
        <v>1013</v>
      </c>
      <c r="C456" t="s">
        <v>1108</v>
      </c>
      <c r="D456" t="s">
        <v>1464</v>
      </c>
      <c r="E456">
        <v>22</v>
      </c>
      <c r="F456">
        <v>39.5</v>
      </c>
    </row>
    <row r="457" spans="1:6">
      <c r="A457">
        <v>343123</v>
      </c>
      <c r="B457" t="s">
        <v>1014</v>
      </c>
      <c r="C457" t="s">
        <v>1108</v>
      </c>
      <c r="D457" t="s">
        <v>1464</v>
      </c>
      <c r="E457">
        <v>18</v>
      </c>
      <c r="F457">
        <v>45.5</v>
      </c>
    </row>
    <row r="458" spans="1:6">
      <c r="A458">
        <v>343124</v>
      </c>
      <c r="B458" t="s">
        <v>1015</v>
      </c>
      <c r="C458" t="s">
        <v>1721</v>
      </c>
      <c r="D458" t="s">
        <v>1464</v>
      </c>
      <c r="E458">
        <v>14</v>
      </c>
      <c r="F458">
        <v>64.5</v>
      </c>
    </row>
    <row r="459" spans="1:6">
      <c r="A459">
        <v>343125</v>
      </c>
      <c r="B459" t="s">
        <v>1016</v>
      </c>
      <c r="C459" t="s">
        <v>1721</v>
      </c>
      <c r="D459" t="s">
        <v>1464</v>
      </c>
      <c r="E459">
        <v>14</v>
      </c>
      <c r="F459">
        <v>62</v>
      </c>
    </row>
    <row r="460" spans="1:6">
      <c r="A460">
        <v>343127</v>
      </c>
      <c r="B460" t="s">
        <v>304</v>
      </c>
      <c r="C460" t="s">
        <v>1721</v>
      </c>
      <c r="D460" t="s">
        <v>1464</v>
      </c>
      <c r="E460">
        <v>15</v>
      </c>
      <c r="F460">
        <v>83</v>
      </c>
    </row>
    <row r="461" spans="1:6">
      <c r="A461">
        <v>343128</v>
      </c>
      <c r="B461" t="s">
        <v>305</v>
      </c>
      <c r="C461" t="s">
        <v>1108</v>
      </c>
      <c r="D461" t="s">
        <v>1464</v>
      </c>
      <c r="E461">
        <v>39</v>
      </c>
      <c r="F461">
        <v>21</v>
      </c>
    </row>
    <row r="462" spans="1:6">
      <c r="A462">
        <v>343129</v>
      </c>
      <c r="B462" t="s">
        <v>306</v>
      </c>
      <c r="C462" t="s">
        <v>1108</v>
      </c>
      <c r="D462" t="s">
        <v>1464</v>
      </c>
      <c r="E462">
        <v>34</v>
      </c>
      <c r="F462">
        <v>28.5</v>
      </c>
    </row>
    <row r="463" spans="1:6">
      <c r="A463">
        <v>343130</v>
      </c>
      <c r="B463" t="s">
        <v>307</v>
      </c>
      <c r="C463" t="s">
        <v>1108</v>
      </c>
      <c r="D463" t="s">
        <v>1464</v>
      </c>
      <c r="E463">
        <v>33</v>
      </c>
      <c r="F463">
        <v>29</v>
      </c>
    </row>
    <row r="464" spans="1:6">
      <c r="A464">
        <v>343132</v>
      </c>
      <c r="B464" t="s">
        <v>308</v>
      </c>
      <c r="C464" t="s">
        <v>1721</v>
      </c>
      <c r="D464" t="s">
        <v>1464</v>
      </c>
      <c r="E464">
        <v>22</v>
      </c>
      <c r="F464">
        <v>47.5</v>
      </c>
    </row>
    <row r="465" spans="1:6">
      <c r="A465">
        <v>343134</v>
      </c>
      <c r="B465" t="s">
        <v>309</v>
      </c>
      <c r="C465" t="s">
        <v>1108</v>
      </c>
      <c r="D465" t="s">
        <v>1464</v>
      </c>
      <c r="E465">
        <v>44</v>
      </c>
      <c r="F465">
        <v>19</v>
      </c>
    </row>
    <row r="466" spans="1:6">
      <c r="A466">
        <v>343153</v>
      </c>
      <c r="B466" t="s">
        <v>310</v>
      </c>
      <c r="C466" t="s">
        <v>1721</v>
      </c>
      <c r="D466" t="s">
        <v>1464</v>
      </c>
      <c r="E466">
        <v>36</v>
      </c>
      <c r="F466">
        <v>30</v>
      </c>
    </row>
    <row r="467" spans="1:6">
      <c r="A467">
        <v>343157</v>
      </c>
      <c r="B467" t="s">
        <v>311</v>
      </c>
      <c r="C467" t="s">
        <v>1721</v>
      </c>
      <c r="D467" t="s">
        <v>1464</v>
      </c>
      <c r="E467">
        <v>11</v>
      </c>
      <c r="F467">
        <v>66</v>
      </c>
    </row>
    <row r="468" spans="1:6">
      <c r="A468">
        <v>343185</v>
      </c>
      <c r="B468" t="s">
        <v>1606</v>
      </c>
      <c r="C468" s="18" t="s">
        <v>212</v>
      </c>
      <c r="D468" t="s">
        <v>1464</v>
      </c>
      <c r="E468">
        <v>74</v>
      </c>
      <c r="F468">
        <v>13.5</v>
      </c>
    </row>
    <row r="469" spans="1:6">
      <c r="A469">
        <v>343186</v>
      </c>
      <c r="B469" t="s">
        <v>1110</v>
      </c>
      <c r="C469" s="18" t="s">
        <v>212</v>
      </c>
      <c r="D469" t="s">
        <v>1464</v>
      </c>
      <c r="E469">
        <v>48</v>
      </c>
      <c r="F469">
        <v>16.5</v>
      </c>
    </row>
    <row r="470" spans="1:6">
      <c r="A470">
        <v>343187</v>
      </c>
      <c r="B470" t="s">
        <v>1111</v>
      </c>
      <c r="C470" s="18" t="s">
        <v>212</v>
      </c>
      <c r="D470" t="s">
        <v>1464</v>
      </c>
      <c r="E470">
        <v>46</v>
      </c>
      <c r="F470">
        <v>22.5</v>
      </c>
    </row>
    <row r="471" spans="1:6">
      <c r="A471">
        <v>343234</v>
      </c>
      <c r="B471" t="s">
        <v>1450</v>
      </c>
      <c r="C471" t="s">
        <v>1108</v>
      </c>
      <c r="D471" t="s">
        <v>1464</v>
      </c>
      <c r="E471">
        <v>40</v>
      </c>
      <c r="F471">
        <v>30.5</v>
      </c>
    </row>
    <row r="472" spans="1:6">
      <c r="A472">
        <v>343235</v>
      </c>
      <c r="B472" t="s">
        <v>727</v>
      </c>
      <c r="C472" s="18" t="s">
        <v>212</v>
      </c>
      <c r="D472" t="s">
        <v>1464</v>
      </c>
      <c r="E472">
        <v>1</v>
      </c>
      <c r="F472">
        <v>15.9</v>
      </c>
    </row>
    <row r="473" spans="1:6">
      <c r="A473">
        <v>343842</v>
      </c>
      <c r="B473" t="s">
        <v>1112</v>
      </c>
      <c r="C473" s="18" t="s">
        <v>212</v>
      </c>
      <c r="D473" t="s">
        <v>1464</v>
      </c>
      <c r="E473">
        <v>50</v>
      </c>
      <c r="F473">
        <v>25.2</v>
      </c>
    </row>
    <row r="474" spans="1:6">
      <c r="A474">
        <v>343843</v>
      </c>
      <c r="B474" t="s">
        <v>1113</v>
      </c>
      <c r="C474" s="18" t="s">
        <v>212</v>
      </c>
      <c r="D474" t="s">
        <v>1464</v>
      </c>
      <c r="E474">
        <v>30</v>
      </c>
      <c r="F474">
        <v>31.2</v>
      </c>
    </row>
    <row r="475" spans="1:6">
      <c r="A475">
        <v>343844</v>
      </c>
      <c r="B475" t="s">
        <v>1114</v>
      </c>
      <c r="C475" s="18" t="s">
        <v>212</v>
      </c>
      <c r="D475" t="s">
        <v>1464</v>
      </c>
      <c r="E475">
        <v>30</v>
      </c>
      <c r="F475">
        <v>42.2</v>
      </c>
    </row>
    <row r="476" spans="1:6">
      <c r="A476">
        <v>343846</v>
      </c>
      <c r="B476" t="s">
        <v>1115</v>
      </c>
      <c r="C476" s="18" t="s">
        <v>212</v>
      </c>
      <c r="D476" t="s">
        <v>1464</v>
      </c>
      <c r="E476">
        <v>24</v>
      </c>
      <c r="F476">
        <v>38.9</v>
      </c>
    </row>
    <row r="477" spans="1:6">
      <c r="A477">
        <v>343847</v>
      </c>
      <c r="B477" t="s">
        <v>1116</v>
      </c>
      <c r="C477" s="18" t="s">
        <v>212</v>
      </c>
      <c r="D477" t="s">
        <v>1464</v>
      </c>
      <c r="E477">
        <v>24</v>
      </c>
      <c r="F477">
        <v>45.2</v>
      </c>
    </row>
    <row r="478" spans="1:6">
      <c r="A478">
        <v>343848</v>
      </c>
      <c r="B478" t="s">
        <v>1117</v>
      </c>
      <c r="C478" s="18" t="s">
        <v>212</v>
      </c>
      <c r="D478" t="s">
        <v>1464</v>
      </c>
      <c r="E478">
        <v>1</v>
      </c>
      <c r="F478">
        <v>37.5</v>
      </c>
    </row>
    <row r="479" spans="1:6">
      <c r="A479">
        <v>343849</v>
      </c>
      <c r="B479" t="s">
        <v>1118</v>
      </c>
      <c r="C479" s="18" t="s">
        <v>212</v>
      </c>
      <c r="D479" t="s">
        <v>1464</v>
      </c>
      <c r="E479">
        <v>1</v>
      </c>
      <c r="F479">
        <v>42.5</v>
      </c>
    </row>
    <row r="480" spans="1:6">
      <c r="A480">
        <v>343853</v>
      </c>
      <c r="B480" t="s">
        <v>1119</v>
      </c>
      <c r="C480" s="18" t="s">
        <v>212</v>
      </c>
      <c r="D480" t="s">
        <v>1464</v>
      </c>
      <c r="E480">
        <v>2</v>
      </c>
      <c r="F480">
        <v>35.200000000000003</v>
      </c>
    </row>
    <row r="481" spans="1:6">
      <c r="A481">
        <v>345008</v>
      </c>
      <c r="B481" t="s">
        <v>1445</v>
      </c>
      <c r="C481" t="s">
        <v>1441</v>
      </c>
      <c r="D481" t="s">
        <v>1464</v>
      </c>
      <c r="E481">
        <v>20</v>
      </c>
      <c r="F481">
        <v>1.5</v>
      </c>
    </row>
    <row r="482" spans="1:6">
      <c r="A482">
        <v>345009</v>
      </c>
      <c r="B482" t="s">
        <v>1446</v>
      </c>
      <c r="D482" t="s">
        <v>1464</v>
      </c>
      <c r="E482">
        <v>20</v>
      </c>
      <c r="F482">
        <v>0.5</v>
      </c>
    </row>
    <row r="483" spans="1:6">
      <c r="A483">
        <v>345754</v>
      </c>
      <c r="B483" t="s">
        <v>950</v>
      </c>
      <c r="C483" t="s">
        <v>1108</v>
      </c>
      <c r="D483" t="s">
        <v>1464</v>
      </c>
      <c r="E483">
        <v>10</v>
      </c>
      <c r="F483">
        <v>7</v>
      </c>
    </row>
    <row r="484" spans="1:6">
      <c r="A484">
        <v>345755</v>
      </c>
      <c r="B484" t="s">
        <v>1274</v>
      </c>
      <c r="C484" t="s">
        <v>1721</v>
      </c>
      <c r="D484" t="s">
        <v>1464</v>
      </c>
      <c r="E484">
        <v>10</v>
      </c>
      <c r="F484">
        <v>4.99</v>
      </c>
    </row>
    <row r="485" spans="1:6">
      <c r="A485">
        <v>345756</v>
      </c>
      <c r="B485" t="s">
        <v>728</v>
      </c>
      <c r="C485" t="s">
        <v>1108</v>
      </c>
      <c r="D485" t="s">
        <v>1464</v>
      </c>
      <c r="E485">
        <v>15</v>
      </c>
      <c r="F485">
        <v>4.99</v>
      </c>
    </row>
    <row r="486" spans="1:6">
      <c r="A486">
        <v>345757</v>
      </c>
      <c r="B486" t="s">
        <v>1275</v>
      </c>
      <c r="C486" t="s">
        <v>1108</v>
      </c>
      <c r="D486" t="s">
        <v>1464</v>
      </c>
      <c r="E486">
        <v>10</v>
      </c>
      <c r="F486">
        <v>4.99</v>
      </c>
    </row>
    <row r="487" spans="1:6">
      <c r="A487">
        <v>345758</v>
      </c>
      <c r="B487" t="s">
        <v>1276</v>
      </c>
      <c r="C487" t="s">
        <v>1108</v>
      </c>
      <c r="D487" t="s">
        <v>1464</v>
      </c>
      <c r="E487">
        <v>10</v>
      </c>
      <c r="F487">
        <v>4.99</v>
      </c>
    </row>
    <row r="488" spans="1:6">
      <c r="A488">
        <v>345759</v>
      </c>
      <c r="B488" t="s">
        <v>729</v>
      </c>
      <c r="C488" t="s">
        <v>1108</v>
      </c>
      <c r="D488" t="s">
        <v>1464</v>
      </c>
      <c r="E488">
        <v>10</v>
      </c>
      <c r="F488">
        <v>7</v>
      </c>
    </row>
    <row r="489" spans="1:6">
      <c r="A489">
        <v>345760</v>
      </c>
      <c r="B489" t="s">
        <v>1121</v>
      </c>
      <c r="C489" t="s">
        <v>1108</v>
      </c>
      <c r="D489" t="s">
        <v>1464</v>
      </c>
      <c r="E489">
        <v>12</v>
      </c>
      <c r="F489">
        <v>4.0999999999999996</v>
      </c>
    </row>
    <row r="490" spans="1:6">
      <c r="A490">
        <v>345761</v>
      </c>
      <c r="B490" t="s">
        <v>1122</v>
      </c>
      <c r="C490" t="s">
        <v>1108</v>
      </c>
      <c r="D490" t="s">
        <v>1464</v>
      </c>
      <c r="E490">
        <v>12</v>
      </c>
      <c r="F490">
        <v>4.0999999999999996</v>
      </c>
    </row>
    <row r="491" spans="1:6">
      <c r="A491">
        <v>345762</v>
      </c>
      <c r="B491" t="s">
        <v>1123</v>
      </c>
      <c r="C491" t="s">
        <v>1108</v>
      </c>
      <c r="D491" t="s">
        <v>1464</v>
      </c>
      <c r="E491">
        <v>12</v>
      </c>
      <c r="F491">
        <v>4.0999999999999996</v>
      </c>
    </row>
    <row r="492" spans="1:6">
      <c r="A492">
        <v>345763</v>
      </c>
      <c r="B492" t="s">
        <v>1124</v>
      </c>
      <c r="C492" t="s">
        <v>1721</v>
      </c>
      <c r="D492" t="s">
        <v>1464</v>
      </c>
      <c r="E492">
        <v>12</v>
      </c>
      <c r="F492">
        <v>4.0999999999999996</v>
      </c>
    </row>
    <row r="493" spans="1:6">
      <c r="A493">
        <v>345764</v>
      </c>
      <c r="B493" t="s">
        <v>1125</v>
      </c>
      <c r="C493" t="s">
        <v>1108</v>
      </c>
      <c r="D493" t="s">
        <v>1464</v>
      </c>
      <c r="E493">
        <v>12</v>
      </c>
      <c r="F493">
        <v>4.0999999999999996</v>
      </c>
    </row>
    <row r="494" spans="1:6">
      <c r="A494">
        <v>345765</v>
      </c>
      <c r="B494" t="s">
        <v>1447</v>
      </c>
      <c r="C494" t="s">
        <v>1108</v>
      </c>
      <c r="D494" t="s">
        <v>1464</v>
      </c>
      <c r="E494">
        <v>10</v>
      </c>
      <c r="F494">
        <v>7</v>
      </c>
    </row>
    <row r="495" spans="1:6">
      <c r="A495">
        <v>345789</v>
      </c>
      <c r="B495" t="s">
        <v>1126</v>
      </c>
      <c r="C495" t="s">
        <v>1108</v>
      </c>
      <c r="D495" t="s">
        <v>1464</v>
      </c>
      <c r="E495">
        <v>30</v>
      </c>
      <c r="F495">
        <v>15.5</v>
      </c>
    </row>
    <row r="496" spans="1:6">
      <c r="A496">
        <v>345790</v>
      </c>
      <c r="B496" t="s">
        <v>1127</v>
      </c>
      <c r="C496" t="s">
        <v>1721</v>
      </c>
      <c r="D496" t="s">
        <v>1464</v>
      </c>
      <c r="E496">
        <v>30</v>
      </c>
      <c r="F496">
        <v>15.5</v>
      </c>
    </row>
    <row r="497" spans="1:6">
      <c r="A497">
        <v>345791</v>
      </c>
      <c r="B497" t="s">
        <v>1128</v>
      </c>
      <c r="C497" t="s">
        <v>1108</v>
      </c>
      <c r="D497" t="s">
        <v>1464</v>
      </c>
      <c r="E497">
        <v>30</v>
      </c>
      <c r="F497">
        <v>15.5</v>
      </c>
    </row>
    <row r="498" spans="1:6">
      <c r="A498">
        <v>345792</v>
      </c>
      <c r="B498" t="s">
        <v>1129</v>
      </c>
      <c r="C498" t="s">
        <v>1108</v>
      </c>
      <c r="D498" t="s">
        <v>1464</v>
      </c>
      <c r="E498">
        <v>30</v>
      </c>
      <c r="F498">
        <v>15.5</v>
      </c>
    </row>
    <row r="499" spans="1:6">
      <c r="A499">
        <v>345793</v>
      </c>
      <c r="B499" t="s">
        <v>1130</v>
      </c>
      <c r="C499" t="s">
        <v>1108</v>
      </c>
      <c r="D499" t="s">
        <v>1464</v>
      </c>
      <c r="E499">
        <v>30</v>
      </c>
      <c r="F499">
        <v>15.5</v>
      </c>
    </row>
    <row r="500" spans="1:6">
      <c r="A500">
        <v>345796</v>
      </c>
      <c r="B500" t="s">
        <v>1132</v>
      </c>
      <c r="C500" t="s">
        <v>1721</v>
      </c>
      <c r="D500" t="s">
        <v>1464</v>
      </c>
      <c r="E500">
        <v>10</v>
      </c>
      <c r="F500">
        <v>4.99</v>
      </c>
    </row>
    <row r="501" spans="1:6">
      <c r="A501">
        <v>345798</v>
      </c>
      <c r="B501" t="s">
        <v>1134</v>
      </c>
      <c r="D501" t="s">
        <v>1464</v>
      </c>
      <c r="E501">
        <v>10</v>
      </c>
      <c r="F501">
        <v>4.95</v>
      </c>
    </row>
    <row r="502" spans="1:6">
      <c r="A502">
        <v>345802</v>
      </c>
      <c r="B502" t="s">
        <v>1135</v>
      </c>
      <c r="C502" t="s">
        <v>1108</v>
      </c>
      <c r="D502" t="s">
        <v>1464</v>
      </c>
      <c r="E502">
        <v>10</v>
      </c>
      <c r="F502">
        <v>7</v>
      </c>
    </row>
    <row r="503" spans="1:6">
      <c r="A503">
        <v>345875</v>
      </c>
      <c r="B503" t="s">
        <v>1136</v>
      </c>
      <c r="C503" t="s">
        <v>1108</v>
      </c>
      <c r="D503" t="s">
        <v>1464</v>
      </c>
      <c r="E503">
        <v>10</v>
      </c>
      <c r="F503">
        <v>77</v>
      </c>
    </row>
    <row r="504" spans="1:6">
      <c r="A504">
        <v>345883</v>
      </c>
      <c r="B504" t="s">
        <v>730</v>
      </c>
      <c r="C504" t="s">
        <v>1108</v>
      </c>
      <c r="D504" t="s">
        <v>1464</v>
      </c>
      <c r="E504">
        <v>5</v>
      </c>
      <c r="F504">
        <v>86.9</v>
      </c>
    </row>
    <row r="505" spans="1:6">
      <c r="A505">
        <v>345905</v>
      </c>
      <c r="B505" t="s">
        <v>549</v>
      </c>
      <c r="C505" t="s">
        <v>1463</v>
      </c>
      <c r="D505" t="s">
        <v>1464</v>
      </c>
      <c r="E505">
        <v>30</v>
      </c>
      <c r="F505">
        <v>14.7</v>
      </c>
    </row>
    <row r="506" spans="1:6">
      <c r="A506">
        <v>345986</v>
      </c>
      <c r="B506" t="s">
        <v>951</v>
      </c>
      <c r="C506" t="s">
        <v>1108</v>
      </c>
      <c r="D506" t="s">
        <v>1464</v>
      </c>
      <c r="E506">
        <v>10</v>
      </c>
      <c r="F506">
        <v>90</v>
      </c>
    </row>
    <row r="507" spans="1:6">
      <c r="A507">
        <v>346003</v>
      </c>
      <c r="B507" t="s">
        <v>1448</v>
      </c>
      <c r="C507" t="s">
        <v>1108</v>
      </c>
      <c r="D507" t="s">
        <v>1464</v>
      </c>
      <c r="E507">
        <v>10</v>
      </c>
      <c r="F507">
        <v>99</v>
      </c>
    </row>
    <row r="508" spans="1:6">
      <c r="A508">
        <v>346030</v>
      </c>
      <c r="B508" t="s">
        <v>1277</v>
      </c>
      <c r="C508" t="s">
        <v>1108</v>
      </c>
      <c r="D508" t="s">
        <v>1464</v>
      </c>
      <c r="E508">
        <v>15</v>
      </c>
      <c r="F508">
        <v>42.9</v>
      </c>
    </row>
    <row r="509" spans="1:6">
      <c r="A509">
        <v>346031</v>
      </c>
      <c r="B509" t="s">
        <v>1278</v>
      </c>
      <c r="C509" t="s">
        <v>1721</v>
      </c>
      <c r="D509" t="s">
        <v>1464</v>
      </c>
      <c r="E509">
        <v>15</v>
      </c>
      <c r="F509">
        <v>42.9</v>
      </c>
    </row>
    <row r="510" spans="1:6">
      <c r="A510">
        <v>346032</v>
      </c>
      <c r="B510" t="s">
        <v>1279</v>
      </c>
      <c r="C510" t="s">
        <v>1108</v>
      </c>
      <c r="D510" t="s">
        <v>1464</v>
      </c>
      <c r="E510">
        <v>15</v>
      </c>
      <c r="F510">
        <v>42.9</v>
      </c>
    </row>
    <row r="511" spans="1:6">
      <c r="A511">
        <v>346033</v>
      </c>
      <c r="B511" t="s">
        <v>1280</v>
      </c>
      <c r="C511" t="s">
        <v>1108</v>
      </c>
      <c r="D511" t="s">
        <v>1464</v>
      </c>
      <c r="E511">
        <v>15</v>
      </c>
      <c r="F511">
        <v>42.9</v>
      </c>
    </row>
    <row r="512" spans="1:6">
      <c r="A512">
        <v>346034</v>
      </c>
      <c r="B512" t="s">
        <v>1281</v>
      </c>
      <c r="C512" t="s">
        <v>1108</v>
      </c>
      <c r="D512" t="s">
        <v>1464</v>
      </c>
      <c r="E512">
        <v>15</v>
      </c>
      <c r="F512">
        <v>42.9</v>
      </c>
    </row>
    <row r="513" spans="1:6">
      <c r="A513">
        <v>346050</v>
      </c>
      <c r="B513" t="s">
        <v>1282</v>
      </c>
      <c r="C513" t="s">
        <v>1108</v>
      </c>
      <c r="D513" t="s">
        <v>1464</v>
      </c>
      <c r="E513">
        <v>10</v>
      </c>
      <c r="F513">
        <v>90</v>
      </c>
    </row>
    <row r="514" spans="1:6">
      <c r="A514">
        <v>346102</v>
      </c>
      <c r="B514" t="s">
        <v>423</v>
      </c>
      <c r="C514" t="s">
        <v>1108</v>
      </c>
      <c r="D514" t="s">
        <v>1464</v>
      </c>
      <c r="E514">
        <v>5</v>
      </c>
      <c r="F514">
        <v>95.9</v>
      </c>
    </row>
    <row r="515" spans="1:6">
      <c r="A515">
        <v>346103</v>
      </c>
      <c r="B515" t="s">
        <v>1283</v>
      </c>
      <c r="C515" t="s">
        <v>1108</v>
      </c>
      <c r="D515" t="s">
        <v>1464</v>
      </c>
      <c r="E515">
        <v>5</v>
      </c>
      <c r="F515">
        <v>95.9</v>
      </c>
    </row>
    <row r="516" spans="1:6">
      <c r="A516">
        <v>346104</v>
      </c>
      <c r="B516" t="s">
        <v>1284</v>
      </c>
      <c r="C516" t="s">
        <v>1108</v>
      </c>
      <c r="D516" t="s">
        <v>1464</v>
      </c>
      <c r="E516">
        <v>5</v>
      </c>
      <c r="F516">
        <v>74.900000000000006</v>
      </c>
    </row>
    <row r="517" spans="1:6">
      <c r="A517">
        <v>346105</v>
      </c>
      <c r="B517" t="s">
        <v>1285</v>
      </c>
      <c r="C517" t="s">
        <v>1108</v>
      </c>
      <c r="D517" t="s">
        <v>1464</v>
      </c>
      <c r="E517">
        <v>5</v>
      </c>
      <c r="F517">
        <v>74.900000000000006</v>
      </c>
    </row>
    <row r="518" spans="1:6">
      <c r="A518">
        <v>346106</v>
      </c>
      <c r="B518" t="s">
        <v>1286</v>
      </c>
      <c r="C518" t="s">
        <v>1108</v>
      </c>
      <c r="D518" t="s">
        <v>1464</v>
      </c>
      <c r="E518">
        <v>5</v>
      </c>
      <c r="F518">
        <v>74.900000000000006</v>
      </c>
    </row>
    <row r="519" spans="1:6">
      <c r="A519">
        <v>346131</v>
      </c>
      <c r="B519" t="s">
        <v>1287</v>
      </c>
      <c r="C519" t="s">
        <v>1721</v>
      </c>
      <c r="D519" t="s">
        <v>1464</v>
      </c>
      <c r="E519">
        <v>10</v>
      </c>
      <c r="F519">
        <v>69</v>
      </c>
    </row>
    <row r="520" spans="1:6">
      <c r="A520">
        <v>346132</v>
      </c>
      <c r="B520" t="s">
        <v>1288</v>
      </c>
      <c r="C520" t="s">
        <v>1721</v>
      </c>
      <c r="D520" t="s">
        <v>1464</v>
      </c>
      <c r="E520">
        <v>3</v>
      </c>
      <c r="F520">
        <v>129</v>
      </c>
    </row>
    <row r="521" spans="1:6">
      <c r="A521">
        <v>346140</v>
      </c>
      <c r="B521" t="s">
        <v>731</v>
      </c>
      <c r="D521" t="s">
        <v>1464</v>
      </c>
      <c r="E521">
        <v>30</v>
      </c>
      <c r="F521">
        <v>15.5</v>
      </c>
    </row>
    <row r="522" spans="1:6">
      <c r="A522">
        <v>346141</v>
      </c>
      <c r="B522" t="s">
        <v>732</v>
      </c>
      <c r="D522" t="s">
        <v>1464</v>
      </c>
      <c r="E522">
        <v>30</v>
      </c>
      <c r="F522">
        <v>15.5</v>
      </c>
    </row>
    <row r="523" spans="1:6">
      <c r="A523">
        <v>346142</v>
      </c>
      <c r="B523" t="s">
        <v>733</v>
      </c>
      <c r="D523" t="s">
        <v>1464</v>
      </c>
      <c r="E523">
        <v>30</v>
      </c>
      <c r="F523">
        <v>15.5</v>
      </c>
    </row>
    <row r="524" spans="1:6">
      <c r="A524">
        <v>346143</v>
      </c>
      <c r="B524" t="s">
        <v>734</v>
      </c>
      <c r="D524" t="s">
        <v>1464</v>
      </c>
      <c r="E524">
        <v>30</v>
      </c>
      <c r="F524">
        <v>15.5</v>
      </c>
    </row>
    <row r="525" spans="1:6">
      <c r="A525">
        <v>346144</v>
      </c>
      <c r="B525" t="s">
        <v>735</v>
      </c>
      <c r="D525" t="s">
        <v>1464</v>
      </c>
      <c r="E525">
        <v>30</v>
      </c>
      <c r="F525">
        <v>15.5</v>
      </c>
    </row>
    <row r="526" spans="1:6">
      <c r="A526">
        <v>346145</v>
      </c>
      <c r="B526" t="s">
        <v>736</v>
      </c>
      <c r="D526" t="s">
        <v>1464</v>
      </c>
      <c r="E526">
        <v>30</v>
      </c>
      <c r="F526">
        <v>15.5</v>
      </c>
    </row>
    <row r="527" spans="1:6">
      <c r="A527">
        <v>346170</v>
      </c>
      <c r="B527" t="s">
        <v>737</v>
      </c>
      <c r="D527" t="s">
        <v>1464</v>
      </c>
      <c r="E527">
        <v>12</v>
      </c>
      <c r="F527">
        <v>4.0999999999999996</v>
      </c>
    </row>
    <row r="528" spans="1:6">
      <c r="A528">
        <v>346171</v>
      </c>
      <c r="B528" t="s">
        <v>738</v>
      </c>
      <c r="D528" t="s">
        <v>1464</v>
      </c>
      <c r="E528">
        <v>12</v>
      </c>
      <c r="F528">
        <v>4.0999999999999996</v>
      </c>
    </row>
    <row r="529" spans="1:6">
      <c r="A529">
        <v>346172</v>
      </c>
      <c r="B529" t="s">
        <v>739</v>
      </c>
      <c r="D529" t="s">
        <v>1464</v>
      </c>
      <c r="E529">
        <v>12</v>
      </c>
      <c r="F529">
        <v>4.0999999999999996</v>
      </c>
    </row>
    <row r="530" spans="1:6">
      <c r="A530">
        <v>346260</v>
      </c>
      <c r="B530" t="s">
        <v>1289</v>
      </c>
      <c r="C530" t="s">
        <v>1463</v>
      </c>
      <c r="D530" t="s">
        <v>1464</v>
      </c>
      <c r="E530">
        <v>5</v>
      </c>
      <c r="F530">
        <v>18</v>
      </c>
    </row>
    <row r="531" spans="1:6">
      <c r="A531">
        <v>346261</v>
      </c>
      <c r="B531" t="s">
        <v>1290</v>
      </c>
      <c r="C531" t="s">
        <v>1108</v>
      </c>
      <c r="D531" t="s">
        <v>1464</v>
      </c>
      <c r="E531">
        <v>5</v>
      </c>
      <c r="F531">
        <v>24</v>
      </c>
    </row>
    <row r="532" spans="1:6">
      <c r="A532">
        <v>346262</v>
      </c>
      <c r="B532" t="s">
        <v>1291</v>
      </c>
      <c r="C532" t="s">
        <v>1108</v>
      </c>
      <c r="D532" t="s">
        <v>1464</v>
      </c>
      <c r="E532">
        <v>3</v>
      </c>
      <c r="F532">
        <v>25.5</v>
      </c>
    </row>
    <row r="533" spans="1:6">
      <c r="A533">
        <v>346263</v>
      </c>
      <c r="B533" t="s">
        <v>1292</v>
      </c>
      <c r="C533" t="s">
        <v>1108</v>
      </c>
      <c r="D533" t="s">
        <v>1464</v>
      </c>
      <c r="E533">
        <v>3</v>
      </c>
      <c r="F533">
        <v>31</v>
      </c>
    </row>
    <row r="534" spans="1:6">
      <c r="A534">
        <v>346264</v>
      </c>
      <c r="B534" t="s">
        <v>1293</v>
      </c>
      <c r="C534" t="s">
        <v>1721</v>
      </c>
      <c r="D534" t="s">
        <v>1464</v>
      </c>
      <c r="E534">
        <v>5</v>
      </c>
      <c r="F534">
        <v>20</v>
      </c>
    </row>
    <row r="535" spans="1:6">
      <c r="A535">
        <v>346265</v>
      </c>
      <c r="B535" t="s">
        <v>1294</v>
      </c>
      <c r="C535" t="s">
        <v>1721</v>
      </c>
      <c r="D535" t="s">
        <v>1464</v>
      </c>
      <c r="E535">
        <v>3</v>
      </c>
      <c r="F535">
        <v>33.5</v>
      </c>
    </row>
    <row r="536" spans="1:6">
      <c r="A536">
        <v>346266</v>
      </c>
      <c r="B536" t="s">
        <v>1295</v>
      </c>
      <c r="C536" t="s">
        <v>1721</v>
      </c>
      <c r="D536" t="s">
        <v>1464</v>
      </c>
      <c r="E536">
        <v>1</v>
      </c>
      <c r="F536">
        <v>43</v>
      </c>
    </row>
    <row r="537" spans="1:6">
      <c r="A537">
        <v>346267</v>
      </c>
      <c r="B537" t="s">
        <v>1296</v>
      </c>
      <c r="C537" t="s">
        <v>1108</v>
      </c>
      <c r="D537" t="s">
        <v>1464</v>
      </c>
      <c r="E537">
        <v>5</v>
      </c>
      <c r="F537">
        <v>21.5</v>
      </c>
    </row>
    <row r="538" spans="1:6">
      <c r="A538">
        <v>346268</v>
      </c>
      <c r="B538" t="s">
        <v>1297</v>
      </c>
      <c r="C538" t="s">
        <v>1108</v>
      </c>
      <c r="D538" t="s">
        <v>1464</v>
      </c>
      <c r="E538">
        <v>5</v>
      </c>
      <c r="F538">
        <v>25.5</v>
      </c>
    </row>
    <row r="539" spans="1:6">
      <c r="A539">
        <v>346269</v>
      </c>
      <c r="B539" t="s">
        <v>1298</v>
      </c>
      <c r="C539" t="s">
        <v>1721</v>
      </c>
      <c r="D539" t="s">
        <v>1464</v>
      </c>
      <c r="E539">
        <v>5</v>
      </c>
      <c r="F539">
        <v>24</v>
      </c>
    </row>
    <row r="540" spans="1:6">
      <c r="A540">
        <v>346270</v>
      </c>
      <c r="B540" t="s">
        <v>1299</v>
      </c>
      <c r="C540" t="s">
        <v>1463</v>
      </c>
      <c r="D540" t="s">
        <v>1464</v>
      </c>
      <c r="E540">
        <v>1</v>
      </c>
      <c r="F540">
        <v>57.5</v>
      </c>
    </row>
    <row r="541" spans="1:6">
      <c r="A541">
        <v>346271</v>
      </c>
      <c r="B541" t="s">
        <v>1300</v>
      </c>
      <c r="C541" t="s">
        <v>1108</v>
      </c>
      <c r="D541" t="s">
        <v>1464</v>
      </c>
      <c r="E541">
        <v>5</v>
      </c>
      <c r="F541">
        <v>16.5</v>
      </c>
    </row>
    <row r="542" spans="1:6">
      <c r="A542">
        <v>346272</v>
      </c>
      <c r="B542" t="s">
        <v>1301</v>
      </c>
      <c r="C542" t="s">
        <v>1108</v>
      </c>
      <c r="D542" t="s">
        <v>1464</v>
      </c>
      <c r="E542">
        <v>1</v>
      </c>
      <c r="F542">
        <v>58.5</v>
      </c>
    </row>
    <row r="543" spans="1:6">
      <c r="A543">
        <v>346273</v>
      </c>
      <c r="B543" t="s">
        <v>1302</v>
      </c>
      <c r="C543" t="s">
        <v>1721</v>
      </c>
      <c r="D543" t="s">
        <v>1464</v>
      </c>
      <c r="E543">
        <v>5</v>
      </c>
      <c r="F543">
        <v>16</v>
      </c>
    </row>
    <row r="544" spans="1:6">
      <c r="A544">
        <v>346274</v>
      </c>
      <c r="B544" t="s">
        <v>1303</v>
      </c>
      <c r="C544" t="s">
        <v>1721</v>
      </c>
      <c r="D544" t="s">
        <v>1464</v>
      </c>
      <c r="E544">
        <v>5</v>
      </c>
      <c r="F544">
        <v>8.3000000000000007</v>
      </c>
    </row>
    <row r="545" spans="1:6">
      <c r="A545">
        <v>346275</v>
      </c>
      <c r="B545" t="s">
        <v>1304</v>
      </c>
      <c r="C545" t="s">
        <v>1108</v>
      </c>
      <c r="D545" t="s">
        <v>1464</v>
      </c>
      <c r="E545">
        <v>4</v>
      </c>
      <c r="F545">
        <v>27</v>
      </c>
    </row>
    <row r="546" spans="1:6">
      <c r="A546">
        <v>346504</v>
      </c>
      <c r="B546" t="s">
        <v>528</v>
      </c>
      <c r="D546" t="s">
        <v>1464</v>
      </c>
      <c r="E546">
        <v>5</v>
      </c>
      <c r="F546">
        <v>5</v>
      </c>
    </row>
    <row r="547" spans="1:6">
      <c r="A547">
        <v>346511</v>
      </c>
      <c r="B547" t="s">
        <v>534</v>
      </c>
      <c r="D547" t="s">
        <v>1464</v>
      </c>
      <c r="E547">
        <v>5</v>
      </c>
      <c r="F547">
        <v>16.8</v>
      </c>
    </row>
    <row r="548" spans="1:6">
      <c r="A548">
        <v>346513</v>
      </c>
      <c r="B548" t="s">
        <v>536</v>
      </c>
      <c r="D548" t="s">
        <v>1464</v>
      </c>
      <c r="E548">
        <v>5</v>
      </c>
      <c r="F548">
        <v>12</v>
      </c>
    </row>
    <row r="549" spans="1:6">
      <c r="A549">
        <v>346515</v>
      </c>
      <c r="B549" t="s">
        <v>538</v>
      </c>
      <c r="D549" t="s">
        <v>1464</v>
      </c>
      <c r="E549">
        <v>5</v>
      </c>
      <c r="F549">
        <v>45.6</v>
      </c>
    </row>
    <row r="550" spans="1:6">
      <c r="A550">
        <v>346519</v>
      </c>
      <c r="B550" t="s">
        <v>1449</v>
      </c>
      <c r="C550" t="s">
        <v>1467</v>
      </c>
      <c r="D550" t="s">
        <v>1464</v>
      </c>
      <c r="E550">
        <v>5</v>
      </c>
      <c r="F550">
        <v>5</v>
      </c>
    </row>
    <row r="551" spans="1:6">
      <c r="A551">
        <v>346760</v>
      </c>
      <c r="B551" t="s">
        <v>1761</v>
      </c>
      <c r="D551" t="s">
        <v>1464</v>
      </c>
      <c r="E551">
        <v>5</v>
      </c>
      <c r="F551">
        <v>12.5</v>
      </c>
    </row>
    <row r="552" spans="1:6">
      <c r="A552">
        <v>346762</v>
      </c>
      <c r="B552" t="s">
        <v>1763</v>
      </c>
      <c r="D552" t="s">
        <v>1464</v>
      </c>
      <c r="E552">
        <v>5</v>
      </c>
      <c r="F552">
        <v>21.3</v>
      </c>
    </row>
    <row r="553" spans="1:6">
      <c r="A553">
        <v>346763</v>
      </c>
      <c r="B553" t="s">
        <v>1764</v>
      </c>
      <c r="D553" t="s">
        <v>1464</v>
      </c>
      <c r="E553">
        <v>5</v>
      </c>
      <c r="F553">
        <v>23</v>
      </c>
    </row>
    <row r="554" spans="1:6">
      <c r="A554">
        <v>346764</v>
      </c>
      <c r="B554" t="s">
        <v>1765</v>
      </c>
      <c r="D554" t="s">
        <v>1464</v>
      </c>
      <c r="E554">
        <v>5</v>
      </c>
      <c r="F554">
        <v>14.8</v>
      </c>
    </row>
    <row r="555" spans="1:6">
      <c r="A555">
        <v>346766</v>
      </c>
      <c r="B555" t="s">
        <v>1767</v>
      </c>
      <c r="D555" t="s">
        <v>1464</v>
      </c>
      <c r="E555">
        <v>5</v>
      </c>
      <c r="F555">
        <v>33.5</v>
      </c>
    </row>
    <row r="556" spans="1:6">
      <c r="A556">
        <v>346787</v>
      </c>
      <c r="B556" t="s">
        <v>1183</v>
      </c>
      <c r="D556" t="s">
        <v>1464</v>
      </c>
      <c r="E556">
        <v>5</v>
      </c>
      <c r="F556">
        <v>9.3000000000000007</v>
      </c>
    </row>
    <row r="557" spans="1:6">
      <c r="A557">
        <v>346788</v>
      </c>
      <c r="B557" t="s">
        <v>1204</v>
      </c>
      <c r="D557" t="s">
        <v>1464</v>
      </c>
      <c r="E557">
        <v>5</v>
      </c>
      <c r="F557">
        <v>13.8</v>
      </c>
    </row>
    <row r="558" spans="1:6">
      <c r="A558">
        <v>346789</v>
      </c>
      <c r="B558" t="s">
        <v>1205</v>
      </c>
      <c r="C558" t="s">
        <v>1721</v>
      </c>
      <c r="D558" t="s">
        <v>1464</v>
      </c>
      <c r="E558">
        <v>5</v>
      </c>
      <c r="F558">
        <v>17.3</v>
      </c>
    </row>
    <row r="559" spans="1:6">
      <c r="A559">
        <v>346790</v>
      </c>
      <c r="B559" t="s">
        <v>1206</v>
      </c>
      <c r="D559" t="s">
        <v>1464</v>
      </c>
      <c r="E559">
        <v>1</v>
      </c>
      <c r="F559">
        <v>31</v>
      </c>
    </row>
    <row r="560" spans="1:6">
      <c r="A560">
        <v>346792</v>
      </c>
      <c r="B560" t="s">
        <v>1688</v>
      </c>
      <c r="D560" t="s">
        <v>1464</v>
      </c>
      <c r="E560">
        <v>1</v>
      </c>
      <c r="F560">
        <v>30</v>
      </c>
    </row>
    <row r="561" spans="1:6">
      <c r="A561">
        <v>346793</v>
      </c>
      <c r="B561" t="s">
        <v>1689</v>
      </c>
      <c r="D561" t="s">
        <v>1464</v>
      </c>
      <c r="E561">
        <v>5</v>
      </c>
      <c r="F561">
        <v>7.2</v>
      </c>
    </row>
    <row r="562" spans="1:6">
      <c r="A562">
        <v>346820</v>
      </c>
      <c r="B562" t="s">
        <v>1305</v>
      </c>
      <c r="C562" t="s">
        <v>1790</v>
      </c>
      <c r="D562" t="s">
        <v>1464</v>
      </c>
      <c r="E562">
        <v>5</v>
      </c>
      <c r="F562">
        <v>32.5</v>
      </c>
    </row>
    <row r="563" spans="1:6">
      <c r="A563">
        <v>346821</v>
      </c>
      <c r="B563" t="s">
        <v>1306</v>
      </c>
      <c r="C563" t="s">
        <v>1463</v>
      </c>
      <c r="D563" t="s">
        <v>1464</v>
      </c>
      <c r="E563">
        <v>5</v>
      </c>
      <c r="F563">
        <v>38</v>
      </c>
    </row>
    <row r="564" spans="1:6">
      <c r="A564">
        <v>346822</v>
      </c>
      <c r="B564" t="s">
        <v>1307</v>
      </c>
      <c r="C564" t="s">
        <v>1463</v>
      </c>
      <c r="D564" t="s">
        <v>1464</v>
      </c>
      <c r="E564">
        <v>3</v>
      </c>
      <c r="F564">
        <v>42.5</v>
      </c>
    </row>
    <row r="565" spans="1:6">
      <c r="A565">
        <v>346823</v>
      </c>
      <c r="B565" t="s">
        <v>1308</v>
      </c>
      <c r="C565" t="s">
        <v>1463</v>
      </c>
      <c r="D565" t="s">
        <v>1464</v>
      </c>
      <c r="E565">
        <v>3</v>
      </c>
      <c r="F565">
        <v>46</v>
      </c>
    </row>
    <row r="566" spans="1:6">
      <c r="A566">
        <v>346824</v>
      </c>
      <c r="B566" t="s">
        <v>1309</v>
      </c>
      <c r="C566" t="s">
        <v>1463</v>
      </c>
      <c r="D566" t="s">
        <v>1464</v>
      </c>
      <c r="E566">
        <v>5</v>
      </c>
      <c r="F566">
        <v>30.5</v>
      </c>
    </row>
    <row r="567" spans="1:6">
      <c r="A567">
        <v>346825</v>
      </c>
      <c r="B567" t="s">
        <v>1310</v>
      </c>
      <c r="C567" t="s">
        <v>1721</v>
      </c>
      <c r="D567" t="s">
        <v>1464</v>
      </c>
      <c r="E567">
        <v>3</v>
      </c>
      <c r="F567">
        <v>65</v>
      </c>
    </row>
    <row r="568" spans="1:6">
      <c r="A568">
        <v>346826</v>
      </c>
      <c r="B568" t="s">
        <v>1311</v>
      </c>
      <c r="C568" t="s">
        <v>1108</v>
      </c>
      <c r="D568" t="s">
        <v>1464</v>
      </c>
      <c r="E568">
        <v>1</v>
      </c>
      <c r="F568">
        <v>74.5</v>
      </c>
    </row>
    <row r="569" spans="1:6">
      <c r="A569">
        <v>346827</v>
      </c>
      <c r="B569" t="s">
        <v>1312</v>
      </c>
      <c r="C569" t="s">
        <v>1721</v>
      </c>
      <c r="D569" t="s">
        <v>1464</v>
      </c>
      <c r="E569">
        <v>5</v>
      </c>
      <c r="F569">
        <v>21.5</v>
      </c>
    </row>
    <row r="570" spans="1:6">
      <c r="A570">
        <v>346828</v>
      </c>
      <c r="B570" t="s">
        <v>1313</v>
      </c>
      <c r="C570" t="s">
        <v>1108</v>
      </c>
      <c r="D570" t="s">
        <v>1464</v>
      </c>
      <c r="E570">
        <v>5</v>
      </c>
      <c r="F570">
        <v>30.5</v>
      </c>
    </row>
    <row r="571" spans="1:6">
      <c r="A571">
        <v>346829</v>
      </c>
      <c r="B571" t="s">
        <v>1314</v>
      </c>
      <c r="C571" t="s">
        <v>1721</v>
      </c>
      <c r="D571" t="s">
        <v>1464</v>
      </c>
      <c r="E571">
        <v>5</v>
      </c>
      <c r="F571">
        <v>35.5</v>
      </c>
    </row>
    <row r="572" spans="1:6">
      <c r="A572">
        <v>346830</v>
      </c>
      <c r="B572" t="s">
        <v>1315</v>
      </c>
      <c r="D572" t="s">
        <v>1464</v>
      </c>
      <c r="E572">
        <v>1</v>
      </c>
      <c r="F572">
        <v>62</v>
      </c>
    </row>
    <row r="573" spans="1:6">
      <c r="A573">
        <v>346831</v>
      </c>
      <c r="B573" t="s">
        <v>1316</v>
      </c>
      <c r="C573" t="s">
        <v>1721</v>
      </c>
      <c r="D573" t="s">
        <v>1464</v>
      </c>
      <c r="E573">
        <v>5</v>
      </c>
      <c r="F573">
        <v>18</v>
      </c>
    </row>
    <row r="574" spans="1:6">
      <c r="A574">
        <v>346832</v>
      </c>
      <c r="B574" t="s">
        <v>1317</v>
      </c>
      <c r="D574" t="s">
        <v>1464</v>
      </c>
      <c r="E574">
        <v>1</v>
      </c>
      <c r="F574">
        <v>66.5</v>
      </c>
    </row>
    <row r="575" spans="1:6">
      <c r="A575">
        <v>346833</v>
      </c>
      <c r="B575" t="s">
        <v>1318</v>
      </c>
      <c r="C575" t="s">
        <v>1074</v>
      </c>
      <c r="D575" t="s">
        <v>1464</v>
      </c>
      <c r="E575">
        <v>5</v>
      </c>
      <c r="F575">
        <v>17</v>
      </c>
    </row>
    <row r="576" spans="1:6">
      <c r="A576">
        <v>346834</v>
      </c>
      <c r="B576" t="s">
        <v>1319</v>
      </c>
      <c r="C576" t="s">
        <v>1721</v>
      </c>
      <c r="D576" t="s">
        <v>1464</v>
      </c>
      <c r="E576">
        <v>5</v>
      </c>
      <c r="F576">
        <v>15.3</v>
      </c>
    </row>
    <row r="577" spans="1:6">
      <c r="A577">
        <v>346835</v>
      </c>
      <c r="B577" t="s">
        <v>1320</v>
      </c>
      <c r="C577" t="s">
        <v>1108</v>
      </c>
      <c r="D577" t="s">
        <v>1464</v>
      </c>
      <c r="E577">
        <v>4</v>
      </c>
      <c r="F577">
        <v>27.5</v>
      </c>
    </row>
    <row r="578" spans="1:6">
      <c r="A578">
        <v>360004</v>
      </c>
      <c r="B578" t="s">
        <v>1614</v>
      </c>
      <c r="D578" t="s">
        <v>1464</v>
      </c>
      <c r="E578">
        <v>159</v>
      </c>
      <c r="F578">
        <v>2.4500000000000002</v>
      </c>
    </row>
    <row r="579" spans="1:6">
      <c r="A579">
        <v>360005</v>
      </c>
      <c r="B579" t="s">
        <v>1615</v>
      </c>
      <c r="D579" t="s">
        <v>1464</v>
      </c>
      <c r="E579">
        <v>99</v>
      </c>
      <c r="F579">
        <v>3.25</v>
      </c>
    </row>
    <row r="580" spans="1:6">
      <c r="A580">
        <v>360007</v>
      </c>
      <c r="B580" t="s">
        <v>1616</v>
      </c>
      <c r="C580" t="s">
        <v>1467</v>
      </c>
      <c r="D580" t="s">
        <v>1464</v>
      </c>
      <c r="E580">
        <v>106</v>
      </c>
      <c r="F580">
        <v>3.4</v>
      </c>
    </row>
    <row r="581" spans="1:6">
      <c r="A581">
        <v>360008</v>
      </c>
      <c r="B581" t="s">
        <v>1617</v>
      </c>
      <c r="C581" t="s">
        <v>1463</v>
      </c>
      <c r="D581" t="s">
        <v>1464</v>
      </c>
      <c r="E581">
        <v>66</v>
      </c>
      <c r="F581">
        <v>4.3499999999999996</v>
      </c>
    </row>
    <row r="582" spans="1:6">
      <c r="A582">
        <v>360081</v>
      </c>
      <c r="B582" t="s">
        <v>1618</v>
      </c>
      <c r="C582" t="s">
        <v>1915</v>
      </c>
      <c r="D582" t="s">
        <v>1464</v>
      </c>
      <c r="E582">
        <v>100</v>
      </c>
      <c r="F582">
        <v>9.35</v>
      </c>
    </row>
    <row r="583" spans="1:6">
      <c r="A583">
        <v>360082</v>
      </c>
      <c r="B583" t="s">
        <v>69</v>
      </c>
      <c r="C583" t="s">
        <v>1108</v>
      </c>
      <c r="D583" t="s">
        <v>1464</v>
      </c>
      <c r="E583">
        <v>176</v>
      </c>
      <c r="F583">
        <v>4.5999999999999996</v>
      </c>
    </row>
    <row r="584" spans="1:6">
      <c r="A584">
        <v>360702</v>
      </c>
      <c r="B584" t="s">
        <v>1619</v>
      </c>
      <c r="C584" t="s">
        <v>1108</v>
      </c>
      <c r="D584" t="s">
        <v>1464</v>
      </c>
      <c r="E584">
        <v>106</v>
      </c>
      <c r="F584">
        <v>5.6</v>
      </c>
    </row>
    <row r="585" spans="1:6">
      <c r="A585">
        <v>372430</v>
      </c>
      <c r="B585" t="s">
        <v>1185</v>
      </c>
      <c r="C585" t="s">
        <v>1108</v>
      </c>
      <c r="D585" t="s">
        <v>1464</v>
      </c>
      <c r="E585">
        <v>53</v>
      </c>
      <c r="F585">
        <v>6.5</v>
      </c>
    </row>
    <row r="586" spans="1:6">
      <c r="A586">
        <v>372431</v>
      </c>
      <c r="B586" t="s">
        <v>1186</v>
      </c>
      <c r="C586" t="s">
        <v>1467</v>
      </c>
      <c r="D586" t="s">
        <v>1464</v>
      </c>
      <c r="E586">
        <v>33</v>
      </c>
      <c r="F586">
        <v>8.4499999999999993</v>
      </c>
    </row>
    <row r="587" spans="1:6">
      <c r="A587">
        <v>372435</v>
      </c>
      <c r="B587" t="s">
        <v>70</v>
      </c>
      <c r="C587" t="s">
        <v>1108</v>
      </c>
      <c r="D587" t="s">
        <v>1464</v>
      </c>
      <c r="E587">
        <v>53</v>
      </c>
      <c r="F587">
        <v>11.3</v>
      </c>
    </row>
    <row r="588" spans="1:6">
      <c r="A588">
        <v>372436</v>
      </c>
      <c r="B588" t="s">
        <v>1187</v>
      </c>
      <c r="C588" t="s">
        <v>1790</v>
      </c>
      <c r="D588" t="s">
        <v>1464</v>
      </c>
      <c r="E588">
        <v>80</v>
      </c>
      <c r="F588">
        <v>8.4</v>
      </c>
    </row>
    <row r="589" spans="1:6">
      <c r="A589">
        <v>372437</v>
      </c>
      <c r="B589" t="s">
        <v>1188</v>
      </c>
      <c r="C589" t="s">
        <v>1915</v>
      </c>
      <c r="D589" t="s">
        <v>1464</v>
      </c>
      <c r="E589">
        <v>55</v>
      </c>
      <c r="F589">
        <v>10.8</v>
      </c>
    </row>
    <row r="590" spans="1:6">
      <c r="A590">
        <v>372438</v>
      </c>
      <c r="B590" t="s">
        <v>1612</v>
      </c>
      <c r="C590" t="s">
        <v>1463</v>
      </c>
      <c r="D590" t="s">
        <v>1464</v>
      </c>
      <c r="E590">
        <v>45</v>
      </c>
      <c r="F590">
        <v>12.98</v>
      </c>
    </row>
    <row r="591" spans="1:6">
      <c r="A591">
        <v>372606</v>
      </c>
      <c r="B591" t="s">
        <v>71</v>
      </c>
      <c r="C591" t="s">
        <v>1463</v>
      </c>
      <c r="D591" t="s">
        <v>1464</v>
      </c>
      <c r="E591">
        <v>45</v>
      </c>
      <c r="F591">
        <v>24</v>
      </c>
    </row>
    <row r="592" spans="1:6">
      <c r="A592">
        <v>380004</v>
      </c>
      <c r="B592" t="s">
        <v>72</v>
      </c>
      <c r="C592" t="s">
        <v>1463</v>
      </c>
      <c r="D592" t="s">
        <v>1464</v>
      </c>
      <c r="E592">
        <v>81</v>
      </c>
      <c r="F592">
        <v>7.6</v>
      </c>
    </row>
    <row r="593" spans="1:6">
      <c r="A593">
        <v>380007</v>
      </c>
      <c r="B593" t="s">
        <v>73</v>
      </c>
      <c r="C593" t="s">
        <v>1467</v>
      </c>
      <c r="D593" t="s">
        <v>1464</v>
      </c>
      <c r="E593">
        <v>54</v>
      </c>
      <c r="F593">
        <v>7.8</v>
      </c>
    </row>
    <row r="594" spans="1:6">
      <c r="A594">
        <v>380008</v>
      </c>
      <c r="B594" t="s">
        <v>74</v>
      </c>
      <c r="C594" t="s">
        <v>1463</v>
      </c>
      <c r="D594" t="s">
        <v>1464</v>
      </c>
      <c r="E594">
        <v>54</v>
      </c>
      <c r="F594">
        <v>10.4</v>
      </c>
    </row>
    <row r="595" spans="1:6">
      <c r="A595">
        <v>380375</v>
      </c>
      <c r="B595" t="s">
        <v>75</v>
      </c>
      <c r="C595" t="s">
        <v>1108</v>
      </c>
      <c r="D595" t="s">
        <v>1464</v>
      </c>
      <c r="E595">
        <v>120</v>
      </c>
      <c r="F595">
        <v>12.95</v>
      </c>
    </row>
    <row r="596" spans="1:6">
      <c r="A596">
        <v>380376</v>
      </c>
      <c r="B596" t="s">
        <v>76</v>
      </c>
      <c r="C596" t="s">
        <v>1467</v>
      </c>
      <c r="D596" t="s">
        <v>1464</v>
      </c>
      <c r="E596">
        <v>80</v>
      </c>
      <c r="F596">
        <v>15.95</v>
      </c>
    </row>
    <row r="597" spans="1:6">
      <c r="A597">
        <v>380377</v>
      </c>
      <c r="B597" t="s">
        <v>77</v>
      </c>
      <c r="C597" t="s">
        <v>1463</v>
      </c>
      <c r="D597" t="s">
        <v>1464</v>
      </c>
      <c r="E597">
        <v>120</v>
      </c>
      <c r="F597">
        <v>12.95</v>
      </c>
    </row>
    <row r="598" spans="1:6">
      <c r="A598">
        <v>380378</v>
      </c>
      <c r="B598" t="s">
        <v>78</v>
      </c>
      <c r="C598" t="s">
        <v>1108</v>
      </c>
      <c r="D598" t="s">
        <v>1464</v>
      </c>
      <c r="E598">
        <v>80</v>
      </c>
      <c r="F598">
        <v>15.95</v>
      </c>
    </row>
    <row r="599" spans="1:6">
      <c r="A599">
        <v>380379</v>
      </c>
      <c r="B599" t="s">
        <v>79</v>
      </c>
      <c r="D599" t="s">
        <v>1464</v>
      </c>
      <c r="E599">
        <v>120</v>
      </c>
      <c r="F599">
        <v>12.95</v>
      </c>
    </row>
    <row r="600" spans="1:6">
      <c r="A600">
        <v>380380</v>
      </c>
      <c r="B600" t="s">
        <v>80</v>
      </c>
      <c r="D600" t="s">
        <v>1464</v>
      </c>
      <c r="E600">
        <v>80</v>
      </c>
      <c r="F600">
        <v>15.95</v>
      </c>
    </row>
    <row r="601" spans="1:6">
      <c r="A601">
        <v>380381</v>
      </c>
      <c r="B601" t="s">
        <v>81</v>
      </c>
      <c r="C601" t="s">
        <v>1721</v>
      </c>
      <c r="D601" t="s">
        <v>1464</v>
      </c>
      <c r="E601">
        <v>120</v>
      </c>
      <c r="F601">
        <v>12.95</v>
      </c>
    </row>
    <row r="602" spans="1:6">
      <c r="A602">
        <v>380382</v>
      </c>
      <c r="B602" t="s">
        <v>82</v>
      </c>
      <c r="C602" t="s">
        <v>1721</v>
      </c>
      <c r="D602" t="s">
        <v>1464</v>
      </c>
      <c r="E602">
        <v>80</v>
      </c>
      <c r="F602">
        <v>15.95</v>
      </c>
    </row>
    <row r="603" spans="1:6">
      <c r="A603">
        <v>380398</v>
      </c>
      <c r="B603" t="s">
        <v>83</v>
      </c>
      <c r="C603" t="s">
        <v>1463</v>
      </c>
      <c r="D603" t="s">
        <v>1464</v>
      </c>
      <c r="E603">
        <v>80</v>
      </c>
      <c r="F603">
        <v>8.9</v>
      </c>
    </row>
    <row r="604" spans="1:6">
      <c r="A604">
        <v>382559</v>
      </c>
      <c r="B604" t="s">
        <v>1439</v>
      </c>
      <c r="D604" t="s">
        <v>1464</v>
      </c>
      <c r="E604">
        <v>80</v>
      </c>
      <c r="F604">
        <v>13.45</v>
      </c>
    </row>
    <row r="605" spans="1:6">
      <c r="A605">
        <v>387332</v>
      </c>
      <c r="B605" t="s">
        <v>84</v>
      </c>
      <c r="C605" t="s">
        <v>1463</v>
      </c>
      <c r="D605" t="s">
        <v>1464</v>
      </c>
      <c r="E605">
        <v>160</v>
      </c>
      <c r="F605">
        <v>4.71</v>
      </c>
    </row>
    <row r="606" spans="1:6">
      <c r="A606">
        <v>387334</v>
      </c>
      <c r="B606" t="s">
        <v>85</v>
      </c>
      <c r="C606" t="s">
        <v>1463</v>
      </c>
      <c r="D606" t="s">
        <v>1464</v>
      </c>
      <c r="E606">
        <v>120</v>
      </c>
      <c r="F606">
        <v>5.6</v>
      </c>
    </row>
    <row r="607" spans="1:6">
      <c r="A607">
        <v>387336</v>
      </c>
      <c r="B607" t="s">
        <v>86</v>
      </c>
      <c r="C607" t="s">
        <v>1463</v>
      </c>
      <c r="D607" t="s">
        <v>1464</v>
      </c>
      <c r="E607">
        <v>80</v>
      </c>
      <c r="F607">
        <v>6.75</v>
      </c>
    </row>
    <row r="608" spans="1:6">
      <c r="A608">
        <v>313496</v>
      </c>
      <c r="B608" t="s">
        <v>87</v>
      </c>
      <c r="D608" t="s">
        <v>1464</v>
      </c>
      <c r="E608">
        <v>5</v>
      </c>
      <c r="F608">
        <v>175</v>
      </c>
    </row>
    <row r="609" spans="1:6">
      <c r="A609">
        <v>313497</v>
      </c>
      <c r="B609" t="s">
        <v>88</v>
      </c>
      <c r="D609" t="s">
        <v>1464</v>
      </c>
      <c r="E609">
        <v>2</v>
      </c>
      <c r="F609">
        <v>49</v>
      </c>
    </row>
    <row r="610" spans="1:6">
      <c r="A610">
        <v>313498</v>
      </c>
      <c r="B610" t="s">
        <v>89</v>
      </c>
      <c r="D610" t="s">
        <v>1464</v>
      </c>
      <c r="E610">
        <v>15</v>
      </c>
      <c r="F610">
        <v>155</v>
      </c>
    </row>
    <row r="611" spans="1:6">
      <c r="A611">
        <v>343324</v>
      </c>
      <c r="B611" t="s">
        <v>740</v>
      </c>
      <c r="D611" t="s">
        <v>1464</v>
      </c>
      <c r="E611">
        <v>1</v>
      </c>
      <c r="F611">
        <v>169</v>
      </c>
    </row>
    <row r="612" spans="1:6">
      <c r="A612">
        <v>343331</v>
      </c>
      <c r="B612" t="s">
        <v>741</v>
      </c>
      <c r="D612" t="s">
        <v>1464</v>
      </c>
      <c r="E612">
        <v>4</v>
      </c>
      <c r="F612">
        <v>169</v>
      </c>
    </row>
    <row r="613" spans="1:6">
      <c r="A613">
        <v>343348</v>
      </c>
      <c r="B613" t="s">
        <v>742</v>
      </c>
      <c r="D613" t="s">
        <v>1464</v>
      </c>
      <c r="E613">
        <v>1</v>
      </c>
      <c r="F613">
        <v>169</v>
      </c>
    </row>
    <row r="614" spans="1:6">
      <c r="A614">
        <v>343612</v>
      </c>
      <c r="B614" t="s">
        <v>241</v>
      </c>
      <c r="D614" t="s">
        <v>1464</v>
      </c>
      <c r="E614">
        <v>12</v>
      </c>
      <c r="F614">
        <v>219</v>
      </c>
    </row>
    <row r="615" spans="1:6">
      <c r="A615">
        <v>343761</v>
      </c>
      <c r="B615" t="s">
        <v>743</v>
      </c>
      <c r="D615" t="s">
        <v>1464</v>
      </c>
      <c r="E615">
        <v>12</v>
      </c>
      <c r="F615">
        <v>54.9</v>
      </c>
    </row>
    <row r="616" spans="1:6">
      <c r="A616">
        <v>343762</v>
      </c>
      <c r="B616" t="s">
        <v>744</v>
      </c>
      <c r="D616" t="s">
        <v>1464</v>
      </c>
      <c r="E616">
        <v>12</v>
      </c>
      <c r="F616">
        <v>54.9</v>
      </c>
    </row>
    <row r="617" spans="1:6">
      <c r="A617">
        <v>343774</v>
      </c>
      <c r="B617" t="s">
        <v>745</v>
      </c>
      <c r="D617" t="s">
        <v>1464</v>
      </c>
      <c r="E617">
        <v>12</v>
      </c>
      <c r="F617">
        <v>54.9</v>
      </c>
    </row>
    <row r="618" spans="1:6">
      <c r="A618">
        <v>343812</v>
      </c>
      <c r="B618" t="s">
        <v>746</v>
      </c>
      <c r="D618" t="s">
        <v>1464</v>
      </c>
      <c r="E618">
        <v>12</v>
      </c>
      <c r="F618">
        <v>64.900000000000006</v>
      </c>
    </row>
    <row r="619" spans="1:6">
      <c r="A619">
        <v>343813</v>
      </c>
      <c r="B619" t="s">
        <v>747</v>
      </c>
      <c r="D619" t="s">
        <v>1464</v>
      </c>
      <c r="E619">
        <v>12</v>
      </c>
      <c r="F619">
        <v>64.900000000000006</v>
      </c>
    </row>
    <row r="620" spans="1:6">
      <c r="A620">
        <v>343819</v>
      </c>
      <c r="B620" t="s">
        <v>748</v>
      </c>
      <c r="D620" t="s">
        <v>1464</v>
      </c>
      <c r="E620">
        <v>4</v>
      </c>
      <c r="F620">
        <v>249</v>
      </c>
    </row>
    <row r="621" spans="1:6">
      <c r="A621">
        <v>343820</v>
      </c>
      <c r="B621" t="s">
        <v>636</v>
      </c>
      <c r="D621" t="s">
        <v>1464</v>
      </c>
      <c r="E621">
        <v>6</v>
      </c>
      <c r="F621">
        <v>169</v>
      </c>
    </row>
    <row r="622" spans="1:6">
      <c r="A622">
        <v>343839</v>
      </c>
      <c r="B622" t="s">
        <v>749</v>
      </c>
      <c r="D622" t="s">
        <v>1464</v>
      </c>
      <c r="E622">
        <v>1</v>
      </c>
      <c r="F622">
        <v>139</v>
      </c>
    </row>
    <row r="623" spans="1:6">
      <c r="A623">
        <v>343841</v>
      </c>
      <c r="B623" t="s">
        <v>750</v>
      </c>
      <c r="D623" t="s">
        <v>1464</v>
      </c>
      <c r="E623">
        <v>6</v>
      </c>
      <c r="F623">
        <v>139</v>
      </c>
    </row>
    <row r="624" spans="1:6">
      <c r="A624">
        <v>343926</v>
      </c>
      <c r="B624" t="s">
        <v>751</v>
      </c>
      <c r="D624" t="s">
        <v>1464</v>
      </c>
      <c r="E624">
        <v>6</v>
      </c>
      <c r="F624">
        <v>299</v>
      </c>
    </row>
    <row r="625" spans="1:6">
      <c r="A625">
        <v>343943</v>
      </c>
      <c r="B625" t="s">
        <v>752</v>
      </c>
      <c r="D625" t="s">
        <v>1464</v>
      </c>
      <c r="E625">
        <v>6</v>
      </c>
      <c r="F625">
        <v>64.900000000000006</v>
      </c>
    </row>
    <row r="626" spans="1:6">
      <c r="A626">
        <v>343944</v>
      </c>
      <c r="B626" t="s">
        <v>753</v>
      </c>
      <c r="D626" t="s">
        <v>1464</v>
      </c>
      <c r="E626">
        <v>6</v>
      </c>
      <c r="F626">
        <v>64.900000000000006</v>
      </c>
    </row>
    <row r="627" spans="1:6">
      <c r="A627">
        <v>345704</v>
      </c>
      <c r="B627" t="s">
        <v>754</v>
      </c>
      <c r="D627" t="s">
        <v>1464</v>
      </c>
      <c r="E627">
        <v>24</v>
      </c>
      <c r="F627">
        <v>39.9</v>
      </c>
    </row>
    <row r="628" spans="1:6">
      <c r="A628">
        <v>345705</v>
      </c>
      <c r="B628" t="s">
        <v>755</v>
      </c>
      <c r="D628" t="s">
        <v>1464</v>
      </c>
      <c r="E628">
        <v>12</v>
      </c>
      <c r="F628">
        <v>59</v>
      </c>
    </row>
    <row r="629" spans="1:6">
      <c r="A629">
        <v>345708</v>
      </c>
      <c r="B629" t="s">
        <v>756</v>
      </c>
      <c r="D629" t="s">
        <v>1464</v>
      </c>
      <c r="E629">
        <v>20</v>
      </c>
      <c r="F629">
        <v>39.9</v>
      </c>
    </row>
    <row r="630" spans="1:6">
      <c r="A630">
        <v>345749</v>
      </c>
      <c r="B630" t="s">
        <v>757</v>
      </c>
      <c r="D630" t="s">
        <v>1464</v>
      </c>
      <c r="E630">
        <v>6</v>
      </c>
      <c r="F630">
        <v>44.9</v>
      </c>
    </row>
    <row r="631" spans="1:6">
      <c r="A631">
        <v>370001</v>
      </c>
      <c r="B631" t="s">
        <v>996</v>
      </c>
      <c r="C631" t="s">
        <v>1108</v>
      </c>
      <c r="D631" t="s">
        <v>1464</v>
      </c>
      <c r="E631">
        <v>66</v>
      </c>
      <c r="F631">
        <v>10.6</v>
      </c>
    </row>
    <row r="632" spans="1:6">
      <c r="A632">
        <v>370002</v>
      </c>
      <c r="B632" t="s">
        <v>997</v>
      </c>
      <c r="C632" t="s">
        <v>1108</v>
      </c>
      <c r="D632" t="s">
        <v>1464</v>
      </c>
      <c r="E632">
        <v>30</v>
      </c>
      <c r="F632">
        <v>20.5</v>
      </c>
    </row>
    <row r="633" spans="1:6">
      <c r="A633">
        <v>370003</v>
      </c>
      <c r="B633" t="s">
        <v>998</v>
      </c>
      <c r="C633" t="s">
        <v>1108</v>
      </c>
      <c r="D633" t="s">
        <v>1464</v>
      </c>
      <c r="E633">
        <v>30</v>
      </c>
      <c r="F633">
        <v>36.85</v>
      </c>
    </row>
    <row r="634" spans="1:6">
      <c r="A634">
        <v>371715</v>
      </c>
      <c r="B634" t="s">
        <v>999</v>
      </c>
      <c r="C634" t="s">
        <v>1108</v>
      </c>
      <c r="D634" t="s">
        <v>1464</v>
      </c>
      <c r="E634">
        <v>30</v>
      </c>
      <c r="F634">
        <v>18.649999999999999</v>
      </c>
    </row>
    <row r="635" spans="1:6">
      <c r="A635">
        <v>371727</v>
      </c>
      <c r="B635" t="s">
        <v>1000</v>
      </c>
      <c r="C635" t="s">
        <v>1108</v>
      </c>
      <c r="D635" t="s">
        <v>1464</v>
      </c>
      <c r="E635">
        <v>20</v>
      </c>
      <c r="F635">
        <v>30.55</v>
      </c>
    </row>
    <row r="636" spans="1:6">
      <c r="A636">
        <v>371729</v>
      </c>
      <c r="B636" t="s">
        <v>1001</v>
      </c>
      <c r="C636" t="s">
        <v>1108</v>
      </c>
      <c r="D636" t="s">
        <v>1464</v>
      </c>
      <c r="E636">
        <v>20</v>
      </c>
      <c r="F636">
        <v>56.7</v>
      </c>
    </row>
    <row r="637" spans="1:6">
      <c r="A637">
        <v>382613</v>
      </c>
      <c r="B637" t="s">
        <v>1002</v>
      </c>
      <c r="C637" t="s">
        <v>1463</v>
      </c>
      <c r="D637" t="s">
        <v>1464</v>
      </c>
      <c r="E637">
        <v>126</v>
      </c>
      <c r="F637">
        <v>9.5</v>
      </c>
    </row>
    <row r="638" spans="1:6">
      <c r="A638">
        <v>382614</v>
      </c>
      <c r="B638" t="s">
        <v>1003</v>
      </c>
      <c r="C638" t="s">
        <v>1463</v>
      </c>
      <c r="D638" t="s">
        <v>1464</v>
      </c>
      <c r="E638">
        <v>84</v>
      </c>
      <c r="F638">
        <v>11.9</v>
      </c>
    </row>
    <row r="639" spans="1:6">
      <c r="A639">
        <v>382615</v>
      </c>
      <c r="B639" t="s">
        <v>1004</v>
      </c>
      <c r="C639" t="s">
        <v>1463</v>
      </c>
      <c r="D639" t="s">
        <v>1464</v>
      </c>
      <c r="E639">
        <v>84</v>
      </c>
      <c r="F639">
        <v>15.9</v>
      </c>
    </row>
    <row r="640" spans="1:6">
      <c r="A640">
        <v>382616</v>
      </c>
      <c r="B640" t="s">
        <v>1005</v>
      </c>
      <c r="C640" t="s">
        <v>1108</v>
      </c>
      <c r="D640" t="s">
        <v>1464</v>
      </c>
      <c r="E640">
        <v>84</v>
      </c>
      <c r="F640">
        <v>17.899999999999999</v>
      </c>
    </row>
    <row r="641" spans="1:6">
      <c r="A641">
        <v>380445</v>
      </c>
      <c r="B641" t="s">
        <v>1006</v>
      </c>
      <c r="C641" t="s">
        <v>1463</v>
      </c>
      <c r="D641" t="s">
        <v>1464</v>
      </c>
      <c r="E641">
        <v>16</v>
      </c>
      <c r="F641">
        <v>5.5</v>
      </c>
    </row>
    <row r="642" spans="1:6">
      <c r="A642">
        <v>387425</v>
      </c>
      <c r="B642" t="s">
        <v>1007</v>
      </c>
      <c r="C642" t="s">
        <v>1108</v>
      </c>
      <c r="D642" t="s">
        <v>1464</v>
      </c>
      <c r="E642">
        <v>16</v>
      </c>
      <c r="F642">
        <v>8.6999999999999993</v>
      </c>
    </row>
    <row r="643" spans="1:6">
      <c r="A643">
        <v>387435</v>
      </c>
      <c r="B643" t="s">
        <v>1008</v>
      </c>
      <c r="C643" t="s">
        <v>1108</v>
      </c>
      <c r="D643" t="s">
        <v>1464</v>
      </c>
      <c r="E643">
        <v>16</v>
      </c>
      <c r="F643">
        <v>8.6999999999999993</v>
      </c>
    </row>
    <row r="644" spans="1:6">
      <c r="A644">
        <v>300626</v>
      </c>
      <c r="B644" t="s">
        <v>1011</v>
      </c>
      <c r="C644" t="s">
        <v>1108</v>
      </c>
      <c r="D644" t="s">
        <v>1464</v>
      </c>
      <c r="E644">
        <v>18</v>
      </c>
      <c r="F644">
        <v>8.5</v>
      </c>
    </row>
    <row r="645" spans="1:6">
      <c r="A645">
        <v>301182</v>
      </c>
      <c r="B645" t="s">
        <v>90</v>
      </c>
      <c r="C645" t="s">
        <v>918</v>
      </c>
      <c r="D645" t="s">
        <v>6</v>
      </c>
      <c r="E645">
        <v>4</v>
      </c>
      <c r="F645">
        <v>10.29</v>
      </c>
    </row>
    <row r="646" spans="1:6">
      <c r="A646">
        <v>301183</v>
      </c>
      <c r="B646" t="s">
        <v>91</v>
      </c>
      <c r="C646" t="s">
        <v>1467</v>
      </c>
      <c r="D646" t="s">
        <v>6</v>
      </c>
      <c r="E646">
        <v>4</v>
      </c>
      <c r="F646">
        <v>10.29</v>
      </c>
    </row>
    <row r="647" spans="1:6">
      <c r="A647">
        <v>301186</v>
      </c>
      <c r="B647" t="s">
        <v>418</v>
      </c>
      <c r="C647" t="s">
        <v>915</v>
      </c>
      <c r="D647" t="s">
        <v>6</v>
      </c>
      <c r="E647">
        <v>4</v>
      </c>
      <c r="F647">
        <v>8.49</v>
      </c>
    </row>
    <row r="648" spans="1:6">
      <c r="A648">
        <v>301187</v>
      </c>
      <c r="B648" t="s">
        <v>419</v>
      </c>
      <c r="C648" t="s">
        <v>918</v>
      </c>
      <c r="D648" t="s">
        <v>6</v>
      </c>
      <c r="E648">
        <v>4</v>
      </c>
      <c r="F648">
        <v>8.49</v>
      </c>
    </row>
    <row r="649" spans="1:6">
      <c r="A649">
        <v>301188</v>
      </c>
      <c r="B649" t="s">
        <v>1869</v>
      </c>
      <c r="C649" t="s">
        <v>1108</v>
      </c>
      <c r="D649" t="s">
        <v>1464</v>
      </c>
      <c r="E649">
        <v>48</v>
      </c>
      <c r="F649">
        <v>20.6</v>
      </c>
    </row>
    <row r="650" spans="1:6">
      <c r="A650">
        <v>301189</v>
      </c>
      <c r="B650" t="s">
        <v>92</v>
      </c>
      <c r="C650" t="s">
        <v>1463</v>
      </c>
      <c r="D650" t="s">
        <v>1464</v>
      </c>
      <c r="E650">
        <v>60</v>
      </c>
      <c r="F650">
        <v>21.4</v>
      </c>
    </row>
    <row r="651" spans="1:6">
      <c r="A651">
        <v>301193</v>
      </c>
      <c r="B651" t="s">
        <v>1870</v>
      </c>
      <c r="C651" t="s">
        <v>1721</v>
      </c>
      <c r="D651" t="s">
        <v>1464</v>
      </c>
      <c r="E651">
        <v>20</v>
      </c>
      <c r="F651">
        <v>9.35</v>
      </c>
    </row>
    <row r="652" spans="1:6">
      <c r="A652">
        <v>301239</v>
      </c>
      <c r="B652" t="s">
        <v>1871</v>
      </c>
      <c r="C652" t="s">
        <v>914</v>
      </c>
      <c r="D652" t="s">
        <v>6</v>
      </c>
      <c r="E652">
        <v>9</v>
      </c>
      <c r="F652">
        <v>4.95</v>
      </c>
    </row>
    <row r="653" spans="1:6">
      <c r="A653">
        <v>301242</v>
      </c>
      <c r="B653" t="s">
        <v>1874</v>
      </c>
      <c r="C653" t="s">
        <v>1790</v>
      </c>
      <c r="D653" t="s">
        <v>6</v>
      </c>
      <c r="E653">
        <v>9</v>
      </c>
      <c r="F653">
        <v>3.98</v>
      </c>
    </row>
    <row r="654" spans="1:6">
      <c r="A654">
        <v>301427</v>
      </c>
      <c r="B654" t="s">
        <v>1876</v>
      </c>
      <c r="C654" t="s">
        <v>1721</v>
      </c>
      <c r="D654" t="s">
        <v>1464</v>
      </c>
      <c r="E654">
        <v>24</v>
      </c>
      <c r="F654">
        <v>2</v>
      </c>
    </row>
    <row r="655" spans="1:6">
      <c r="A655">
        <v>301435</v>
      </c>
      <c r="B655" t="s">
        <v>420</v>
      </c>
      <c r="C655" t="s">
        <v>1790</v>
      </c>
      <c r="D655" t="s">
        <v>6</v>
      </c>
      <c r="E655">
        <v>4</v>
      </c>
      <c r="F655">
        <v>9.59</v>
      </c>
    </row>
    <row r="656" spans="1:6">
      <c r="A656">
        <v>301437</v>
      </c>
      <c r="B656" t="s">
        <v>421</v>
      </c>
      <c r="C656" t="s">
        <v>918</v>
      </c>
      <c r="D656" t="s">
        <v>6</v>
      </c>
      <c r="E656">
        <v>4</v>
      </c>
      <c r="F656">
        <v>8.49</v>
      </c>
    </row>
    <row r="657" spans="1:6">
      <c r="A657">
        <v>301439</v>
      </c>
      <c r="B657" t="s">
        <v>422</v>
      </c>
      <c r="C657" t="s">
        <v>918</v>
      </c>
      <c r="D657" t="s">
        <v>6</v>
      </c>
      <c r="E657">
        <v>4</v>
      </c>
      <c r="F657">
        <v>8.49</v>
      </c>
    </row>
    <row r="658" spans="1:6">
      <c r="A658">
        <v>301446</v>
      </c>
      <c r="B658" t="s">
        <v>1402</v>
      </c>
      <c r="C658" t="s">
        <v>1913</v>
      </c>
      <c r="D658" t="s">
        <v>861</v>
      </c>
      <c r="E658">
        <v>1</v>
      </c>
      <c r="F658">
        <v>48.5</v>
      </c>
    </row>
    <row r="659" spans="1:6">
      <c r="A659">
        <v>301448</v>
      </c>
      <c r="B659" t="s">
        <v>1400</v>
      </c>
      <c r="C659" t="s">
        <v>914</v>
      </c>
      <c r="D659" t="s">
        <v>861</v>
      </c>
      <c r="E659">
        <v>1</v>
      </c>
      <c r="F659">
        <v>48.5</v>
      </c>
    </row>
    <row r="660" spans="1:6">
      <c r="A660">
        <v>301451</v>
      </c>
      <c r="B660" t="s">
        <v>93</v>
      </c>
      <c r="C660" t="s">
        <v>1792</v>
      </c>
      <c r="D660" t="s">
        <v>6</v>
      </c>
      <c r="E660">
        <v>9</v>
      </c>
      <c r="F660">
        <v>4.95</v>
      </c>
    </row>
    <row r="661" spans="1:6">
      <c r="A661">
        <v>301452</v>
      </c>
      <c r="B661" t="s">
        <v>94</v>
      </c>
      <c r="C661" t="s">
        <v>1790</v>
      </c>
      <c r="D661" t="s">
        <v>6</v>
      </c>
      <c r="E661">
        <v>9</v>
      </c>
      <c r="F661">
        <v>4.95</v>
      </c>
    </row>
    <row r="662" spans="1:6">
      <c r="A662">
        <v>301453</v>
      </c>
      <c r="B662" t="s">
        <v>95</v>
      </c>
      <c r="C662" t="s">
        <v>1790</v>
      </c>
      <c r="D662" t="s">
        <v>6</v>
      </c>
      <c r="E662">
        <v>4</v>
      </c>
      <c r="F662">
        <v>10.29</v>
      </c>
    </row>
    <row r="663" spans="1:6">
      <c r="A663">
        <v>301454</v>
      </c>
      <c r="B663" t="s">
        <v>96</v>
      </c>
      <c r="C663" t="s">
        <v>1792</v>
      </c>
      <c r="D663" t="s">
        <v>6</v>
      </c>
      <c r="E663">
        <v>4</v>
      </c>
      <c r="F663">
        <v>9.59</v>
      </c>
    </row>
    <row r="664" spans="1:6">
      <c r="A664">
        <v>301455</v>
      </c>
      <c r="B664" t="s">
        <v>97</v>
      </c>
      <c r="C664" t="s">
        <v>1790</v>
      </c>
      <c r="D664" t="s">
        <v>6</v>
      </c>
      <c r="E664">
        <v>4</v>
      </c>
      <c r="F664">
        <v>8.49</v>
      </c>
    </row>
    <row r="665" spans="1:6">
      <c r="A665">
        <v>301456</v>
      </c>
      <c r="B665" t="s">
        <v>98</v>
      </c>
      <c r="C665" t="s">
        <v>239</v>
      </c>
      <c r="D665" t="s">
        <v>6</v>
      </c>
      <c r="E665">
        <v>4</v>
      </c>
      <c r="F665">
        <v>8.49</v>
      </c>
    </row>
    <row r="666" spans="1:6">
      <c r="A666">
        <v>301460</v>
      </c>
      <c r="B666" t="s">
        <v>99</v>
      </c>
      <c r="C666" t="s">
        <v>1792</v>
      </c>
      <c r="D666" t="s">
        <v>861</v>
      </c>
      <c r="E666">
        <v>1</v>
      </c>
      <c r="F666">
        <v>39.270000000000003</v>
      </c>
    </row>
    <row r="667" spans="1:6">
      <c r="A667">
        <v>301461</v>
      </c>
      <c r="B667" t="s">
        <v>100</v>
      </c>
      <c r="C667" t="s">
        <v>1915</v>
      </c>
      <c r="D667" t="s">
        <v>861</v>
      </c>
      <c r="E667">
        <v>1</v>
      </c>
      <c r="F667">
        <v>39.270000000000003</v>
      </c>
    </row>
    <row r="668" spans="1:6">
      <c r="A668">
        <v>301462</v>
      </c>
      <c r="B668" t="s">
        <v>101</v>
      </c>
      <c r="C668" t="s">
        <v>1790</v>
      </c>
      <c r="D668" t="s">
        <v>861</v>
      </c>
      <c r="E668">
        <v>1</v>
      </c>
      <c r="F668">
        <v>39.270000000000003</v>
      </c>
    </row>
    <row r="669" spans="1:6">
      <c r="A669">
        <v>301463</v>
      </c>
      <c r="B669" t="s">
        <v>102</v>
      </c>
      <c r="C669" t="s">
        <v>1790</v>
      </c>
      <c r="D669" t="s">
        <v>861</v>
      </c>
      <c r="E669">
        <v>1</v>
      </c>
      <c r="F669">
        <v>48.5</v>
      </c>
    </row>
    <row r="670" spans="1:6">
      <c r="A670">
        <v>301578</v>
      </c>
      <c r="B670" t="s">
        <v>1602</v>
      </c>
      <c r="C670" t="s">
        <v>1721</v>
      </c>
      <c r="D670" t="s">
        <v>861</v>
      </c>
      <c r="E670">
        <v>48</v>
      </c>
      <c r="F670">
        <v>35.03</v>
      </c>
    </row>
    <row r="671" spans="1:6">
      <c r="A671">
        <v>301580</v>
      </c>
      <c r="B671" t="s">
        <v>103</v>
      </c>
      <c r="C671" t="s">
        <v>881</v>
      </c>
      <c r="D671" t="s">
        <v>861</v>
      </c>
      <c r="E671">
        <v>44</v>
      </c>
      <c r="F671">
        <v>32.72</v>
      </c>
    </row>
    <row r="672" spans="1:6">
      <c r="A672">
        <v>301770</v>
      </c>
      <c r="B672" t="s">
        <v>104</v>
      </c>
      <c r="C672" t="s">
        <v>1792</v>
      </c>
      <c r="D672" t="s">
        <v>861</v>
      </c>
      <c r="E672">
        <v>48</v>
      </c>
      <c r="F672">
        <v>37.5</v>
      </c>
    </row>
    <row r="673" spans="1:6">
      <c r="A673">
        <v>301773</v>
      </c>
      <c r="B673" t="s">
        <v>105</v>
      </c>
      <c r="C673" t="s">
        <v>881</v>
      </c>
      <c r="D673" t="s">
        <v>861</v>
      </c>
      <c r="E673">
        <v>40</v>
      </c>
      <c r="F673">
        <v>24.49</v>
      </c>
    </row>
    <row r="674" spans="1:6">
      <c r="A674">
        <v>301774</v>
      </c>
      <c r="B674" t="s">
        <v>106</v>
      </c>
      <c r="C674" t="s">
        <v>915</v>
      </c>
      <c r="D674" t="s">
        <v>861</v>
      </c>
      <c r="E674">
        <v>40</v>
      </c>
      <c r="F674">
        <v>26.62</v>
      </c>
    </row>
    <row r="675" spans="1:6">
      <c r="A675">
        <v>301851</v>
      </c>
      <c r="B675" t="s">
        <v>1210</v>
      </c>
      <c r="C675" t="s">
        <v>1108</v>
      </c>
      <c r="D675" t="s">
        <v>1464</v>
      </c>
      <c r="E675">
        <v>10</v>
      </c>
      <c r="F675">
        <v>1.98</v>
      </c>
    </row>
    <row r="676" spans="1:6">
      <c r="A676">
        <v>301852</v>
      </c>
      <c r="B676" t="s">
        <v>1211</v>
      </c>
      <c r="C676" t="s">
        <v>1721</v>
      </c>
      <c r="D676" t="s">
        <v>1464</v>
      </c>
      <c r="E676">
        <v>20</v>
      </c>
      <c r="F676">
        <v>5.7</v>
      </c>
    </row>
    <row r="677" spans="1:6">
      <c r="A677">
        <v>302043</v>
      </c>
      <c r="B677" t="s">
        <v>107</v>
      </c>
      <c r="D677" t="s">
        <v>1464</v>
      </c>
      <c r="E677">
        <v>10</v>
      </c>
      <c r="F677">
        <v>6.95</v>
      </c>
    </row>
    <row r="678" spans="1:6">
      <c r="A678">
        <v>302050</v>
      </c>
      <c r="B678" t="s">
        <v>108</v>
      </c>
      <c r="D678" t="s">
        <v>1464</v>
      </c>
      <c r="E678">
        <v>12</v>
      </c>
      <c r="F678">
        <v>4.66</v>
      </c>
    </row>
    <row r="679" spans="1:6">
      <c r="A679">
        <v>303105</v>
      </c>
      <c r="B679" t="s">
        <v>369</v>
      </c>
      <c r="C679" t="s">
        <v>1467</v>
      </c>
      <c r="D679" t="s">
        <v>1464</v>
      </c>
      <c r="E679">
        <v>5</v>
      </c>
      <c r="F679">
        <v>13.9</v>
      </c>
    </row>
    <row r="680" spans="1:6">
      <c r="A680">
        <v>303199</v>
      </c>
      <c r="B680" t="s">
        <v>109</v>
      </c>
      <c r="D680" t="s">
        <v>1464</v>
      </c>
      <c r="E680">
        <v>10</v>
      </c>
      <c r="F680">
        <v>6.95</v>
      </c>
    </row>
    <row r="681" spans="1:6">
      <c r="A681">
        <v>303203</v>
      </c>
      <c r="B681" t="s">
        <v>110</v>
      </c>
      <c r="D681" t="s">
        <v>1464</v>
      </c>
      <c r="E681">
        <v>10</v>
      </c>
      <c r="F681">
        <v>6.95</v>
      </c>
    </row>
    <row r="682" spans="1:6">
      <c r="A682">
        <v>310632</v>
      </c>
      <c r="B682" t="s">
        <v>1900</v>
      </c>
      <c r="D682" t="s">
        <v>1464</v>
      </c>
      <c r="E682">
        <v>50</v>
      </c>
      <c r="F682">
        <v>1</v>
      </c>
    </row>
    <row r="683" spans="1:6">
      <c r="A683">
        <v>310652</v>
      </c>
      <c r="B683" t="s">
        <v>111</v>
      </c>
      <c r="C683" t="s">
        <v>1721</v>
      </c>
      <c r="D683" t="s">
        <v>1464</v>
      </c>
      <c r="E683">
        <v>100</v>
      </c>
      <c r="F683">
        <v>2.1</v>
      </c>
    </row>
    <row r="684" spans="1:6">
      <c r="A684">
        <v>313422</v>
      </c>
      <c r="B684" t="s">
        <v>1901</v>
      </c>
      <c r="C684" t="s">
        <v>112</v>
      </c>
      <c r="D684" t="s">
        <v>1464</v>
      </c>
      <c r="E684">
        <v>448</v>
      </c>
      <c r="F684">
        <v>1.99</v>
      </c>
    </row>
    <row r="685" spans="1:6">
      <c r="A685">
        <v>313423</v>
      </c>
      <c r="B685" t="s">
        <v>113</v>
      </c>
      <c r="D685" t="s">
        <v>1464</v>
      </c>
      <c r="E685">
        <v>216</v>
      </c>
      <c r="F685">
        <v>2</v>
      </c>
    </row>
    <row r="686" spans="1:6">
      <c r="A686">
        <v>313424</v>
      </c>
      <c r="B686" t="s">
        <v>114</v>
      </c>
      <c r="D686" t="s">
        <v>1464</v>
      </c>
      <c r="E686">
        <v>216</v>
      </c>
      <c r="F686">
        <v>2.2000000000000002</v>
      </c>
    </row>
    <row r="687" spans="1:6">
      <c r="A687">
        <v>313425</v>
      </c>
      <c r="B687" t="s">
        <v>115</v>
      </c>
      <c r="C687" t="s">
        <v>1467</v>
      </c>
      <c r="D687" t="s">
        <v>1464</v>
      </c>
      <c r="E687">
        <v>168</v>
      </c>
      <c r="F687">
        <v>12.5</v>
      </c>
    </row>
    <row r="688" spans="1:6">
      <c r="A688">
        <v>313426</v>
      </c>
      <c r="B688" t="s">
        <v>1902</v>
      </c>
      <c r="C688" t="s">
        <v>1108</v>
      </c>
      <c r="D688" t="s">
        <v>1464</v>
      </c>
      <c r="E688">
        <v>16</v>
      </c>
      <c r="F688">
        <v>16.55</v>
      </c>
    </row>
    <row r="689" spans="1:6">
      <c r="A689">
        <v>313427</v>
      </c>
      <c r="B689" t="s">
        <v>116</v>
      </c>
      <c r="C689" t="s">
        <v>1108</v>
      </c>
      <c r="D689" t="s">
        <v>1464</v>
      </c>
      <c r="E689">
        <v>28</v>
      </c>
      <c r="F689">
        <v>11.1</v>
      </c>
    </row>
    <row r="690" spans="1:6">
      <c r="A690">
        <v>313429</v>
      </c>
      <c r="B690" t="s">
        <v>298</v>
      </c>
      <c r="C690" t="s">
        <v>1467</v>
      </c>
      <c r="D690" t="s">
        <v>1464</v>
      </c>
      <c r="E690">
        <v>32</v>
      </c>
      <c r="F690">
        <v>12.2</v>
      </c>
    </row>
    <row r="691" spans="1:6">
      <c r="A691">
        <v>313430</v>
      </c>
      <c r="B691" t="s">
        <v>299</v>
      </c>
      <c r="C691" t="s">
        <v>1108</v>
      </c>
      <c r="D691" t="s">
        <v>1464</v>
      </c>
      <c r="E691">
        <v>24</v>
      </c>
      <c r="F691">
        <v>10.85</v>
      </c>
    </row>
    <row r="692" spans="1:6">
      <c r="A692">
        <v>313431</v>
      </c>
      <c r="B692" t="s">
        <v>1142</v>
      </c>
      <c r="C692" t="s">
        <v>1108</v>
      </c>
      <c r="D692" t="s">
        <v>1464</v>
      </c>
      <c r="E692">
        <v>50</v>
      </c>
      <c r="F692">
        <v>13.9</v>
      </c>
    </row>
    <row r="693" spans="1:6">
      <c r="A693">
        <v>313432</v>
      </c>
      <c r="B693" t="s">
        <v>1143</v>
      </c>
      <c r="C693" t="s">
        <v>1790</v>
      </c>
      <c r="D693" t="s">
        <v>1464</v>
      </c>
      <c r="E693">
        <v>100</v>
      </c>
      <c r="F693">
        <v>5.5</v>
      </c>
    </row>
    <row r="694" spans="1:6">
      <c r="A694">
        <v>313433</v>
      </c>
      <c r="B694" t="s">
        <v>1144</v>
      </c>
      <c r="D694" t="s">
        <v>1464</v>
      </c>
      <c r="E694">
        <v>120</v>
      </c>
      <c r="F694">
        <v>7.4</v>
      </c>
    </row>
    <row r="695" spans="1:6">
      <c r="A695">
        <v>313460</v>
      </c>
      <c r="B695" t="s">
        <v>117</v>
      </c>
      <c r="C695" t="s">
        <v>118</v>
      </c>
      <c r="D695" t="s">
        <v>1464</v>
      </c>
      <c r="E695">
        <v>8</v>
      </c>
      <c r="F695">
        <v>7.1</v>
      </c>
    </row>
    <row r="696" spans="1:6">
      <c r="A696">
        <v>313462</v>
      </c>
      <c r="B696" t="s">
        <v>1146</v>
      </c>
      <c r="C696" t="s">
        <v>1074</v>
      </c>
      <c r="D696" t="s">
        <v>1464</v>
      </c>
      <c r="E696">
        <v>4</v>
      </c>
      <c r="F696">
        <v>26.9</v>
      </c>
    </row>
    <row r="697" spans="1:6">
      <c r="A697">
        <v>313463</v>
      </c>
      <c r="B697" t="s">
        <v>1147</v>
      </c>
      <c r="C697" t="s">
        <v>1463</v>
      </c>
      <c r="D697" t="s">
        <v>1464</v>
      </c>
      <c r="E697">
        <v>4</v>
      </c>
      <c r="F697">
        <v>22.9</v>
      </c>
    </row>
    <row r="698" spans="1:6">
      <c r="A698">
        <v>313464</v>
      </c>
      <c r="B698" t="s">
        <v>119</v>
      </c>
      <c r="C698" t="s">
        <v>1108</v>
      </c>
      <c r="D698" t="s">
        <v>1464</v>
      </c>
      <c r="E698">
        <v>4</v>
      </c>
      <c r="F698">
        <v>29.9</v>
      </c>
    </row>
    <row r="699" spans="1:6">
      <c r="A699">
        <v>313466</v>
      </c>
      <c r="B699" t="s">
        <v>1148</v>
      </c>
      <c r="C699" t="s">
        <v>1108</v>
      </c>
      <c r="D699" t="s">
        <v>1464</v>
      </c>
      <c r="E699">
        <v>6</v>
      </c>
      <c r="F699">
        <v>23.25</v>
      </c>
    </row>
    <row r="700" spans="1:6">
      <c r="A700">
        <v>313467</v>
      </c>
      <c r="B700" t="s">
        <v>1637</v>
      </c>
      <c r="C700" t="s">
        <v>1463</v>
      </c>
      <c r="D700" t="s">
        <v>1464</v>
      </c>
      <c r="E700">
        <v>5</v>
      </c>
      <c r="F700">
        <v>20.05</v>
      </c>
    </row>
    <row r="701" spans="1:6">
      <c r="A701">
        <v>313471</v>
      </c>
      <c r="B701" t="s">
        <v>1638</v>
      </c>
      <c r="C701" t="s">
        <v>1467</v>
      </c>
      <c r="D701" t="s">
        <v>1464</v>
      </c>
      <c r="E701">
        <v>6</v>
      </c>
      <c r="F701">
        <v>52.6</v>
      </c>
    </row>
    <row r="702" spans="1:6">
      <c r="A702">
        <v>313472</v>
      </c>
      <c r="B702" t="s">
        <v>1639</v>
      </c>
      <c r="C702" t="s">
        <v>1790</v>
      </c>
      <c r="D702" t="s">
        <v>1464</v>
      </c>
      <c r="E702">
        <v>6</v>
      </c>
      <c r="F702">
        <v>57.1</v>
      </c>
    </row>
    <row r="703" spans="1:6">
      <c r="A703">
        <v>313473</v>
      </c>
      <c r="B703" t="s">
        <v>120</v>
      </c>
      <c r="C703" t="s">
        <v>1108</v>
      </c>
      <c r="D703" t="s">
        <v>1464</v>
      </c>
      <c r="E703">
        <v>6</v>
      </c>
      <c r="F703">
        <v>36.25</v>
      </c>
    </row>
    <row r="704" spans="1:6">
      <c r="A704">
        <v>313474</v>
      </c>
      <c r="B704" t="s">
        <v>1640</v>
      </c>
      <c r="C704" t="s">
        <v>1463</v>
      </c>
      <c r="D704" t="s">
        <v>1464</v>
      </c>
      <c r="E704">
        <v>6</v>
      </c>
      <c r="F704">
        <v>36.25</v>
      </c>
    </row>
    <row r="705" spans="1:6">
      <c r="A705">
        <v>313475</v>
      </c>
      <c r="B705" t="s">
        <v>1641</v>
      </c>
      <c r="C705" t="s">
        <v>1463</v>
      </c>
      <c r="D705" t="s">
        <v>1464</v>
      </c>
      <c r="E705">
        <v>10</v>
      </c>
      <c r="F705">
        <v>5.55</v>
      </c>
    </row>
    <row r="706" spans="1:6">
      <c r="A706">
        <v>313476</v>
      </c>
      <c r="B706" t="s">
        <v>1642</v>
      </c>
      <c r="C706" t="s">
        <v>1108</v>
      </c>
      <c r="D706" t="s">
        <v>1464</v>
      </c>
      <c r="E706">
        <v>10</v>
      </c>
      <c r="F706">
        <v>19.95</v>
      </c>
    </row>
    <row r="707" spans="1:6">
      <c r="A707">
        <v>313477</v>
      </c>
      <c r="B707" t="s">
        <v>1075</v>
      </c>
      <c r="C707" t="s">
        <v>1467</v>
      </c>
      <c r="D707" t="s">
        <v>1464</v>
      </c>
      <c r="E707">
        <v>10</v>
      </c>
      <c r="F707">
        <v>12.7</v>
      </c>
    </row>
    <row r="708" spans="1:6">
      <c r="A708">
        <v>313478</v>
      </c>
      <c r="B708" t="s">
        <v>1076</v>
      </c>
      <c r="C708" t="s">
        <v>1108</v>
      </c>
      <c r="D708" t="s">
        <v>1464</v>
      </c>
      <c r="E708">
        <v>10</v>
      </c>
      <c r="F708">
        <v>16.95</v>
      </c>
    </row>
    <row r="709" spans="1:6">
      <c r="A709">
        <v>313479</v>
      </c>
      <c r="B709" t="s">
        <v>1077</v>
      </c>
      <c r="C709" t="s">
        <v>1915</v>
      </c>
      <c r="D709" t="s">
        <v>1464</v>
      </c>
      <c r="E709">
        <v>5</v>
      </c>
      <c r="F709">
        <v>30.55</v>
      </c>
    </row>
    <row r="710" spans="1:6">
      <c r="A710">
        <v>313480</v>
      </c>
      <c r="B710" t="s">
        <v>1078</v>
      </c>
      <c r="C710" t="s">
        <v>1915</v>
      </c>
      <c r="D710" t="s">
        <v>1464</v>
      </c>
      <c r="E710">
        <v>5</v>
      </c>
      <c r="F710">
        <v>14.75</v>
      </c>
    </row>
    <row r="711" spans="1:6">
      <c r="A711">
        <v>313481</v>
      </c>
      <c r="B711" t="s">
        <v>121</v>
      </c>
      <c r="C711" t="s">
        <v>1108</v>
      </c>
      <c r="D711" t="s">
        <v>1464</v>
      </c>
      <c r="E711">
        <v>6</v>
      </c>
      <c r="F711">
        <v>67.2</v>
      </c>
    </row>
    <row r="712" spans="1:6">
      <c r="A712">
        <v>313482</v>
      </c>
      <c r="B712" t="s">
        <v>1549</v>
      </c>
      <c r="C712" t="s">
        <v>1108</v>
      </c>
      <c r="D712" t="s">
        <v>1464</v>
      </c>
      <c r="E712">
        <v>10</v>
      </c>
      <c r="F712">
        <v>8.6</v>
      </c>
    </row>
    <row r="713" spans="1:6">
      <c r="A713">
        <v>313483</v>
      </c>
      <c r="B713" t="s">
        <v>1550</v>
      </c>
      <c r="C713" t="s">
        <v>1108</v>
      </c>
      <c r="D713" t="s">
        <v>1464</v>
      </c>
      <c r="E713">
        <v>10</v>
      </c>
      <c r="F713">
        <v>24.55</v>
      </c>
    </row>
    <row r="714" spans="1:6">
      <c r="A714">
        <v>313485</v>
      </c>
      <c r="B714" t="s">
        <v>122</v>
      </c>
      <c r="D714" t="s">
        <v>1464</v>
      </c>
      <c r="E714">
        <v>15</v>
      </c>
      <c r="F714">
        <v>175</v>
      </c>
    </row>
    <row r="715" spans="1:6">
      <c r="A715">
        <v>313486</v>
      </c>
      <c r="B715" t="s">
        <v>123</v>
      </c>
      <c r="D715" t="s">
        <v>1464</v>
      </c>
      <c r="E715">
        <v>5</v>
      </c>
      <c r="F715">
        <v>49</v>
      </c>
    </row>
    <row r="716" spans="1:6">
      <c r="A716">
        <v>313487</v>
      </c>
      <c r="B716" t="s">
        <v>331</v>
      </c>
      <c r="C716" t="s">
        <v>124</v>
      </c>
      <c r="D716" t="s">
        <v>1464</v>
      </c>
      <c r="E716">
        <v>10</v>
      </c>
      <c r="F716">
        <v>6.95</v>
      </c>
    </row>
    <row r="717" spans="1:6">
      <c r="A717">
        <v>313488</v>
      </c>
      <c r="B717" t="s">
        <v>332</v>
      </c>
      <c r="C717" t="s">
        <v>1463</v>
      </c>
      <c r="D717" t="s">
        <v>1464</v>
      </c>
      <c r="E717">
        <v>6</v>
      </c>
      <c r="F717">
        <v>69</v>
      </c>
    </row>
    <row r="718" spans="1:6">
      <c r="A718">
        <v>313490</v>
      </c>
      <c r="B718" t="s">
        <v>333</v>
      </c>
      <c r="C718" t="s">
        <v>1108</v>
      </c>
      <c r="D718" t="s">
        <v>1464</v>
      </c>
      <c r="E718">
        <v>6</v>
      </c>
      <c r="F718">
        <v>90.5</v>
      </c>
    </row>
    <row r="719" spans="1:6">
      <c r="A719">
        <v>313491</v>
      </c>
      <c r="B719" t="s">
        <v>336</v>
      </c>
      <c r="C719" t="s">
        <v>1463</v>
      </c>
      <c r="D719" t="s">
        <v>1464</v>
      </c>
      <c r="E719">
        <v>6</v>
      </c>
      <c r="F719">
        <v>57</v>
      </c>
    </row>
    <row r="720" spans="1:6">
      <c r="A720">
        <v>313492</v>
      </c>
      <c r="B720" t="s">
        <v>337</v>
      </c>
      <c r="C720" t="s">
        <v>1463</v>
      </c>
      <c r="D720" t="s">
        <v>1464</v>
      </c>
      <c r="E720">
        <v>6</v>
      </c>
      <c r="F720">
        <v>63</v>
      </c>
    </row>
    <row r="721" spans="1:6">
      <c r="A721">
        <v>313495</v>
      </c>
      <c r="B721" t="s">
        <v>338</v>
      </c>
      <c r="D721" t="s">
        <v>1464</v>
      </c>
      <c r="E721">
        <v>6</v>
      </c>
      <c r="F721">
        <v>26.5</v>
      </c>
    </row>
    <row r="722" spans="1:6">
      <c r="A722">
        <v>313500</v>
      </c>
      <c r="B722" t="s">
        <v>125</v>
      </c>
      <c r="D722" t="s">
        <v>1464</v>
      </c>
      <c r="E722">
        <v>10</v>
      </c>
      <c r="F722">
        <v>135</v>
      </c>
    </row>
    <row r="723" spans="1:6">
      <c r="A723">
        <v>313501</v>
      </c>
      <c r="B723" t="s">
        <v>126</v>
      </c>
      <c r="D723" t="s">
        <v>1464</v>
      </c>
      <c r="E723">
        <v>4</v>
      </c>
      <c r="F723">
        <v>35</v>
      </c>
    </row>
    <row r="724" spans="1:6">
      <c r="A724">
        <v>330788</v>
      </c>
      <c r="B724" t="s">
        <v>1551</v>
      </c>
      <c r="C724" t="s">
        <v>1108</v>
      </c>
      <c r="D724" t="s">
        <v>1464</v>
      </c>
      <c r="E724">
        <v>10</v>
      </c>
      <c r="F724">
        <v>21.95</v>
      </c>
    </row>
    <row r="725" spans="1:6">
      <c r="A725">
        <v>340008</v>
      </c>
      <c r="B725" t="s">
        <v>1552</v>
      </c>
      <c r="C725" t="s">
        <v>1108</v>
      </c>
      <c r="D725" t="s">
        <v>1464</v>
      </c>
      <c r="E725">
        <v>4</v>
      </c>
      <c r="F725">
        <v>43.6</v>
      </c>
    </row>
    <row r="726" spans="1:6">
      <c r="A726">
        <v>340009</v>
      </c>
      <c r="B726" t="s">
        <v>1553</v>
      </c>
      <c r="C726" t="s">
        <v>1108</v>
      </c>
      <c r="D726" t="s">
        <v>1464</v>
      </c>
      <c r="E726">
        <v>4</v>
      </c>
      <c r="F726">
        <v>31.05</v>
      </c>
    </row>
    <row r="727" spans="1:6">
      <c r="A727">
        <v>342511</v>
      </c>
      <c r="B727" t="s">
        <v>1554</v>
      </c>
      <c r="C727" t="s">
        <v>1721</v>
      </c>
      <c r="D727" t="s">
        <v>1464</v>
      </c>
      <c r="E727">
        <v>1</v>
      </c>
      <c r="F727">
        <v>89</v>
      </c>
    </row>
    <row r="728" spans="1:6">
      <c r="A728">
        <v>342512</v>
      </c>
      <c r="B728" t="s">
        <v>1555</v>
      </c>
      <c r="C728" t="s">
        <v>1108</v>
      </c>
      <c r="D728" t="s">
        <v>1464</v>
      </c>
      <c r="E728">
        <v>1</v>
      </c>
      <c r="F728">
        <v>39.4</v>
      </c>
    </row>
    <row r="729" spans="1:6">
      <c r="A729">
        <v>342513</v>
      </c>
      <c r="B729" t="s">
        <v>1556</v>
      </c>
      <c r="C729" t="s">
        <v>1721</v>
      </c>
      <c r="D729" t="s">
        <v>1464</v>
      </c>
      <c r="E729">
        <v>1</v>
      </c>
      <c r="F729">
        <v>99</v>
      </c>
    </row>
    <row r="730" spans="1:6">
      <c r="A730">
        <v>342514</v>
      </c>
      <c r="B730" t="s">
        <v>1557</v>
      </c>
      <c r="C730" t="s">
        <v>1721</v>
      </c>
      <c r="D730" t="s">
        <v>1464</v>
      </c>
      <c r="E730">
        <v>1</v>
      </c>
      <c r="F730">
        <v>49.25</v>
      </c>
    </row>
    <row r="731" spans="1:6">
      <c r="A731">
        <v>342515</v>
      </c>
      <c r="B731" t="s">
        <v>1558</v>
      </c>
      <c r="C731" t="s">
        <v>1721</v>
      </c>
      <c r="D731" t="s">
        <v>1464</v>
      </c>
      <c r="E731">
        <v>1</v>
      </c>
      <c r="F731">
        <v>147</v>
      </c>
    </row>
    <row r="732" spans="1:6">
      <c r="A732">
        <v>342516</v>
      </c>
      <c r="B732" t="s">
        <v>1559</v>
      </c>
      <c r="C732" t="s">
        <v>1721</v>
      </c>
      <c r="D732" t="s">
        <v>1464</v>
      </c>
      <c r="E732">
        <v>1</v>
      </c>
      <c r="F732">
        <v>72</v>
      </c>
    </row>
    <row r="733" spans="1:6">
      <c r="A733">
        <v>342710</v>
      </c>
      <c r="B733" t="s">
        <v>1590</v>
      </c>
      <c r="C733" t="s">
        <v>1108</v>
      </c>
      <c r="D733" t="s">
        <v>1464</v>
      </c>
      <c r="E733">
        <v>15</v>
      </c>
      <c r="F733">
        <v>5.0999999999999996</v>
      </c>
    </row>
    <row r="734" spans="1:6">
      <c r="A734">
        <v>342711</v>
      </c>
      <c r="B734" t="s">
        <v>1591</v>
      </c>
      <c r="C734" t="s">
        <v>1108</v>
      </c>
      <c r="D734" t="s">
        <v>1464</v>
      </c>
      <c r="E734">
        <v>15</v>
      </c>
      <c r="F734">
        <v>7.45</v>
      </c>
    </row>
    <row r="735" spans="1:6">
      <c r="A735">
        <v>342712</v>
      </c>
      <c r="B735" t="s">
        <v>127</v>
      </c>
      <c r="C735" t="s">
        <v>1463</v>
      </c>
      <c r="D735" t="s">
        <v>1464</v>
      </c>
      <c r="E735">
        <v>6</v>
      </c>
      <c r="F735">
        <v>15.8</v>
      </c>
    </row>
    <row r="736" spans="1:6">
      <c r="A736">
        <v>342713</v>
      </c>
      <c r="B736" t="s">
        <v>1592</v>
      </c>
      <c r="C736" t="s">
        <v>1108</v>
      </c>
      <c r="D736" t="s">
        <v>1464</v>
      </c>
      <c r="E736">
        <v>6</v>
      </c>
      <c r="F736">
        <v>13.2</v>
      </c>
    </row>
    <row r="737" spans="1:6">
      <c r="A737">
        <v>342714</v>
      </c>
      <c r="B737" t="s">
        <v>128</v>
      </c>
      <c r="C737" t="s">
        <v>1108</v>
      </c>
      <c r="D737" t="s">
        <v>1464</v>
      </c>
      <c r="E737">
        <v>6</v>
      </c>
      <c r="F737">
        <v>21.95</v>
      </c>
    </row>
    <row r="738" spans="1:6">
      <c r="A738">
        <v>342715</v>
      </c>
      <c r="B738" t="s">
        <v>1593</v>
      </c>
      <c r="C738" t="s">
        <v>1721</v>
      </c>
      <c r="D738" t="s">
        <v>1464</v>
      </c>
      <c r="E738">
        <v>8</v>
      </c>
      <c r="F738">
        <v>11.95</v>
      </c>
    </row>
    <row r="739" spans="1:6">
      <c r="A739">
        <v>342716</v>
      </c>
      <c r="B739" t="s">
        <v>1594</v>
      </c>
      <c r="C739" t="s">
        <v>1108</v>
      </c>
      <c r="D739" t="s">
        <v>1464</v>
      </c>
      <c r="E739">
        <v>3</v>
      </c>
      <c r="F739">
        <v>11.2</v>
      </c>
    </row>
    <row r="740" spans="1:6">
      <c r="A740">
        <v>342717</v>
      </c>
      <c r="B740" t="s">
        <v>1595</v>
      </c>
      <c r="C740" t="s">
        <v>1721</v>
      </c>
      <c r="D740" t="s">
        <v>1464</v>
      </c>
      <c r="E740">
        <v>6</v>
      </c>
      <c r="F740">
        <v>15.9</v>
      </c>
    </row>
    <row r="741" spans="1:6">
      <c r="A741">
        <v>342718</v>
      </c>
      <c r="B741" t="s">
        <v>1596</v>
      </c>
      <c r="C741" t="s">
        <v>1108</v>
      </c>
      <c r="D741" t="s">
        <v>1464</v>
      </c>
      <c r="E741">
        <v>6</v>
      </c>
      <c r="F741">
        <v>14.35</v>
      </c>
    </row>
    <row r="742" spans="1:6">
      <c r="A742">
        <v>342719</v>
      </c>
      <c r="B742" t="s">
        <v>1597</v>
      </c>
      <c r="C742" t="s">
        <v>1721</v>
      </c>
      <c r="D742" t="s">
        <v>1464</v>
      </c>
      <c r="E742">
        <v>6</v>
      </c>
      <c r="F742">
        <v>23.65</v>
      </c>
    </row>
    <row r="743" spans="1:6">
      <c r="A743">
        <v>342729</v>
      </c>
      <c r="B743" t="s">
        <v>1598</v>
      </c>
      <c r="C743" t="s">
        <v>1108</v>
      </c>
      <c r="D743" t="s">
        <v>1464</v>
      </c>
      <c r="E743">
        <v>50</v>
      </c>
      <c r="F743">
        <v>3.95</v>
      </c>
    </row>
    <row r="744" spans="1:6">
      <c r="A744">
        <v>342730</v>
      </c>
      <c r="B744" t="s">
        <v>1599</v>
      </c>
      <c r="C744" t="s">
        <v>1108</v>
      </c>
      <c r="D744" t="s">
        <v>1464</v>
      </c>
      <c r="E744">
        <v>50</v>
      </c>
      <c r="F744">
        <v>8.5</v>
      </c>
    </row>
    <row r="745" spans="1:6">
      <c r="A745">
        <v>342732</v>
      </c>
      <c r="B745" t="s">
        <v>1600</v>
      </c>
      <c r="C745" t="s">
        <v>1721</v>
      </c>
      <c r="D745" t="s">
        <v>1464</v>
      </c>
      <c r="E745">
        <v>6</v>
      </c>
      <c r="F745">
        <v>30.25</v>
      </c>
    </row>
    <row r="746" spans="1:6">
      <c r="A746">
        <v>342733</v>
      </c>
      <c r="B746" t="s">
        <v>497</v>
      </c>
      <c r="C746" t="s">
        <v>1721</v>
      </c>
      <c r="D746" t="s">
        <v>1464</v>
      </c>
      <c r="E746">
        <v>6</v>
      </c>
      <c r="F746">
        <v>39.950000000000003</v>
      </c>
    </row>
    <row r="747" spans="1:6">
      <c r="A747">
        <v>342735</v>
      </c>
      <c r="B747" t="s">
        <v>129</v>
      </c>
      <c r="C747" t="s">
        <v>1108</v>
      </c>
      <c r="D747" t="s">
        <v>1464</v>
      </c>
      <c r="E747">
        <v>16</v>
      </c>
      <c r="F747">
        <v>55.3</v>
      </c>
    </row>
    <row r="748" spans="1:6">
      <c r="A748">
        <v>342736</v>
      </c>
      <c r="B748" t="s">
        <v>130</v>
      </c>
      <c r="C748" t="s">
        <v>1108</v>
      </c>
      <c r="D748" t="s">
        <v>1464</v>
      </c>
      <c r="E748">
        <v>15</v>
      </c>
      <c r="F748">
        <v>70.5</v>
      </c>
    </row>
    <row r="749" spans="1:6">
      <c r="A749">
        <v>342737</v>
      </c>
      <c r="B749" t="s">
        <v>129</v>
      </c>
      <c r="C749" t="s">
        <v>1108</v>
      </c>
      <c r="D749" t="s">
        <v>1464</v>
      </c>
      <c r="E749">
        <v>16</v>
      </c>
      <c r="F749">
        <v>59.3</v>
      </c>
    </row>
    <row r="750" spans="1:6">
      <c r="A750">
        <v>342738</v>
      </c>
      <c r="B750" t="s">
        <v>131</v>
      </c>
      <c r="C750" t="s">
        <v>1463</v>
      </c>
      <c r="D750" t="s">
        <v>1464</v>
      </c>
      <c r="E750">
        <v>12</v>
      </c>
      <c r="F750">
        <v>74.7</v>
      </c>
    </row>
    <row r="751" spans="1:6">
      <c r="A751">
        <v>342739</v>
      </c>
      <c r="B751" t="s">
        <v>132</v>
      </c>
      <c r="C751" t="s">
        <v>1108</v>
      </c>
      <c r="D751" t="s">
        <v>1464</v>
      </c>
      <c r="E751">
        <v>1</v>
      </c>
      <c r="F751">
        <v>22.95</v>
      </c>
    </row>
    <row r="752" spans="1:6">
      <c r="A752">
        <v>342740</v>
      </c>
      <c r="B752" t="s">
        <v>133</v>
      </c>
      <c r="C752" t="s">
        <v>1463</v>
      </c>
      <c r="D752" t="s">
        <v>1464</v>
      </c>
      <c r="E752">
        <v>1</v>
      </c>
      <c r="F752">
        <v>38.25</v>
      </c>
    </row>
    <row r="753" spans="1:6">
      <c r="A753">
        <v>342741</v>
      </c>
      <c r="B753" t="s">
        <v>134</v>
      </c>
      <c r="C753" t="s">
        <v>1108</v>
      </c>
      <c r="D753" t="s">
        <v>1464</v>
      </c>
      <c r="E753">
        <v>1</v>
      </c>
      <c r="F753">
        <v>27.25</v>
      </c>
    </row>
    <row r="754" spans="1:6">
      <c r="A754">
        <v>342742</v>
      </c>
      <c r="B754" t="s">
        <v>135</v>
      </c>
      <c r="C754" t="s">
        <v>1108</v>
      </c>
      <c r="D754" t="s">
        <v>1464</v>
      </c>
      <c r="E754">
        <v>1</v>
      </c>
      <c r="F754">
        <v>37.25</v>
      </c>
    </row>
    <row r="755" spans="1:6">
      <c r="A755">
        <v>342743</v>
      </c>
      <c r="B755" t="s">
        <v>136</v>
      </c>
      <c r="C755" t="s">
        <v>1463</v>
      </c>
      <c r="D755" t="s">
        <v>1464</v>
      </c>
      <c r="E755">
        <v>1</v>
      </c>
      <c r="F755">
        <v>15.35</v>
      </c>
    </row>
    <row r="756" spans="1:6">
      <c r="A756">
        <v>342744</v>
      </c>
      <c r="B756" t="s">
        <v>137</v>
      </c>
      <c r="C756" t="s">
        <v>1463</v>
      </c>
      <c r="D756" t="s">
        <v>1464</v>
      </c>
      <c r="E756">
        <v>1</v>
      </c>
      <c r="F756">
        <v>22.1</v>
      </c>
    </row>
    <row r="757" spans="1:6">
      <c r="A757">
        <v>342745</v>
      </c>
      <c r="B757" t="s">
        <v>138</v>
      </c>
      <c r="C757" t="s">
        <v>1721</v>
      </c>
      <c r="D757" t="s">
        <v>1464</v>
      </c>
      <c r="E757">
        <v>1</v>
      </c>
      <c r="F757">
        <v>59.9</v>
      </c>
    </row>
    <row r="758" spans="1:6">
      <c r="A758">
        <v>342746</v>
      </c>
      <c r="B758" t="s">
        <v>139</v>
      </c>
      <c r="C758" t="s">
        <v>1721</v>
      </c>
      <c r="D758" t="s">
        <v>1464</v>
      </c>
      <c r="E758">
        <v>1</v>
      </c>
      <c r="F758">
        <v>64.900000000000006</v>
      </c>
    </row>
    <row r="759" spans="1:6">
      <c r="A759">
        <v>342747</v>
      </c>
      <c r="B759" t="s">
        <v>140</v>
      </c>
      <c r="C759" t="s">
        <v>1108</v>
      </c>
      <c r="D759" t="s">
        <v>1464</v>
      </c>
      <c r="E759">
        <v>1</v>
      </c>
      <c r="F759">
        <v>29.9</v>
      </c>
    </row>
    <row r="760" spans="1:6">
      <c r="A760">
        <v>342748</v>
      </c>
      <c r="B760" t="s">
        <v>141</v>
      </c>
      <c r="C760" t="s">
        <v>1108</v>
      </c>
      <c r="D760" t="s">
        <v>1464</v>
      </c>
      <c r="E760">
        <v>16</v>
      </c>
      <c r="F760">
        <v>59.2</v>
      </c>
    </row>
    <row r="761" spans="1:6">
      <c r="A761">
        <v>342749</v>
      </c>
      <c r="B761" t="s">
        <v>142</v>
      </c>
      <c r="C761" t="s">
        <v>1108</v>
      </c>
      <c r="D761" t="s">
        <v>1464</v>
      </c>
      <c r="E761">
        <v>15</v>
      </c>
      <c r="F761">
        <v>73.400000000000006</v>
      </c>
    </row>
    <row r="762" spans="1:6">
      <c r="A762">
        <v>342750</v>
      </c>
      <c r="B762" t="s">
        <v>143</v>
      </c>
      <c r="C762" t="s">
        <v>1108</v>
      </c>
      <c r="D762" t="s">
        <v>1464</v>
      </c>
      <c r="E762">
        <v>16</v>
      </c>
      <c r="F762">
        <v>60.2</v>
      </c>
    </row>
    <row r="763" spans="1:6">
      <c r="A763">
        <v>342751</v>
      </c>
      <c r="B763" t="s">
        <v>144</v>
      </c>
      <c r="C763" t="s">
        <v>1108</v>
      </c>
      <c r="D763" t="s">
        <v>1464</v>
      </c>
      <c r="E763">
        <v>12</v>
      </c>
      <c r="F763">
        <v>76.5</v>
      </c>
    </row>
    <row r="764" spans="1:6">
      <c r="A764">
        <v>342752</v>
      </c>
      <c r="B764" t="s">
        <v>145</v>
      </c>
      <c r="C764" t="s">
        <v>1463</v>
      </c>
      <c r="D764" t="s">
        <v>1464</v>
      </c>
      <c r="E764">
        <v>1</v>
      </c>
      <c r="F764">
        <v>24.4</v>
      </c>
    </row>
    <row r="765" spans="1:6">
      <c r="A765">
        <v>342753</v>
      </c>
      <c r="B765" t="s">
        <v>146</v>
      </c>
      <c r="C765" t="s">
        <v>1108</v>
      </c>
      <c r="D765" t="s">
        <v>1464</v>
      </c>
      <c r="E765">
        <v>1</v>
      </c>
      <c r="F765">
        <v>34.299999999999997</v>
      </c>
    </row>
    <row r="766" spans="1:6">
      <c r="A766">
        <v>342754</v>
      </c>
      <c r="B766" t="s">
        <v>147</v>
      </c>
      <c r="C766" t="s">
        <v>1108</v>
      </c>
      <c r="D766" t="s">
        <v>1464</v>
      </c>
      <c r="E766">
        <v>1</v>
      </c>
      <c r="F766">
        <v>29.25</v>
      </c>
    </row>
    <row r="767" spans="1:6">
      <c r="A767">
        <v>342755</v>
      </c>
      <c r="B767" t="s">
        <v>148</v>
      </c>
      <c r="C767" t="s">
        <v>1108</v>
      </c>
      <c r="D767" t="s">
        <v>1464</v>
      </c>
      <c r="E767">
        <v>1</v>
      </c>
      <c r="F767">
        <v>44.2</v>
      </c>
    </row>
    <row r="768" spans="1:6">
      <c r="A768">
        <v>342756</v>
      </c>
      <c r="B768" t="s">
        <v>149</v>
      </c>
      <c r="C768" t="s">
        <v>1463</v>
      </c>
      <c r="D768" t="s">
        <v>1464</v>
      </c>
      <c r="E768">
        <v>1</v>
      </c>
      <c r="F768">
        <v>16.350000000000001</v>
      </c>
    </row>
    <row r="769" spans="1:6">
      <c r="A769">
        <v>342757</v>
      </c>
      <c r="B769" t="s">
        <v>150</v>
      </c>
      <c r="C769" t="s">
        <v>1108</v>
      </c>
      <c r="D769" t="s">
        <v>1464</v>
      </c>
      <c r="E769">
        <v>1</v>
      </c>
      <c r="F769">
        <v>22.95</v>
      </c>
    </row>
    <row r="770" spans="1:6">
      <c r="A770">
        <v>342758</v>
      </c>
      <c r="B770" t="s">
        <v>151</v>
      </c>
      <c r="C770" t="s">
        <v>1108</v>
      </c>
      <c r="D770" t="s">
        <v>1464</v>
      </c>
      <c r="E770">
        <v>1</v>
      </c>
      <c r="F770">
        <v>29.9</v>
      </c>
    </row>
    <row r="771" spans="1:6">
      <c r="A771">
        <v>342759</v>
      </c>
      <c r="B771" t="s">
        <v>152</v>
      </c>
      <c r="C771" t="s">
        <v>1721</v>
      </c>
      <c r="D771" t="s">
        <v>1464</v>
      </c>
      <c r="E771">
        <v>1</v>
      </c>
      <c r="F771">
        <v>61.9</v>
      </c>
    </row>
    <row r="772" spans="1:6">
      <c r="A772">
        <v>342760</v>
      </c>
      <c r="B772" t="s">
        <v>153</v>
      </c>
      <c r="C772" t="s">
        <v>1721</v>
      </c>
      <c r="D772" t="s">
        <v>1464</v>
      </c>
      <c r="E772">
        <v>1</v>
      </c>
      <c r="F772">
        <v>66.900000000000006</v>
      </c>
    </row>
    <row r="773" spans="1:6">
      <c r="A773">
        <v>342761</v>
      </c>
      <c r="B773" t="s">
        <v>154</v>
      </c>
      <c r="C773" t="s">
        <v>1108</v>
      </c>
      <c r="D773" t="s">
        <v>1464</v>
      </c>
      <c r="E773">
        <v>1</v>
      </c>
      <c r="F773">
        <v>29.9</v>
      </c>
    </row>
    <row r="774" spans="1:6">
      <c r="A774">
        <v>342762</v>
      </c>
      <c r="B774" t="s">
        <v>155</v>
      </c>
      <c r="C774" t="s">
        <v>1721</v>
      </c>
      <c r="D774" t="s">
        <v>1464</v>
      </c>
      <c r="E774">
        <v>1</v>
      </c>
      <c r="F774">
        <v>31.9</v>
      </c>
    </row>
    <row r="775" spans="1:6">
      <c r="A775">
        <v>342763</v>
      </c>
      <c r="B775" t="s">
        <v>156</v>
      </c>
      <c r="C775" t="s">
        <v>1108</v>
      </c>
      <c r="D775" t="s">
        <v>1464</v>
      </c>
      <c r="E775">
        <v>1</v>
      </c>
      <c r="F775">
        <v>32.9</v>
      </c>
    </row>
    <row r="776" spans="1:6">
      <c r="A776">
        <v>342764</v>
      </c>
      <c r="B776" t="s">
        <v>157</v>
      </c>
      <c r="C776" t="s">
        <v>1721</v>
      </c>
      <c r="D776" t="s">
        <v>1464</v>
      </c>
      <c r="E776">
        <v>1</v>
      </c>
      <c r="F776">
        <v>34.9</v>
      </c>
    </row>
    <row r="777" spans="1:6">
      <c r="A777">
        <v>342765</v>
      </c>
      <c r="B777" t="s">
        <v>158</v>
      </c>
      <c r="C777" t="s">
        <v>1721</v>
      </c>
      <c r="D777" t="s">
        <v>1464</v>
      </c>
      <c r="E777">
        <v>1</v>
      </c>
      <c r="F777">
        <v>42.9</v>
      </c>
    </row>
    <row r="778" spans="1:6">
      <c r="A778">
        <v>342766</v>
      </c>
      <c r="B778" t="s">
        <v>159</v>
      </c>
      <c r="C778" t="s">
        <v>1721</v>
      </c>
      <c r="D778" t="s">
        <v>1464</v>
      </c>
      <c r="E778">
        <v>1</v>
      </c>
      <c r="F778">
        <v>44.9</v>
      </c>
    </row>
    <row r="779" spans="1:6">
      <c r="A779">
        <v>342767</v>
      </c>
      <c r="B779" t="s">
        <v>160</v>
      </c>
      <c r="C779" t="s">
        <v>1108</v>
      </c>
      <c r="D779" t="s">
        <v>1464</v>
      </c>
      <c r="E779">
        <v>1</v>
      </c>
      <c r="F779">
        <v>12.25</v>
      </c>
    </row>
    <row r="780" spans="1:6">
      <c r="A780">
        <v>342768</v>
      </c>
      <c r="B780" t="s">
        <v>161</v>
      </c>
      <c r="C780" t="s">
        <v>1108</v>
      </c>
      <c r="D780" t="s">
        <v>1464</v>
      </c>
      <c r="E780">
        <v>1</v>
      </c>
      <c r="F780">
        <v>13.25</v>
      </c>
    </row>
    <row r="781" spans="1:6">
      <c r="A781">
        <v>342769</v>
      </c>
      <c r="B781" t="s">
        <v>1677</v>
      </c>
      <c r="C781" t="s">
        <v>1463</v>
      </c>
      <c r="D781" t="s">
        <v>1464</v>
      </c>
      <c r="E781">
        <v>25</v>
      </c>
      <c r="F781">
        <v>3.96</v>
      </c>
    </row>
    <row r="782" spans="1:6">
      <c r="A782">
        <v>342770</v>
      </c>
      <c r="B782" t="s">
        <v>1678</v>
      </c>
      <c r="C782" t="s">
        <v>1108</v>
      </c>
      <c r="D782" t="s">
        <v>1464</v>
      </c>
      <c r="E782">
        <v>25</v>
      </c>
      <c r="F782">
        <v>3.68</v>
      </c>
    </row>
    <row r="783" spans="1:6">
      <c r="A783">
        <v>342771</v>
      </c>
      <c r="B783" t="s">
        <v>1679</v>
      </c>
      <c r="C783" t="s">
        <v>1467</v>
      </c>
      <c r="D783" t="s">
        <v>1464</v>
      </c>
      <c r="E783">
        <v>30</v>
      </c>
      <c r="F783">
        <v>4.55</v>
      </c>
    </row>
    <row r="784" spans="1:6">
      <c r="A784">
        <v>343076</v>
      </c>
      <c r="B784" t="s">
        <v>758</v>
      </c>
      <c r="D784" t="s">
        <v>1464</v>
      </c>
      <c r="E784">
        <v>1</v>
      </c>
      <c r="F784">
        <v>9999</v>
      </c>
    </row>
    <row r="785" spans="1:6">
      <c r="A785">
        <v>343077</v>
      </c>
      <c r="B785" t="s">
        <v>759</v>
      </c>
      <c r="D785" t="s">
        <v>1464</v>
      </c>
      <c r="E785">
        <v>1</v>
      </c>
      <c r="F785">
        <v>9999</v>
      </c>
    </row>
    <row r="786" spans="1:6">
      <c r="A786">
        <v>343078</v>
      </c>
      <c r="B786" t="s">
        <v>760</v>
      </c>
      <c r="D786" t="s">
        <v>1464</v>
      </c>
      <c r="E786">
        <v>1</v>
      </c>
      <c r="F786">
        <v>9999</v>
      </c>
    </row>
    <row r="787" spans="1:6">
      <c r="A787">
        <v>343242</v>
      </c>
      <c r="B787" t="s">
        <v>761</v>
      </c>
      <c r="D787" t="s">
        <v>1464</v>
      </c>
      <c r="E787">
        <v>40</v>
      </c>
      <c r="F787">
        <v>4.5</v>
      </c>
    </row>
    <row r="788" spans="1:6">
      <c r="A788">
        <v>343248</v>
      </c>
      <c r="B788" t="s">
        <v>339</v>
      </c>
      <c r="C788" t="s">
        <v>1108</v>
      </c>
      <c r="D788" t="s">
        <v>1464</v>
      </c>
      <c r="E788">
        <v>1</v>
      </c>
      <c r="F788">
        <v>22</v>
      </c>
    </row>
    <row r="789" spans="1:6">
      <c r="A789">
        <v>343249</v>
      </c>
      <c r="B789" t="s">
        <v>340</v>
      </c>
      <c r="C789" t="s">
        <v>1108</v>
      </c>
      <c r="D789" t="s">
        <v>1464</v>
      </c>
      <c r="E789">
        <v>1</v>
      </c>
      <c r="F789">
        <v>22</v>
      </c>
    </row>
    <row r="790" spans="1:6">
      <c r="A790">
        <v>343332</v>
      </c>
      <c r="B790" t="s">
        <v>762</v>
      </c>
      <c r="D790" t="s">
        <v>1464</v>
      </c>
      <c r="E790">
        <v>1</v>
      </c>
      <c r="F790">
        <v>9999</v>
      </c>
    </row>
    <row r="791" spans="1:6">
      <c r="A791">
        <v>343347</v>
      </c>
      <c r="B791" t="s">
        <v>763</v>
      </c>
      <c r="D791" t="s">
        <v>1464</v>
      </c>
      <c r="E791">
        <v>4</v>
      </c>
      <c r="F791">
        <v>259</v>
      </c>
    </row>
    <row r="792" spans="1:6">
      <c r="A792">
        <v>343392</v>
      </c>
      <c r="B792" t="s">
        <v>1560</v>
      </c>
      <c r="C792" t="s">
        <v>1721</v>
      </c>
      <c r="D792" t="s">
        <v>1464</v>
      </c>
      <c r="E792">
        <v>18</v>
      </c>
      <c r="F792">
        <v>79</v>
      </c>
    </row>
    <row r="793" spans="1:6">
      <c r="A793">
        <v>343393</v>
      </c>
      <c r="B793" t="s">
        <v>1561</v>
      </c>
      <c r="C793" t="s">
        <v>1721</v>
      </c>
      <c r="D793" t="s">
        <v>1464</v>
      </c>
      <c r="E793">
        <v>14</v>
      </c>
      <c r="F793">
        <v>95</v>
      </c>
    </row>
    <row r="794" spans="1:6">
      <c r="A794">
        <v>343410</v>
      </c>
      <c r="B794" t="s">
        <v>1562</v>
      </c>
      <c r="C794" t="s">
        <v>1108</v>
      </c>
      <c r="D794" t="s">
        <v>1464</v>
      </c>
      <c r="E794">
        <v>20</v>
      </c>
      <c r="F794">
        <v>93</v>
      </c>
    </row>
    <row r="795" spans="1:6">
      <c r="A795">
        <v>343411</v>
      </c>
      <c r="B795" t="s">
        <v>1563</v>
      </c>
      <c r="C795" s="18" t="s">
        <v>210</v>
      </c>
      <c r="D795" t="s">
        <v>1464</v>
      </c>
      <c r="E795">
        <v>110</v>
      </c>
      <c r="F795">
        <v>4.2</v>
      </c>
    </row>
    <row r="796" spans="1:6">
      <c r="A796">
        <v>343416</v>
      </c>
      <c r="B796" t="s">
        <v>1813</v>
      </c>
      <c r="C796" s="18" t="s">
        <v>210</v>
      </c>
      <c r="D796" t="s">
        <v>1464</v>
      </c>
      <c r="E796">
        <v>100</v>
      </c>
      <c r="F796">
        <v>8.9499999999999993</v>
      </c>
    </row>
    <row r="797" spans="1:6">
      <c r="A797">
        <v>343417</v>
      </c>
      <c r="B797" t="s">
        <v>1814</v>
      </c>
      <c r="C797" s="18" t="s">
        <v>210</v>
      </c>
      <c r="D797" t="s">
        <v>1464</v>
      </c>
      <c r="E797">
        <v>50</v>
      </c>
      <c r="F797">
        <v>8.6</v>
      </c>
    </row>
    <row r="798" spans="1:6">
      <c r="A798">
        <v>343419</v>
      </c>
      <c r="B798" t="s">
        <v>1816</v>
      </c>
      <c r="C798" s="18" t="s">
        <v>210</v>
      </c>
      <c r="D798" t="s">
        <v>1464</v>
      </c>
      <c r="E798">
        <v>50</v>
      </c>
      <c r="F798">
        <v>6.95</v>
      </c>
    </row>
    <row r="799" spans="1:6">
      <c r="A799">
        <v>343420</v>
      </c>
      <c r="B799" t="s">
        <v>1817</v>
      </c>
      <c r="C799" s="18" t="s">
        <v>210</v>
      </c>
      <c r="D799" t="s">
        <v>1464</v>
      </c>
      <c r="E799">
        <v>6</v>
      </c>
      <c r="F799">
        <v>34</v>
      </c>
    </row>
    <row r="800" spans="1:6">
      <c r="A800">
        <v>343421</v>
      </c>
      <c r="B800" t="s">
        <v>764</v>
      </c>
      <c r="C800" s="18" t="s">
        <v>210</v>
      </c>
      <c r="D800" t="s">
        <v>1464</v>
      </c>
      <c r="E800">
        <v>6</v>
      </c>
      <c r="F800">
        <v>41.2</v>
      </c>
    </row>
    <row r="801" spans="1:6">
      <c r="A801">
        <v>343424</v>
      </c>
      <c r="B801" t="s">
        <v>1819</v>
      </c>
      <c r="C801" t="s">
        <v>1721</v>
      </c>
      <c r="D801" t="s">
        <v>1464</v>
      </c>
      <c r="E801">
        <v>10</v>
      </c>
      <c r="F801">
        <v>5.6</v>
      </c>
    </row>
    <row r="802" spans="1:6">
      <c r="A802">
        <v>343425</v>
      </c>
      <c r="B802" t="s">
        <v>1820</v>
      </c>
      <c r="C802" t="s">
        <v>1463</v>
      </c>
      <c r="D802" t="s">
        <v>1464</v>
      </c>
      <c r="E802">
        <v>24</v>
      </c>
      <c r="F802">
        <v>9.9499999999999993</v>
      </c>
    </row>
    <row r="803" spans="1:6">
      <c r="A803">
        <v>343426</v>
      </c>
      <c r="B803" t="s">
        <v>1821</v>
      </c>
      <c r="C803" s="18" t="s">
        <v>210</v>
      </c>
      <c r="D803" t="s">
        <v>1464</v>
      </c>
      <c r="E803">
        <v>6</v>
      </c>
      <c r="F803">
        <v>41.2</v>
      </c>
    </row>
    <row r="804" spans="1:6">
      <c r="A804">
        <v>343457</v>
      </c>
      <c r="B804" t="s">
        <v>1822</v>
      </c>
      <c r="C804" s="18" t="s">
        <v>210</v>
      </c>
      <c r="D804" t="s">
        <v>1464</v>
      </c>
      <c r="E804">
        <v>6</v>
      </c>
      <c r="F804">
        <v>40.5</v>
      </c>
    </row>
    <row r="805" spans="1:6">
      <c r="A805">
        <v>343480</v>
      </c>
      <c r="B805" t="s">
        <v>1823</v>
      </c>
      <c r="C805" s="18" t="s">
        <v>210</v>
      </c>
      <c r="D805" t="s">
        <v>1464</v>
      </c>
      <c r="E805">
        <v>40</v>
      </c>
      <c r="F805">
        <v>11.5</v>
      </c>
    </row>
    <row r="806" spans="1:6">
      <c r="A806">
        <v>343605</v>
      </c>
      <c r="B806" t="s">
        <v>1071</v>
      </c>
      <c r="D806" t="s">
        <v>1464</v>
      </c>
      <c r="E806">
        <v>1</v>
      </c>
      <c r="F806">
        <v>119</v>
      </c>
    </row>
    <row r="807" spans="1:6">
      <c r="A807">
        <v>343606</v>
      </c>
      <c r="B807" t="s">
        <v>1826</v>
      </c>
      <c r="C807" s="18" t="s">
        <v>210</v>
      </c>
      <c r="D807" t="s">
        <v>1464</v>
      </c>
      <c r="E807">
        <v>25</v>
      </c>
      <c r="F807">
        <v>6.95</v>
      </c>
    </row>
    <row r="808" spans="1:6">
      <c r="A808">
        <v>343607</v>
      </c>
      <c r="B808" t="s">
        <v>1480</v>
      </c>
      <c r="C808" s="18" t="s">
        <v>210</v>
      </c>
      <c r="D808" t="s">
        <v>1464</v>
      </c>
      <c r="E808">
        <v>20</v>
      </c>
      <c r="F808">
        <v>6.55</v>
      </c>
    </row>
    <row r="809" spans="1:6">
      <c r="A809">
        <v>343608</v>
      </c>
      <c r="B809" t="s">
        <v>1481</v>
      </c>
      <c r="C809" s="18" t="s">
        <v>210</v>
      </c>
      <c r="D809" t="s">
        <v>1464</v>
      </c>
      <c r="E809">
        <v>10</v>
      </c>
      <c r="F809">
        <v>8.5500000000000007</v>
      </c>
    </row>
    <row r="810" spans="1:6">
      <c r="A810">
        <v>343609</v>
      </c>
      <c r="B810" t="s">
        <v>313</v>
      </c>
      <c r="C810" t="s">
        <v>1721</v>
      </c>
      <c r="D810" t="s">
        <v>1464</v>
      </c>
      <c r="E810">
        <v>5</v>
      </c>
      <c r="F810">
        <v>12.9</v>
      </c>
    </row>
    <row r="811" spans="1:6">
      <c r="A811">
        <v>343610</v>
      </c>
      <c r="B811" t="s">
        <v>240</v>
      </c>
      <c r="D811" t="s">
        <v>1464</v>
      </c>
      <c r="E811">
        <v>60</v>
      </c>
      <c r="F811">
        <v>7</v>
      </c>
    </row>
    <row r="812" spans="1:6">
      <c r="A812">
        <v>343680</v>
      </c>
      <c r="B812" t="s">
        <v>1827</v>
      </c>
      <c r="C812" s="18" t="s">
        <v>210</v>
      </c>
      <c r="D812" t="s">
        <v>1464</v>
      </c>
      <c r="E812">
        <v>6</v>
      </c>
      <c r="F812">
        <v>41.2</v>
      </c>
    </row>
    <row r="813" spans="1:6">
      <c r="A813">
        <v>343685</v>
      </c>
      <c r="B813" t="s">
        <v>1779</v>
      </c>
      <c r="C813" s="18" t="s">
        <v>210</v>
      </c>
      <c r="D813" t="s">
        <v>1464</v>
      </c>
      <c r="E813">
        <v>6</v>
      </c>
      <c r="F813">
        <v>41.2</v>
      </c>
    </row>
    <row r="814" spans="1:6">
      <c r="A814">
        <v>343686</v>
      </c>
      <c r="B814" t="s">
        <v>1780</v>
      </c>
      <c r="C814" s="18" t="s">
        <v>210</v>
      </c>
      <c r="D814" t="s">
        <v>1464</v>
      </c>
      <c r="E814">
        <v>6</v>
      </c>
      <c r="F814">
        <v>41.2</v>
      </c>
    </row>
    <row r="815" spans="1:6">
      <c r="A815">
        <v>343689</v>
      </c>
      <c r="B815" t="s">
        <v>1939</v>
      </c>
      <c r="C815" s="18" t="s">
        <v>210</v>
      </c>
      <c r="D815" t="s">
        <v>1464</v>
      </c>
      <c r="E815">
        <v>6</v>
      </c>
      <c r="F815">
        <v>41.2</v>
      </c>
    </row>
    <row r="816" spans="1:6">
      <c r="A816">
        <v>343690</v>
      </c>
      <c r="B816" t="s">
        <v>1940</v>
      </c>
      <c r="C816" s="18" t="s">
        <v>210</v>
      </c>
      <c r="D816" t="s">
        <v>1464</v>
      </c>
      <c r="E816">
        <v>6</v>
      </c>
      <c r="F816">
        <v>41.2</v>
      </c>
    </row>
    <row r="817" spans="1:6">
      <c r="A817">
        <v>343691</v>
      </c>
      <c r="B817" t="s">
        <v>637</v>
      </c>
      <c r="C817" s="18" t="s">
        <v>210</v>
      </c>
      <c r="D817" t="s">
        <v>1464</v>
      </c>
      <c r="E817">
        <v>6</v>
      </c>
      <c r="F817">
        <v>41.2</v>
      </c>
    </row>
    <row r="818" spans="1:6">
      <c r="A818">
        <v>343692</v>
      </c>
      <c r="B818" t="s">
        <v>638</v>
      </c>
      <c r="C818" s="18" t="s">
        <v>210</v>
      </c>
      <c r="D818" t="s">
        <v>1464</v>
      </c>
      <c r="E818">
        <v>6</v>
      </c>
      <c r="F818">
        <v>35.5</v>
      </c>
    </row>
    <row r="819" spans="1:6">
      <c r="A819">
        <v>343694</v>
      </c>
      <c r="B819" t="s">
        <v>765</v>
      </c>
      <c r="C819" s="18" t="s">
        <v>210</v>
      </c>
      <c r="D819" t="s">
        <v>1464</v>
      </c>
      <c r="E819">
        <v>6</v>
      </c>
      <c r="F819">
        <v>35</v>
      </c>
    </row>
    <row r="820" spans="1:6">
      <c r="A820">
        <v>343763</v>
      </c>
      <c r="B820" t="s">
        <v>242</v>
      </c>
      <c r="C820" s="18" t="s">
        <v>210</v>
      </c>
      <c r="D820" t="s">
        <v>1464</v>
      </c>
      <c r="E820">
        <v>1</v>
      </c>
      <c r="F820">
        <v>34.9</v>
      </c>
    </row>
    <row r="821" spans="1:6">
      <c r="A821">
        <v>343764</v>
      </c>
      <c r="B821" t="s">
        <v>243</v>
      </c>
      <c r="C821" s="18" t="s">
        <v>210</v>
      </c>
      <c r="D821" t="s">
        <v>1464</v>
      </c>
      <c r="E821">
        <v>1</v>
      </c>
      <c r="F821">
        <v>54.9</v>
      </c>
    </row>
    <row r="822" spans="1:6">
      <c r="A822">
        <v>343775</v>
      </c>
      <c r="B822" t="s">
        <v>766</v>
      </c>
      <c r="D822" t="s">
        <v>1464</v>
      </c>
      <c r="E822">
        <v>1</v>
      </c>
      <c r="F822">
        <v>9999</v>
      </c>
    </row>
    <row r="823" spans="1:6">
      <c r="A823">
        <v>343805</v>
      </c>
      <c r="B823" t="s">
        <v>767</v>
      </c>
      <c r="C823" t="s">
        <v>1721</v>
      </c>
      <c r="D823" t="s">
        <v>1464</v>
      </c>
      <c r="E823">
        <v>1</v>
      </c>
      <c r="F823">
        <v>165</v>
      </c>
    </row>
    <row r="824" spans="1:6">
      <c r="A824">
        <v>343806</v>
      </c>
      <c r="B824" t="s">
        <v>768</v>
      </c>
      <c r="C824" t="s">
        <v>1721</v>
      </c>
      <c r="D824" t="s">
        <v>1464</v>
      </c>
      <c r="E824">
        <v>1</v>
      </c>
      <c r="F824">
        <v>229</v>
      </c>
    </row>
    <row r="825" spans="1:6">
      <c r="A825">
        <v>343807</v>
      </c>
      <c r="B825" t="s">
        <v>769</v>
      </c>
      <c r="C825" t="s">
        <v>1721</v>
      </c>
      <c r="D825" t="s">
        <v>1464</v>
      </c>
      <c r="E825">
        <v>1</v>
      </c>
      <c r="F825">
        <v>110</v>
      </c>
    </row>
    <row r="826" spans="1:6">
      <c r="A826">
        <v>343854</v>
      </c>
      <c r="B826" t="s">
        <v>466</v>
      </c>
      <c r="C826" s="18" t="s">
        <v>210</v>
      </c>
      <c r="D826" t="s">
        <v>1464</v>
      </c>
      <c r="E826">
        <v>18</v>
      </c>
      <c r="F826">
        <v>15.9</v>
      </c>
    </row>
    <row r="827" spans="1:6">
      <c r="A827">
        <v>343855</v>
      </c>
      <c r="B827" t="s">
        <v>1482</v>
      </c>
      <c r="C827" s="18" t="s">
        <v>210</v>
      </c>
      <c r="D827" t="s">
        <v>1464</v>
      </c>
      <c r="E827">
        <v>10</v>
      </c>
      <c r="F827">
        <v>17.100000000000001</v>
      </c>
    </row>
    <row r="828" spans="1:6">
      <c r="A828">
        <v>343860</v>
      </c>
      <c r="B828" t="s">
        <v>1650</v>
      </c>
      <c r="C828" s="18" t="s">
        <v>210</v>
      </c>
      <c r="D828" t="s">
        <v>1464</v>
      </c>
      <c r="E828">
        <v>50</v>
      </c>
      <c r="F828">
        <v>2.5</v>
      </c>
    </row>
    <row r="829" spans="1:6">
      <c r="A829">
        <v>343862</v>
      </c>
      <c r="B829" t="s">
        <v>1652</v>
      </c>
      <c r="C829" s="18" t="s">
        <v>210</v>
      </c>
      <c r="D829" t="s">
        <v>1464</v>
      </c>
      <c r="E829">
        <v>25</v>
      </c>
      <c r="F829">
        <v>2.99</v>
      </c>
    </row>
    <row r="830" spans="1:6">
      <c r="A830">
        <v>343863</v>
      </c>
      <c r="B830" t="s">
        <v>1653</v>
      </c>
      <c r="C830" s="18" t="s">
        <v>210</v>
      </c>
      <c r="D830" t="s">
        <v>1464</v>
      </c>
      <c r="E830">
        <v>20</v>
      </c>
      <c r="F830">
        <v>3.99</v>
      </c>
    </row>
    <row r="831" spans="1:6">
      <c r="A831">
        <v>343867</v>
      </c>
      <c r="B831" t="s">
        <v>1656</v>
      </c>
      <c r="C831" s="18" t="s">
        <v>210</v>
      </c>
      <c r="D831" t="s">
        <v>1464</v>
      </c>
      <c r="E831">
        <v>1</v>
      </c>
      <c r="F831">
        <v>38.200000000000003</v>
      </c>
    </row>
    <row r="832" spans="1:6">
      <c r="A832">
        <v>343868</v>
      </c>
      <c r="B832" t="s">
        <v>1657</v>
      </c>
      <c r="C832" s="18" t="s">
        <v>210</v>
      </c>
      <c r="D832" t="s">
        <v>1464</v>
      </c>
      <c r="E832">
        <v>1</v>
      </c>
      <c r="F832">
        <v>30</v>
      </c>
    </row>
    <row r="833" spans="1:6">
      <c r="A833">
        <v>343869</v>
      </c>
      <c r="B833" t="s">
        <v>244</v>
      </c>
      <c r="C833" s="18" t="s">
        <v>210</v>
      </c>
      <c r="D833" t="s">
        <v>1464</v>
      </c>
      <c r="E833">
        <v>1</v>
      </c>
      <c r="F833">
        <v>60.5</v>
      </c>
    </row>
    <row r="834" spans="1:6">
      <c r="A834">
        <v>343872</v>
      </c>
      <c r="B834" t="s">
        <v>1658</v>
      </c>
      <c r="C834" s="18" t="s">
        <v>210</v>
      </c>
      <c r="D834" t="s">
        <v>1464</v>
      </c>
      <c r="E834">
        <v>1</v>
      </c>
      <c r="F834">
        <v>177</v>
      </c>
    </row>
    <row r="835" spans="1:6">
      <c r="A835">
        <v>343873</v>
      </c>
      <c r="B835" t="s">
        <v>1659</v>
      </c>
      <c r="C835" s="18" t="s">
        <v>210</v>
      </c>
      <c r="D835" t="s">
        <v>1464</v>
      </c>
      <c r="E835">
        <v>1</v>
      </c>
      <c r="F835">
        <v>177</v>
      </c>
    </row>
    <row r="836" spans="1:6">
      <c r="A836">
        <v>343879</v>
      </c>
      <c r="B836" t="s">
        <v>1663</v>
      </c>
      <c r="C836" s="18" t="s">
        <v>210</v>
      </c>
      <c r="D836" t="s">
        <v>1464</v>
      </c>
      <c r="E836">
        <v>16</v>
      </c>
      <c r="F836">
        <v>41.9</v>
      </c>
    </row>
    <row r="837" spans="1:6">
      <c r="A837">
        <v>343880</v>
      </c>
      <c r="B837" t="s">
        <v>1941</v>
      </c>
      <c r="C837" s="18" t="s">
        <v>210</v>
      </c>
      <c r="D837" t="s">
        <v>1464</v>
      </c>
      <c r="E837">
        <v>1</v>
      </c>
      <c r="F837">
        <v>207</v>
      </c>
    </row>
    <row r="838" spans="1:6">
      <c r="A838">
        <v>343881</v>
      </c>
      <c r="B838" t="s">
        <v>1942</v>
      </c>
      <c r="C838" s="18" t="s">
        <v>210</v>
      </c>
      <c r="D838" t="s">
        <v>1464</v>
      </c>
      <c r="E838">
        <v>1</v>
      </c>
      <c r="F838">
        <v>207</v>
      </c>
    </row>
    <row r="839" spans="1:6">
      <c r="A839">
        <v>343882</v>
      </c>
      <c r="B839" t="s">
        <v>1085</v>
      </c>
      <c r="C839" s="18" t="s">
        <v>210</v>
      </c>
      <c r="D839" t="s">
        <v>1464</v>
      </c>
      <c r="E839">
        <v>1</v>
      </c>
      <c r="F839">
        <v>136</v>
      </c>
    </row>
    <row r="840" spans="1:6">
      <c r="A840">
        <v>343883</v>
      </c>
      <c r="B840" t="s">
        <v>1086</v>
      </c>
      <c r="C840" s="18" t="s">
        <v>210</v>
      </c>
      <c r="D840" t="s">
        <v>1464</v>
      </c>
      <c r="E840">
        <v>1</v>
      </c>
      <c r="F840">
        <v>156</v>
      </c>
    </row>
    <row r="841" spans="1:6">
      <c r="A841">
        <v>343900</v>
      </c>
      <c r="B841" t="s">
        <v>1664</v>
      </c>
      <c r="C841" s="18" t="s">
        <v>210</v>
      </c>
      <c r="D841" t="s">
        <v>1464</v>
      </c>
      <c r="E841">
        <v>28</v>
      </c>
      <c r="F841">
        <v>7.95</v>
      </c>
    </row>
    <row r="842" spans="1:6">
      <c r="A842">
        <v>343901</v>
      </c>
      <c r="B842" t="s">
        <v>1665</v>
      </c>
      <c r="C842" s="18" t="s">
        <v>210</v>
      </c>
      <c r="D842" t="s">
        <v>1464</v>
      </c>
      <c r="E842">
        <v>28</v>
      </c>
      <c r="F842">
        <v>9.9499999999999993</v>
      </c>
    </row>
    <row r="843" spans="1:6">
      <c r="A843">
        <v>343910</v>
      </c>
      <c r="B843" t="s">
        <v>469</v>
      </c>
      <c r="C843" t="s">
        <v>1108</v>
      </c>
      <c r="D843" t="s">
        <v>1464</v>
      </c>
      <c r="E843">
        <v>20</v>
      </c>
      <c r="F843">
        <v>2</v>
      </c>
    </row>
    <row r="844" spans="1:6">
      <c r="A844">
        <v>343911</v>
      </c>
      <c r="B844" t="s">
        <v>1483</v>
      </c>
      <c r="C844" t="s">
        <v>1108</v>
      </c>
      <c r="D844" t="s">
        <v>1464</v>
      </c>
      <c r="E844">
        <v>20</v>
      </c>
      <c r="F844">
        <v>2.95</v>
      </c>
    </row>
    <row r="845" spans="1:6">
      <c r="A845">
        <v>343912</v>
      </c>
      <c r="B845" t="s">
        <v>1484</v>
      </c>
      <c r="C845" t="s">
        <v>1721</v>
      </c>
      <c r="D845" t="s">
        <v>1464</v>
      </c>
      <c r="E845">
        <v>24</v>
      </c>
      <c r="F845">
        <v>8</v>
      </c>
    </row>
    <row r="846" spans="1:6">
      <c r="A846">
        <v>343913</v>
      </c>
      <c r="B846" t="s">
        <v>1485</v>
      </c>
      <c r="C846" t="s">
        <v>1721</v>
      </c>
      <c r="D846" t="s">
        <v>1464</v>
      </c>
      <c r="E846">
        <v>24</v>
      </c>
      <c r="F846">
        <v>10</v>
      </c>
    </row>
    <row r="847" spans="1:6">
      <c r="A847">
        <v>343914</v>
      </c>
      <c r="B847" t="s">
        <v>1486</v>
      </c>
      <c r="C847" t="s">
        <v>1108</v>
      </c>
      <c r="D847" t="s">
        <v>1464</v>
      </c>
      <c r="E847">
        <v>36</v>
      </c>
      <c r="F847">
        <v>3.5</v>
      </c>
    </row>
    <row r="848" spans="1:6">
      <c r="A848">
        <v>343915</v>
      </c>
      <c r="B848" t="s">
        <v>1969</v>
      </c>
      <c r="C848" t="s">
        <v>1721</v>
      </c>
      <c r="D848" t="s">
        <v>1464</v>
      </c>
      <c r="E848">
        <v>8</v>
      </c>
      <c r="F848">
        <v>12.9</v>
      </c>
    </row>
    <row r="849" spans="1:6">
      <c r="A849">
        <v>343916</v>
      </c>
      <c r="B849" t="s">
        <v>1970</v>
      </c>
      <c r="C849" t="s">
        <v>1721</v>
      </c>
      <c r="D849" t="s">
        <v>1464</v>
      </c>
      <c r="E849">
        <v>6</v>
      </c>
      <c r="F849">
        <v>14.9</v>
      </c>
    </row>
    <row r="850" spans="1:6">
      <c r="A850">
        <v>343917</v>
      </c>
      <c r="B850" t="s">
        <v>1087</v>
      </c>
      <c r="C850" t="s">
        <v>1721</v>
      </c>
      <c r="D850" t="s">
        <v>1464</v>
      </c>
      <c r="E850">
        <v>4</v>
      </c>
      <c r="F850">
        <v>15.9</v>
      </c>
    </row>
    <row r="851" spans="1:6">
      <c r="A851">
        <v>343945</v>
      </c>
      <c r="B851" t="s">
        <v>770</v>
      </c>
      <c r="D851" t="s">
        <v>1464</v>
      </c>
      <c r="E851">
        <v>1</v>
      </c>
      <c r="F851">
        <v>9999</v>
      </c>
    </row>
    <row r="852" spans="1:6">
      <c r="A852">
        <v>344054</v>
      </c>
      <c r="B852" t="s">
        <v>162</v>
      </c>
      <c r="D852" t="s">
        <v>1464</v>
      </c>
      <c r="E852">
        <v>15</v>
      </c>
      <c r="F852">
        <v>29.9</v>
      </c>
    </row>
    <row r="853" spans="1:6">
      <c r="A853">
        <v>344055</v>
      </c>
      <c r="B853" t="s">
        <v>163</v>
      </c>
      <c r="D853" t="s">
        <v>1464</v>
      </c>
      <c r="E853">
        <v>10</v>
      </c>
      <c r="F853">
        <v>39.9</v>
      </c>
    </row>
    <row r="854" spans="1:6">
      <c r="A854">
        <v>345000</v>
      </c>
      <c r="B854" t="s">
        <v>1019</v>
      </c>
      <c r="D854" t="s">
        <v>1464</v>
      </c>
      <c r="E854">
        <v>25</v>
      </c>
      <c r="F854">
        <v>3.65</v>
      </c>
    </row>
    <row r="855" spans="1:6">
      <c r="A855">
        <v>345001</v>
      </c>
      <c r="B855" t="s">
        <v>1020</v>
      </c>
      <c r="C855" t="s">
        <v>1467</v>
      </c>
      <c r="D855" t="s">
        <v>1464</v>
      </c>
      <c r="E855">
        <v>50</v>
      </c>
      <c r="F855">
        <v>3.95</v>
      </c>
    </row>
    <row r="856" spans="1:6">
      <c r="A856">
        <v>345002</v>
      </c>
      <c r="B856" t="s">
        <v>1021</v>
      </c>
      <c r="C856" t="s">
        <v>1463</v>
      </c>
      <c r="D856" t="s">
        <v>1464</v>
      </c>
      <c r="E856">
        <v>40</v>
      </c>
      <c r="F856">
        <v>4.5</v>
      </c>
    </row>
    <row r="857" spans="1:6">
      <c r="A857">
        <v>345003</v>
      </c>
      <c r="B857" t="s">
        <v>1022</v>
      </c>
      <c r="D857" t="s">
        <v>1464</v>
      </c>
      <c r="E857">
        <v>50</v>
      </c>
      <c r="F857">
        <v>3.2</v>
      </c>
    </row>
    <row r="858" spans="1:6">
      <c r="A858">
        <v>345004</v>
      </c>
      <c r="B858" t="s">
        <v>1026</v>
      </c>
      <c r="D858" t="s">
        <v>1464</v>
      </c>
      <c r="E858">
        <v>30</v>
      </c>
      <c r="F858">
        <v>3.95</v>
      </c>
    </row>
    <row r="859" spans="1:6">
      <c r="A859">
        <v>345005</v>
      </c>
      <c r="B859" t="s">
        <v>1027</v>
      </c>
      <c r="C859" t="s">
        <v>239</v>
      </c>
      <c r="D859" t="s">
        <v>1464</v>
      </c>
      <c r="E859">
        <v>30</v>
      </c>
      <c r="F859">
        <v>3.95</v>
      </c>
    </row>
    <row r="860" spans="1:6">
      <c r="A860">
        <v>345006</v>
      </c>
      <c r="B860" t="s">
        <v>1756</v>
      </c>
      <c r="D860" t="s">
        <v>1464</v>
      </c>
      <c r="E860">
        <v>25</v>
      </c>
      <c r="F860">
        <v>3.65</v>
      </c>
    </row>
    <row r="861" spans="1:6">
      <c r="A861">
        <v>345007</v>
      </c>
      <c r="B861" t="s">
        <v>1757</v>
      </c>
      <c r="C861" t="s">
        <v>1913</v>
      </c>
      <c r="D861" t="s">
        <v>1464</v>
      </c>
      <c r="E861">
        <v>30</v>
      </c>
      <c r="F861">
        <v>2.75</v>
      </c>
    </row>
    <row r="862" spans="1:6">
      <c r="A862">
        <v>345010</v>
      </c>
      <c r="B862" t="s">
        <v>1943</v>
      </c>
      <c r="C862" t="s">
        <v>1467</v>
      </c>
      <c r="D862" t="s">
        <v>1464</v>
      </c>
      <c r="E862">
        <v>25</v>
      </c>
      <c r="F862">
        <v>2.9</v>
      </c>
    </row>
    <row r="863" spans="1:6">
      <c r="A863">
        <v>345011</v>
      </c>
      <c r="B863" t="s">
        <v>1944</v>
      </c>
      <c r="D863" t="s">
        <v>1464</v>
      </c>
      <c r="E863">
        <v>25</v>
      </c>
      <c r="F863">
        <v>4.9000000000000004</v>
      </c>
    </row>
    <row r="864" spans="1:6">
      <c r="A864">
        <v>345015</v>
      </c>
      <c r="B864" t="s">
        <v>245</v>
      </c>
      <c r="D864" t="s">
        <v>1464</v>
      </c>
      <c r="E864">
        <v>30</v>
      </c>
      <c r="F864">
        <v>3.5</v>
      </c>
    </row>
    <row r="865" spans="1:6">
      <c r="A865">
        <v>345768</v>
      </c>
      <c r="B865" t="s">
        <v>771</v>
      </c>
      <c r="C865" t="s">
        <v>1108</v>
      </c>
      <c r="D865" t="s">
        <v>1464</v>
      </c>
      <c r="E865">
        <v>20</v>
      </c>
      <c r="F865">
        <v>11.9</v>
      </c>
    </row>
    <row r="866" spans="1:6">
      <c r="A866">
        <v>345769</v>
      </c>
      <c r="B866" t="s">
        <v>772</v>
      </c>
      <c r="C866" t="s">
        <v>1721</v>
      </c>
      <c r="D866" t="s">
        <v>1464</v>
      </c>
      <c r="E866">
        <v>20</v>
      </c>
      <c r="F866">
        <v>13.9</v>
      </c>
    </row>
    <row r="867" spans="1:6">
      <c r="A867">
        <v>345770</v>
      </c>
      <c r="B867" t="s">
        <v>1666</v>
      </c>
      <c r="C867" t="s">
        <v>1721</v>
      </c>
      <c r="D867" t="s">
        <v>1464</v>
      </c>
      <c r="E867">
        <v>20</v>
      </c>
      <c r="F867">
        <v>8.9</v>
      </c>
    </row>
    <row r="868" spans="1:6">
      <c r="A868">
        <v>345771</v>
      </c>
      <c r="B868" t="s">
        <v>1667</v>
      </c>
      <c r="C868" t="s">
        <v>1721</v>
      </c>
      <c r="D868" t="s">
        <v>1464</v>
      </c>
      <c r="E868">
        <v>20</v>
      </c>
      <c r="F868">
        <v>8.9</v>
      </c>
    </row>
    <row r="869" spans="1:6">
      <c r="A869">
        <v>345772</v>
      </c>
      <c r="B869" t="s">
        <v>1668</v>
      </c>
      <c r="C869" t="s">
        <v>1108</v>
      </c>
      <c r="D869" t="s">
        <v>1464</v>
      </c>
      <c r="E869">
        <v>20</v>
      </c>
      <c r="F869">
        <v>8.9</v>
      </c>
    </row>
    <row r="870" spans="1:6">
      <c r="A870">
        <v>345776</v>
      </c>
      <c r="B870" t="s">
        <v>1962</v>
      </c>
      <c r="C870" t="s">
        <v>1721</v>
      </c>
      <c r="D870" t="s">
        <v>1464</v>
      </c>
      <c r="E870">
        <v>20</v>
      </c>
      <c r="F870">
        <v>9.9</v>
      </c>
    </row>
    <row r="871" spans="1:6">
      <c r="A871">
        <v>345777</v>
      </c>
      <c r="B871" t="s">
        <v>1963</v>
      </c>
      <c r="C871" t="s">
        <v>1721</v>
      </c>
      <c r="D871" t="s">
        <v>1464</v>
      </c>
      <c r="E871">
        <v>20</v>
      </c>
      <c r="F871">
        <v>9.9</v>
      </c>
    </row>
    <row r="872" spans="1:6">
      <c r="A872">
        <v>345778</v>
      </c>
      <c r="B872" t="s">
        <v>1964</v>
      </c>
      <c r="C872" t="s">
        <v>1108</v>
      </c>
      <c r="D872" t="s">
        <v>1464</v>
      </c>
      <c r="E872">
        <v>20</v>
      </c>
      <c r="F872">
        <v>9.9</v>
      </c>
    </row>
    <row r="873" spans="1:6">
      <c r="A873">
        <v>345785</v>
      </c>
      <c r="B873" t="s">
        <v>246</v>
      </c>
      <c r="C873" t="s">
        <v>1108</v>
      </c>
      <c r="D873" t="s">
        <v>1464</v>
      </c>
      <c r="E873">
        <v>25</v>
      </c>
      <c r="F873">
        <v>10.95</v>
      </c>
    </row>
    <row r="874" spans="1:6">
      <c r="A874">
        <v>345786</v>
      </c>
      <c r="B874" t="s">
        <v>247</v>
      </c>
      <c r="C874" t="s">
        <v>1108</v>
      </c>
      <c r="D874" t="s">
        <v>1464</v>
      </c>
      <c r="E874">
        <v>25</v>
      </c>
      <c r="F874">
        <v>3.95</v>
      </c>
    </row>
    <row r="875" spans="1:6">
      <c r="A875">
        <v>345787</v>
      </c>
      <c r="B875" t="s">
        <v>541</v>
      </c>
      <c r="C875" t="s">
        <v>1108</v>
      </c>
      <c r="D875" t="s">
        <v>1464</v>
      </c>
      <c r="E875">
        <v>12</v>
      </c>
      <c r="F875">
        <v>18</v>
      </c>
    </row>
    <row r="876" spans="1:6">
      <c r="A876">
        <v>345794</v>
      </c>
      <c r="B876" t="s">
        <v>1088</v>
      </c>
      <c r="C876" t="s">
        <v>1108</v>
      </c>
      <c r="D876" t="s">
        <v>1464</v>
      </c>
      <c r="E876">
        <v>24</v>
      </c>
      <c r="F876">
        <v>5.9</v>
      </c>
    </row>
    <row r="877" spans="1:6">
      <c r="A877">
        <v>345880</v>
      </c>
      <c r="B877" t="s">
        <v>773</v>
      </c>
      <c r="C877" s="18" t="s">
        <v>211</v>
      </c>
      <c r="D877" t="s">
        <v>1464</v>
      </c>
      <c r="E877">
        <v>8</v>
      </c>
      <c r="F877">
        <v>47</v>
      </c>
    </row>
    <row r="878" spans="1:6">
      <c r="A878">
        <v>345887</v>
      </c>
      <c r="B878" t="s">
        <v>548</v>
      </c>
      <c r="C878" s="18"/>
      <c r="D878" t="s">
        <v>1464</v>
      </c>
      <c r="E878">
        <v>15</v>
      </c>
      <c r="F878">
        <v>96.1</v>
      </c>
    </row>
    <row r="879" spans="1:6">
      <c r="A879">
        <v>345924</v>
      </c>
      <c r="B879" t="s">
        <v>248</v>
      </c>
      <c r="C879" t="s">
        <v>1721</v>
      </c>
      <c r="D879" t="s">
        <v>1464</v>
      </c>
      <c r="E879">
        <v>20</v>
      </c>
      <c r="F879">
        <v>8.9</v>
      </c>
    </row>
    <row r="880" spans="1:6">
      <c r="A880">
        <v>345925</v>
      </c>
      <c r="B880" t="s">
        <v>249</v>
      </c>
      <c r="C880" t="s">
        <v>1721</v>
      </c>
      <c r="D880" t="s">
        <v>1464</v>
      </c>
      <c r="E880">
        <v>20</v>
      </c>
      <c r="F880">
        <v>8.9</v>
      </c>
    </row>
    <row r="881" spans="1:6">
      <c r="A881">
        <v>345926</v>
      </c>
      <c r="B881" t="s">
        <v>250</v>
      </c>
      <c r="C881" t="s">
        <v>1108</v>
      </c>
      <c r="D881" t="s">
        <v>1464</v>
      </c>
      <c r="E881">
        <v>20</v>
      </c>
      <c r="F881">
        <v>8.9</v>
      </c>
    </row>
    <row r="882" spans="1:6">
      <c r="A882">
        <v>345927</v>
      </c>
      <c r="B882" t="s">
        <v>774</v>
      </c>
      <c r="D882" t="s">
        <v>1464</v>
      </c>
      <c r="E882">
        <v>35</v>
      </c>
      <c r="F882">
        <v>9.9499999999999993</v>
      </c>
    </row>
    <row r="883" spans="1:6">
      <c r="A883">
        <v>345928</v>
      </c>
      <c r="B883" t="s">
        <v>775</v>
      </c>
      <c r="D883" t="s">
        <v>1464</v>
      </c>
      <c r="E883">
        <v>50</v>
      </c>
      <c r="F883">
        <v>3.95</v>
      </c>
    </row>
    <row r="884" spans="1:6">
      <c r="A884">
        <v>345930</v>
      </c>
      <c r="B884" t="s">
        <v>776</v>
      </c>
      <c r="C884" s="18" t="s">
        <v>211</v>
      </c>
      <c r="D884" t="s">
        <v>1464</v>
      </c>
      <c r="E884">
        <v>4</v>
      </c>
      <c r="F884">
        <v>70</v>
      </c>
    </row>
    <row r="885" spans="1:6">
      <c r="A885">
        <v>345990</v>
      </c>
      <c r="B885" t="s">
        <v>1419</v>
      </c>
      <c r="C885" t="s">
        <v>1721</v>
      </c>
      <c r="D885" t="s">
        <v>1464</v>
      </c>
      <c r="E885">
        <v>2</v>
      </c>
      <c r="F885">
        <v>28.9</v>
      </c>
    </row>
    <row r="886" spans="1:6">
      <c r="A886">
        <v>345991</v>
      </c>
      <c r="B886" t="s">
        <v>1420</v>
      </c>
      <c r="C886" t="s">
        <v>1721</v>
      </c>
      <c r="D886" t="s">
        <v>1464</v>
      </c>
      <c r="E886">
        <v>2</v>
      </c>
      <c r="F886">
        <v>38.9</v>
      </c>
    </row>
    <row r="887" spans="1:6">
      <c r="A887">
        <v>345995</v>
      </c>
      <c r="B887" t="s">
        <v>1422</v>
      </c>
      <c r="C887" t="s">
        <v>1721</v>
      </c>
      <c r="D887" t="s">
        <v>1464</v>
      </c>
      <c r="E887">
        <v>2</v>
      </c>
      <c r="F887">
        <v>28.9</v>
      </c>
    </row>
    <row r="888" spans="1:6">
      <c r="A888">
        <v>345996</v>
      </c>
      <c r="B888" t="s">
        <v>1423</v>
      </c>
      <c r="C888" t="s">
        <v>1721</v>
      </c>
      <c r="D888" t="s">
        <v>1464</v>
      </c>
      <c r="E888">
        <v>2</v>
      </c>
      <c r="F888">
        <v>38.9</v>
      </c>
    </row>
    <row r="889" spans="1:6">
      <c r="A889">
        <v>345997</v>
      </c>
      <c r="B889" t="s">
        <v>1424</v>
      </c>
      <c r="C889" t="s">
        <v>1721</v>
      </c>
      <c r="D889" t="s">
        <v>1464</v>
      </c>
      <c r="E889">
        <v>2</v>
      </c>
      <c r="F889">
        <v>28.9</v>
      </c>
    </row>
    <row r="890" spans="1:6">
      <c r="A890">
        <v>345998</v>
      </c>
      <c r="B890" t="s">
        <v>1425</v>
      </c>
      <c r="C890" t="s">
        <v>1721</v>
      </c>
      <c r="D890" t="s">
        <v>1464</v>
      </c>
      <c r="E890">
        <v>2</v>
      </c>
      <c r="F890">
        <v>38.9</v>
      </c>
    </row>
    <row r="891" spans="1:6">
      <c r="A891">
        <v>345999</v>
      </c>
      <c r="B891" t="s">
        <v>251</v>
      </c>
      <c r="C891" t="s">
        <v>1721</v>
      </c>
      <c r="D891" t="s">
        <v>1464</v>
      </c>
      <c r="E891">
        <v>2</v>
      </c>
      <c r="F891">
        <v>28.9</v>
      </c>
    </row>
    <row r="892" spans="1:6">
      <c r="A892">
        <v>346000</v>
      </c>
      <c r="B892" t="s">
        <v>252</v>
      </c>
      <c r="C892" t="s">
        <v>1721</v>
      </c>
      <c r="D892" t="s">
        <v>1464</v>
      </c>
      <c r="E892">
        <v>2</v>
      </c>
      <c r="F892">
        <v>38.9</v>
      </c>
    </row>
    <row r="893" spans="1:6">
      <c r="A893">
        <v>346010</v>
      </c>
      <c r="B893" t="s">
        <v>253</v>
      </c>
      <c r="C893" t="s">
        <v>1721</v>
      </c>
      <c r="D893" t="s">
        <v>1464</v>
      </c>
      <c r="E893">
        <v>2</v>
      </c>
      <c r="F893">
        <v>28.9</v>
      </c>
    </row>
    <row r="894" spans="1:6">
      <c r="A894">
        <v>346011</v>
      </c>
      <c r="B894" t="s">
        <v>254</v>
      </c>
      <c r="C894" t="s">
        <v>1721</v>
      </c>
      <c r="D894" t="s">
        <v>1464</v>
      </c>
      <c r="E894">
        <v>2</v>
      </c>
      <c r="F894">
        <v>38.9</v>
      </c>
    </row>
    <row r="895" spans="1:6">
      <c r="A895">
        <v>346035</v>
      </c>
      <c r="B895" t="s">
        <v>777</v>
      </c>
      <c r="D895" t="s">
        <v>1464</v>
      </c>
      <c r="E895">
        <v>24</v>
      </c>
      <c r="F895">
        <v>42.9</v>
      </c>
    </row>
    <row r="896" spans="1:6">
      <c r="A896">
        <v>346051</v>
      </c>
      <c r="B896" t="s">
        <v>255</v>
      </c>
      <c r="C896" t="s">
        <v>1108</v>
      </c>
      <c r="D896" t="s">
        <v>1464</v>
      </c>
      <c r="E896">
        <v>10</v>
      </c>
      <c r="F896">
        <v>149</v>
      </c>
    </row>
    <row r="897" spans="1:6">
      <c r="A897">
        <v>346052</v>
      </c>
      <c r="B897" t="s">
        <v>778</v>
      </c>
      <c r="D897" t="s">
        <v>1464</v>
      </c>
      <c r="E897">
        <v>12</v>
      </c>
      <c r="F897">
        <v>119</v>
      </c>
    </row>
    <row r="898" spans="1:6">
      <c r="A898">
        <v>346099</v>
      </c>
      <c r="B898" t="s">
        <v>1945</v>
      </c>
      <c r="C898" t="s">
        <v>1108</v>
      </c>
      <c r="D898" t="s">
        <v>1464</v>
      </c>
      <c r="E898">
        <v>15</v>
      </c>
      <c r="F898">
        <v>99</v>
      </c>
    </row>
    <row r="899" spans="1:6">
      <c r="A899">
        <v>346107</v>
      </c>
      <c r="B899" t="s">
        <v>779</v>
      </c>
      <c r="D899" t="s">
        <v>1464</v>
      </c>
      <c r="E899">
        <v>10</v>
      </c>
      <c r="F899">
        <v>74.900000000000006</v>
      </c>
    </row>
    <row r="900" spans="1:6">
      <c r="A900">
        <v>346130</v>
      </c>
      <c r="B900" t="s">
        <v>256</v>
      </c>
      <c r="C900" t="s">
        <v>1721</v>
      </c>
      <c r="D900" t="s">
        <v>1464</v>
      </c>
      <c r="E900">
        <v>10</v>
      </c>
      <c r="F900">
        <v>59</v>
      </c>
    </row>
    <row r="901" spans="1:6">
      <c r="A901">
        <v>346176</v>
      </c>
      <c r="B901" t="s">
        <v>780</v>
      </c>
      <c r="D901" t="s">
        <v>1464</v>
      </c>
      <c r="E901">
        <v>10</v>
      </c>
      <c r="F901">
        <v>7</v>
      </c>
    </row>
    <row r="902" spans="1:6">
      <c r="A902">
        <v>346177</v>
      </c>
      <c r="B902" t="s">
        <v>781</v>
      </c>
      <c r="D902" t="s">
        <v>1464</v>
      </c>
      <c r="E902">
        <v>10</v>
      </c>
      <c r="F902">
        <v>4.99</v>
      </c>
    </row>
    <row r="903" spans="1:6">
      <c r="A903">
        <v>346200</v>
      </c>
      <c r="B903" t="s">
        <v>782</v>
      </c>
      <c r="D903" t="s">
        <v>1464</v>
      </c>
      <c r="E903">
        <v>10</v>
      </c>
      <c r="F903">
        <v>6.9</v>
      </c>
    </row>
    <row r="904" spans="1:6">
      <c r="A904">
        <v>346201</v>
      </c>
      <c r="B904" t="s">
        <v>783</v>
      </c>
      <c r="D904" t="s">
        <v>1464</v>
      </c>
      <c r="E904">
        <v>10</v>
      </c>
      <c r="F904">
        <v>14.9</v>
      </c>
    </row>
    <row r="905" spans="1:6">
      <c r="A905">
        <v>346304</v>
      </c>
      <c r="B905" t="s">
        <v>257</v>
      </c>
      <c r="C905" t="s">
        <v>1721</v>
      </c>
      <c r="D905" t="s">
        <v>1464</v>
      </c>
      <c r="E905">
        <v>1</v>
      </c>
      <c r="F905">
        <v>17.5</v>
      </c>
    </row>
    <row r="906" spans="1:6">
      <c r="A906">
        <v>346305</v>
      </c>
      <c r="B906" t="s">
        <v>258</v>
      </c>
      <c r="C906" t="s">
        <v>1463</v>
      </c>
      <c r="D906" t="s">
        <v>1464</v>
      </c>
      <c r="E906">
        <v>1</v>
      </c>
      <c r="F906">
        <v>17</v>
      </c>
    </row>
    <row r="907" spans="1:6">
      <c r="A907">
        <v>346306</v>
      </c>
      <c r="B907" t="s">
        <v>259</v>
      </c>
      <c r="C907" t="s">
        <v>1108</v>
      </c>
      <c r="D907" t="s">
        <v>1464</v>
      </c>
      <c r="E907">
        <v>1</v>
      </c>
      <c r="F907">
        <v>35.5</v>
      </c>
    </row>
    <row r="908" spans="1:6">
      <c r="A908">
        <v>346307</v>
      </c>
      <c r="B908" t="s">
        <v>260</v>
      </c>
      <c r="C908" t="s">
        <v>1721</v>
      </c>
      <c r="D908" t="s">
        <v>1464</v>
      </c>
      <c r="E908">
        <v>1</v>
      </c>
      <c r="F908">
        <v>52.5</v>
      </c>
    </row>
    <row r="909" spans="1:6">
      <c r="A909">
        <v>346308</v>
      </c>
      <c r="B909" t="s">
        <v>261</v>
      </c>
      <c r="C909" t="s">
        <v>1721</v>
      </c>
      <c r="D909" t="s">
        <v>1464</v>
      </c>
      <c r="E909">
        <v>1</v>
      </c>
      <c r="F909">
        <v>66</v>
      </c>
    </row>
    <row r="910" spans="1:6">
      <c r="A910">
        <v>346309</v>
      </c>
      <c r="B910" t="s">
        <v>262</v>
      </c>
      <c r="C910" t="s">
        <v>1463</v>
      </c>
      <c r="D910" t="s">
        <v>1464</v>
      </c>
      <c r="E910">
        <v>1</v>
      </c>
      <c r="F910">
        <v>21</v>
      </c>
    </row>
    <row r="911" spans="1:6">
      <c r="A911">
        <v>346310</v>
      </c>
      <c r="B911" t="s">
        <v>263</v>
      </c>
      <c r="C911" t="s">
        <v>1721</v>
      </c>
      <c r="D911" t="s">
        <v>1464</v>
      </c>
      <c r="E911">
        <v>1</v>
      </c>
      <c r="F911">
        <v>8.3000000000000007</v>
      </c>
    </row>
    <row r="912" spans="1:6">
      <c r="A912">
        <v>346311</v>
      </c>
      <c r="B912" t="s">
        <v>264</v>
      </c>
      <c r="C912" t="s">
        <v>1463</v>
      </c>
      <c r="D912" t="s">
        <v>1464</v>
      </c>
      <c r="E912">
        <v>1</v>
      </c>
      <c r="F912">
        <v>15</v>
      </c>
    </row>
    <row r="913" spans="1:6">
      <c r="A913">
        <v>346312</v>
      </c>
      <c r="B913" t="s">
        <v>639</v>
      </c>
      <c r="D913" t="s">
        <v>1464</v>
      </c>
      <c r="E913">
        <v>1</v>
      </c>
      <c r="F913">
        <v>14</v>
      </c>
    </row>
    <row r="914" spans="1:6">
      <c r="A914">
        <v>346330</v>
      </c>
      <c r="B914" t="s">
        <v>265</v>
      </c>
      <c r="C914" t="s">
        <v>1463</v>
      </c>
      <c r="D914" t="s">
        <v>1464</v>
      </c>
      <c r="E914">
        <v>5</v>
      </c>
      <c r="F914">
        <v>17</v>
      </c>
    </row>
    <row r="915" spans="1:6">
      <c r="A915">
        <v>346331</v>
      </c>
      <c r="B915" t="s">
        <v>266</v>
      </c>
      <c r="C915" t="s">
        <v>1108</v>
      </c>
      <c r="D915" t="s">
        <v>1464</v>
      </c>
      <c r="E915">
        <v>3</v>
      </c>
      <c r="F915">
        <v>29</v>
      </c>
    </row>
    <row r="916" spans="1:6">
      <c r="A916">
        <v>346332</v>
      </c>
      <c r="B916" t="s">
        <v>267</v>
      </c>
      <c r="C916" t="s">
        <v>1463</v>
      </c>
      <c r="D916" t="s">
        <v>1464</v>
      </c>
      <c r="E916">
        <v>5</v>
      </c>
      <c r="F916">
        <v>30</v>
      </c>
    </row>
    <row r="917" spans="1:6">
      <c r="A917">
        <v>346333</v>
      </c>
      <c r="B917" t="s">
        <v>268</v>
      </c>
      <c r="C917" t="s">
        <v>1108</v>
      </c>
      <c r="D917" t="s">
        <v>1464</v>
      </c>
      <c r="E917">
        <v>3</v>
      </c>
      <c r="F917">
        <v>34</v>
      </c>
    </row>
    <row r="918" spans="1:6">
      <c r="A918">
        <v>346334</v>
      </c>
      <c r="B918" t="s">
        <v>269</v>
      </c>
      <c r="C918" t="s">
        <v>1108</v>
      </c>
      <c r="D918" t="s">
        <v>1464</v>
      </c>
      <c r="E918">
        <v>2</v>
      </c>
      <c r="F918">
        <v>23.5</v>
      </c>
    </row>
    <row r="919" spans="1:6">
      <c r="A919">
        <v>346335</v>
      </c>
      <c r="B919" t="s">
        <v>270</v>
      </c>
      <c r="C919" t="s">
        <v>1721</v>
      </c>
      <c r="D919" t="s">
        <v>1464</v>
      </c>
      <c r="E919">
        <v>2</v>
      </c>
      <c r="F919">
        <v>35</v>
      </c>
    </row>
    <row r="920" spans="1:6">
      <c r="A920">
        <v>346336</v>
      </c>
      <c r="B920" t="s">
        <v>271</v>
      </c>
      <c r="C920" t="s">
        <v>1721</v>
      </c>
      <c r="D920" t="s">
        <v>1464</v>
      </c>
      <c r="E920">
        <v>1</v>
      </c>
      <c r="F920">
        <v>41.5</v>
      </c>
    </row>
    <row r="921" spans="1:6">
      <c r="A921">
        <v>346337</v>
      </c>
      <c r="B921" t="s">
        <v>272</v>
      </c>
      <c r="C921" t="s">
        <v>1721</v>
      </c>
      <c r="D921" t="s">
        <v>1464</v>
      </c>
      <c r="E921">
        <v>2</v>
      </c>
      <c r="F921">
        <v>19</v>
      </c>
    </row>
    <row r="922" spans="1:6">
      <c r="A922">
        <v>346338</v>
      </c>
      <c r="B922" t="s">
        <v>273</v>
      </c>
      <c r="C922" t="s">
        <v>1108</v>
      </c>
      <c r="D922" t="s">
        <v>1464</v>
      </c>
      <c r="E922">
        <v>2</v>
      </c>
      <c r="F922">
        <v>23</v>
      </c>
    </row>
    <row r="923" spans="1:6">
      <c r="A923">
        <v>346339</v>
      </c>
      <c r="B923" t="s">
        <v>274</v>
      </c>
      <c r="C923" t="s">
        <v>1721</v>
      </c>
      <c r="D923" t="s">
        <v>1464</v>
      </c>
      <c r="E923">
        <v>1</v>
      </c>
      <c r="F923">
        <v>26.5</v>
      </c>
    </row>
    <row r="924" spans="1:6">
      <c r="A924">
        <v>346340</v>
      </c>
      <c r="B924" t="s">
        <v>275</v>
      </c>
      <c r="C924" t="s">
        <v>1721</v>
      </c>
      <c r="D924" t="s">
        <v>1464</v>
      </c>
      <c r="E924">
        <v>1</v>
      </c>
      <c r="F924">
        <v>53.5</v>
      </c>
    </row>
    <row r="925" spans="1:6">
      <c r="A925">
        <v>346341</v>
      </c>
      <c r="B925" t="s">
        <v>276</v>
      </c>
      <c r="C925" t="s">
        <v>1721</v>
      </c>
      <c r="D925" t="s">
        <v>1464</v>
      </c>
      <c r="E925">
        <v>3</v>
      </c>
      <c r="F925">
        <v>16</v>
      </c>
    </row>
    <row r="926" spans="1:6">
      <c r="A926">
        <v>346342</v>
      </c>
      <c r="B926" t="s">
        <v>277</v>
      </c>
      <c r="D926" t="s">
        <v>1464</v>
      </c>
      <c r="E926">
        <v>1</v>
      </c>
      <c r="F926">
        <v>57.5</v>
      </c>
    </row>
    <row r="927" spans="1:6">
      <c r="A927">
        <v>346343</v>
      </c>
      <c r="B927" t="s">
        <v>278</v>
      </c>
      <c r="C927" t="s">
        <v>1721</v>
      </c>
      <c r="D927" t="s">
        <v>1464</v>
      </c>
      <c r="E927">
        <v>1</v>
      </c>
      <c r="F927">
        <v>15</v>
      </c>
    </row>
    <row r="928" spans="1:6">
      <c r="A928">
        <v>346344</v>
      </c>
      <c r="B928" t="s">
        <v>279</v>
      </c>
      <c r="C928" t="s">
        <v>1721</v>
      </c>
      <c r="D928" t="s">
        <v>1464</v>
      </c>
      <c r="E928">
        <v>1</v>
      </c>
      <c r="F928">
        <v>8.3000000000000007</v>
      </c>
    </row>
    <row r="929" spans="1:6">
      <c r="A929">
        <v>346345</v>
      </c>
      <c r="B929" t="s">
        <v>280</v>
      </c>
      <c r="C929" t="s">
        <v>1108</v>
      </c>
      <c r="D929" t="s">
        <v>1464</v>
      </c>
      <c r="E929">
        <v>6</v>
      </c>
      <c r="F929">
        <v>23.5</v>
      </c>
    </row>
    <row r="930" spans="1:6">
      <c r="A930">
        <v>346400</v>
      </c>
      <c r="B930" t="s">
        <v>2020</v>
      </c>
      <c r="C930" t="s">
        <v>1463</v>
      </c>
      <c r="D930" t="s">
        <v>1464</v>
      </c>
      <c r="E930">
        <v>5</v>
      </c>
      <c r="F930">
        <v>18</v>
      </c>
    </row>
    <row r="931" spans="1:6">
      <c r="A931">
        <v>346401</v>
      </c>
      <c r="B931" t="s">
        <v>2021</v>
      </c>
      <c r="C931" t="s">
        <v>1108</v>
      </c>
      <c r="D931" t="s">
        <v>1464</v>
      </c>
      <c r="E931">
        <v>5</v>
      </c>
      <c r="F931">
        <v>24</v>
      </c>
    </row>
    <row r="932" spans="1:6">
      <c r="A932">
        <v>346402</v>
      </c>
      <c r="B932" t="s">
        <v>2022</v>
      </c>
      <c r="C932" t="s">
        <v>1108</v>
      </c>
      <c r="D932" t="s">
        <v>1464</v>
      </c>
      <c r="E932">
        <v>5</v>
      </c>
      <c r="F932">
        <v>25.5</v>
      </c>
    </row>
    <row r="933" spans="1:6">
      <c r="A933">
        <v>346403</v>
      </c>
      <c r="B933" t="s">
        <v>2023</v>
      </c>
      <c r="C933" t="s">
        <v>1108</v>
      </c>
      <c r="D933" t="s">
        <v>1464</v>
      </c>
      <c r="E933">
        <v>5</v>
      </c>
      <c r="F933">
        <v>31</v>
      </c>
    </row>
    <row r="934" spans="1:6">
      <c r="A934">
        <v>346404</v>
      </c>
      <c r="B934" t="s">
        <v>2024</v>
      </c>
      <c r="C934" t="s">
        <v>1108</v>
      </c>
      <c r="D934" t="s">
        <v>1464</v>
      </c>
      <c r="E934">
        <v>5</v>
      </c>
      <c r="F934">
        <v>20</v>
      </c>
    </row>
    <row r="935" spans="1:6">
      <c r="A935">
        <v>346405</v>
      </c>
      <c r="B935" t="s">
        <v>2025</v>
      </c>
      <c r="C935" t="s">
        <v>1108</v>
      </c>
      <c r="D935" t="s">
        <v>1464</v>
      </c>
      <c r="E935">
        <v>2</v>
      </c>
      <c r="F935">
        <v>33.5</v>
      </c>
    </row>
    <row r="936" spans="1:6">
      <c r="A936">
        <v>346406</v>
      </c>
      <c r="B936" t="s">
        <v>2026</v>
      </c>
      <c r="C936" t="s">
        <v>1721</v>
      </c>
      <c r="D936" t="s">
        <v>1464</v>
      </c>
      <c r="E936">
        <v>2</v>
      </c>
      <c r="F936">
        <v>43</v>
      </c>
    </row>
    <row r="937" spans="1:6">
      <c r="A937">
        <v>346407</v>
      </c>
      <c r="B937" t="s">
        <v>2027</v>
      </c>
      <c r="C937" t="s">
        <v>1463</v>
      </c>
      <c r="D937" t="s">
        <v>1464</v>
      </c>
      <c r="E937">
        <v>2</v>
      </c>
      <c r="F937">
        <v>21.5</v>
      </c>
    </row>
    <row r="938" spans="1:6">
      <c r="A938">
        <v>346408</v>
      </c>
      <c r="B938" t="s">
        <v>2028</v>
      </c>
      <c r="C938" t="s">
        <v>1463</v>
      </c>
      <c r="D938" t="s">
        <v>1464</v>
      </c>
      <c r="E938">
        <v>2</v>
      </c>
      <c r="F938">
        <v>25.5</v>
      </c>
    </row>
    <row r="939" spans="1:6">
      <c r="A939">
        <v>346409</v>
      </c>
      <c r="B939" t="s">
        <v>2029</v>
      </c>
      <c r="C939" t="s">
        <v>1108</v>
      </c>
      <c r="D939" t="s">
        <v>1464</v>
      </c>
      <c r="E939">
        <v>6</v>
      </c>
      <c r="F939">
        <v>27</v>
      </c>
    </row>
    <row r="940" spans="1:6">
      <c r="A940">
        <v>346410</v>
      </c>
      <c r="B940" t="s">
        <v>2030</v>
      </c>
      <c r="C940" t="s">
        <v>1721</v>
      </c>
      <c r="D940" t="s">
        <v>1464</v>
      </c>
      <c r="E940">
        <v>1</v>
      </c>
      <c r="F940">
        <v>57.5</v>
      </c>
    </row>
    <row r="941" spans="1:6">
      <c r="A941">
        <v>346411</v>
      </c>
      <c r="B941" t="s">
        <v>2031</v>
      </c>
      <c r="C941" t="s">
        <v>1721</v>
      </c>
      <c r="D941" t="s">
        <v>1464</v>
      </c>
      <c r="E941">
        <v>5</v>
      </c>
      <c r="F941">
        <v>16.5</v>
      </c>
    </row>
    <row r="942" spans="1:6">
      <c r="A942">
        <v>346412</v>
      </c>
      <c r="B942" t="s">
        <v>1758</v>
      </c>
      <c r="C942" t="s">
        <v>1108</v>
      </c>
      <c r="D942" t="s">
        <v>1464</v>
      </c>
      <c r="E942">
        <v>1</v>
      </c>
      <c r="F942">
        <v>58.5</v>
      </c>
    </row>
    <row r="943" spans="1:6">
      <c r="A943">
        <v>346413</v>
      </c>
      <c r="B943" t="s">
        <v>2032</v>
      </c>
      <c r="C943" t="s">
        <v>1721</v>
      </c>
      <c r="D943" t="s">
        <v>1464</v>
      </c>
      <c r="E943">
        <v>9</v>
      </c>
      <c r="F943">
        <v>16</v>
      </c>
    </row>
    <row r="944" spans="1:6">
      <c r="A944">
        <v>346414</v>
      </c>
      <c r="B944" t="s">
        <v>2033</v>
      </c>
      <c r="C944" t="s">
        <v>1721</v>
      </c>
      <c r="D944" t="s">
        <v>1464</v>
      </c>
      <c r="E944">
        <v>5</v>
      </c>
      <c r="F944">
        <v>8.3000000000000007</v>
      </c>
    </row>
    <row r="945" spans="1:6">
      <c r="A945">
        <v>346415</v>
      </c>
      <c r="B945" t="s">
        <v>218</v>
      </c>
      <c r="C945" t="s">
        <v>1108</v>
      </c>
      <c r="D945" t="s">
        <v>1464</v>
      </c>
      <c r="E945">
        <v>2</v>
      </c>
      <c r="F945">
        <v>24</v>
      </c>
    </row>
    <row r="946" spans="1:6">
      <c r="A946">
        <v>346430</v>
      </c>
      <c r="B946" t="s">
        <v>2034</v>
      </c>
      <c r="C946" t="s">
        <v>1463</v>
      </c>
      <c r="D946" t="s">
        <v>1464</v>
      </c>
      <c r="E946">
        <v>5</v>
      </c>
      <c r="F946">
        <v>18</v>
      </c>
    </row>
    <row r="947" spans="1:6">
      <c r="A947">
        <v>346431</v>
      </c>
      <c r="B947" t="s">
        <v>1030</v>
      </c>
      <c r="C947" t="s">
        <v>1463</v>
      </c>
      <c r="D947" t="s">
        <v>1464</v>
      </c>
      <c r="E947">
        <v>5</v>
      </c>
      <c r="F947">
        <v>24</v>
      </c>
    </row>
    <row r="948" spans="1:6">
      <c r="A948">
        <v>346432</v>
      </c>
      <c r="B948" t="s">
        <v>1031</v>
      </c>
      <c r="C948" t="s">
        <v>1463</v>
      </c>
      <c r="D948" t="s">
        <v>1464</v>
      </c>
      <c r="E948">
        <v>5</v>
      </c>
      <c r="F948">
        <v>25.5</v>
      </c>
    </row>
    <row r="949" spans="1:6">
      <c r="A949">
        <v>346433</v>
      </c>
      <c r="B949" t="s">
        <v>1032</v>
      </c>
      <c r="C949" t="s">
        <v>1108</v>
      </c>
      <c r="D949" t="s">
        <v>1464</v>
      </c>
      <c r="E949">
        <v>5</v>
      </c>
      <c r="F949">
        <v>31</v>
      </c>
    </row>
    <row r="950" spans="1:6">
      <c r="A950">
        <v>346434</v>
      </c>
      <c r="B950" t="s">
        <v>1033</v>
      </c>
      <c r="C950" t="s">
        <v>1108</v>
      </c>
      <c r="D950" t="s">
        <v>1464</v>
      </c>
      <c r="E950">
        <v>5</v>
      </c>
      <c r="F950">
        <v>20</v>
      </c>
    </row>
    <row r="951" spans="1:6">
      <c r="A951">
        <v>346435</v>
      </c>
      <c r="B951" t="s">
        <v>1034</v>
      </c>
      <c r="C951" t="s">
        <v>1721</v>
      </c>
      <c r="D951" t="s">
        <v>1464</v>
      </c>
      <c r="E951">
        <v>2</v>
      </c>
      <c r="F951">
        <v>33.5</v>
      </c>
    </row>
    <row r="952" spans="1:6">
      <c r="A952">
        <v>346436</v>
      </c>
      <c r="B952" t="s">
        <v>1035</v>
      </c>
      <c r="C952" t="s">
        <v>1721</v>
      </c>
      <c r="D952" t="s">
        <v>1464</v>
      </c>
      <c r="E952">
        <v>2</v>
      </c>
      <c r="F952">
        <v>43</v>
      </c>
    </row>
    <row r="953" spans="1:6">
      <c r="A953">
        <v>346437</v>
      </c>
      <c r="B953" t="s">
        <v>1036</v>
      </c>
      <c r="C953" t="s">
        <v>1108</v>
      </c>
      <c r="D953" t="s">
        <v>1464</v>
      </c>
      <c r="E953">
        <v>2</v>
      </c>
      <c r="F953">
        <v>21.5</v>
      </c>
    </row>
    <row r="954" spans="1:6">
      <c r="A954">
        <v>346438</v>
      </c>
      <c r="B954" t="s">
        <v>1037</v>
      </c>
      <c r="C954" t="s">
        <v>1108</v>
      </c>
      <c r="D954" t="s">
        <v>1464</v>
      </c>
      <c r="E954">
        <v>4</v>
      </c>
      <c r="F954">
        <v>25.5</v>
      </c>
    </row>
    <row r="955" spans="1:6">
      <c r="A955">
        <v>346439</v>
      </c>
      <c r="B955" t="s">
        <v>1038</v>
      </c>
      <c r="C955" t="s">
        <v>1108</v>
      </c>
      <c r="D955" t="s">
        <v>1464</v>
      </c>
      <c r="E955">
        <v>6</v>
      </c>
      <c r="F955">
        <v>27</v>
      </c>
    </row>
    <row r="956" spans="1:6">
      <c r="A956">
        <v>346440</v>
      </c>
      <c r="B956" t="s">
        <v>219</v>
      </c>
      <c r="C956" t="s">
        <v>1915</v>
      </c>
      <c r="D956" t="s">
        <v>1464</v>
      </c>
      <c r="E956">
        <v>50</v>
      </c>
      <c r="F956">
        <v>5</v>
      </c>
    </row>
    <row r="957" spans="1:6">
      <c r="A957">
        <v>346441</v>
      </c>
      <c r="B957" t="s">
        <v>1039</v>
      </c>
      <c r="C957" t="s">
        <v>1721</v>
      </c>
      <c r="D957" t="s">
        <v>1464</v>
      </c>
      <c r="E957">
        <v>1</v>
      </c>
      <c r="F957">
        <v>57.5</v>
      </c>
    </row>
    <row r="958" spans="1:6">
      <c r="A958">
        <v>346442</v>
      </c>
      <c r="B958" t="s">
        <v>1040</v>
      </c>
      <c r="C958" t="s">
        <v>1108</v>
      </c>
      <c r="D958" t="s">
        <v>1464</v>
      </c>
      <c r="E958">
        <v>5</v>
      </c>
      <c r="F958">
        <v>16.5</v>
      </c>
    </row>
    <row r="959" spans="1:6">
      <c r="A959">
        <v>346443</v>
      </c>
      <c r="B959" t="s">
        <v>1244</v>
      </c>
      <c r="C959" t="s">
        <v>1721</v>
      </c>
      <c r="D959" t="s">
        <v>1464</v>
      </c>
      <c r="E959">
        <v>1</v>
      </c>
      <c r="F959">
        <v>58.5</v>
      </c>
    </row>
    <row r="960" spans="1:6">
      <c r="A960">
        <v>346444</v>
      </c>
      <c r="B960" t="s">
        <v>1256</v>
      </c>
      <c r="C960" t="s">
        <v>1108</v>
      </c>
      <c r="D960" t="s">
        <v>1464</v>
      </c>
      <c r="E960">
        <v>9</v>
      </c>
      <c r="F960">
        <v>16</v>
      </c>
    </row>
    <row r="961" spans="1:6">
      <c r="A961">
        <v>346445</v>
      </c>
      <c r="B961" t="s">
        <v>1257</v>
      </c>
      <c r="C961" t="s">
        <v>1721</v>
      </c>
      <c r="D961" t="s">
        <v>1464</v>
      </c>
      <c r="E961">
        <v>5</v>
      </c>
      <c r="F961">
        <v>8.3000000000000007</v>
      </c>
    </row>
    <row r="962" spans="1:6">
      <c r="A962">
        <v>346446</v>
      </c>
      <c r="B962" t="s">
        <v>220</v>
      </c>
      <c r="C962" t="s">
        <v>1721</v>
      </c>
      <c r="D962" t="s">
        <v>1464</v>
      </c>
      <c r="E962">
        <v>2</v>
      </c>
      <c r="F962">
        <v>24</v>
      </c>
    </row>
    <row r="963" spans="1:6">
      <c r="A963">
        <v>346450</v>
      </c>
      <c r="B963" t="s">
        <v>1258</v>
      </c>
      <c r="C963" t="s">
        <v>1467</v>
      </c>
      <c r="D963" t="s">
        <v>1464</v>
      </c>
      <c r="E963">
        <v>5</v>
      </c>
      <c r="F963">
        <v>18</v>
      </c>
    </row>
    <row r="964" spans="1:6">
      <c r="A964">
        <v>346451</v>
      </c>
      <c r="B964" t="s">
        <v>1259</v>
      </c>
      <c r="C964" t="s">
        <v>1108</v>
      </c>
      <c r="D964" t="s">
        <v>1464</v>
      </c>
      <c r="E964">
        <v>5</v>
      </c>
      <c r="F964">
        <v>24</v>
      </c>
    </row>
    <row r="965" spans="1:6">
      <c r="A965">
        <v>346453</v>
      </c>
      <c r="B965" t="s">
        <v>1261</v>
      </c>
      <c r="C965" t="s">
        <v>1108</v>
      </c>
      <c r="D965" t="s">
        <v>1464</v>
      </c>
      <c r="E965">
        <v>5</v>
      </c>
      <c r="F965">
        <v>31</v>
      </c>
    </row>
    <row r="966" spans="1:6">
      <c r="A966">
        <v>346454</v>
      </c>
      <c r="B966" t="s">
        <v>1262</v>
      </c>
      <c r="C966" t="s">
        <v>1721</v>
      </c>
      <c r="D966" t="s">
        <v>1464</v>
      </c>
      <c r="E966">
        <v>1</v>
      </c>
      <c r="F966">
        <v>57.5</v>
      </c>
    </row>
    <row r="967" spans="1:6">
      <c r="A967">
        <v>346455</v>
      </c>
      <c r="B967" t="s">
        <v>1263</v>
      </c>
      <c r="C967" t="s">
        <v>1108</v>
      </c>
      <c r="D967" t="s">
        <v>1464</v>
      </c>
      <c r="E967">
        <v>5</v>
      </c>
      <c r="F967">
        <v>20</v>
      </c>
    </row>
    <row r="968" spans="1:6">
      <c r="A968">
        <v>346457</v>
      </c>
      <c r="B968" t="s">
        <v>1265</v>
      </c>
      <c r="C968" t="s">
        <v>1721</v>
      </c>
      <c r="D968" t="s">
        <v>1464</v>
      </c>
      <c r="E968">
        <v>2</v>
      </c>
      <c r="F968">
        <v>43</v>
      </c>
    </row>
    <row r="969" spans="1:6">
      <c r="A969">
        <v>346459</v>
      </c>
      <c r="B969" t="s">
        <v>1267</v>
      </c>
      <c r="C969" t="s">
        <v>1721</v>
      </c>
      <c r="D969" t="s">
        <v>1464</v>
      </c>
      <c r="E969">
        <v>2</v>
      </c>
      <c r="F969">
        <v>25.5</v>
      </c>
    </row>
    <row r="970" spans="1:6">
      <c r="A970">
        <v>346460</v>
      </c>
      <c r="B970" t="s">
        <v>1268</v>
      </c>
      <c r="C970" t="s">
        <v>1108</v>
      </c>
      <c r="D970" t="s">
        <v>1464</v>
      </c>
      <c r="E970">
        <v>6</v>
      </c>
      <c r="F970">
        <v>27</v>
      </c>
    </row>
    <row r="971" spans="1:6">
      <c r="A971">
        <v>346461</v>
      </c>
      <c r="B971" t="s">
        <v>1797</v>
      </c>
      <c r="C971" t="s">
        <v>1721</v>
      </c>
      <c r="D971" t="s">
        <v>1464</v>
      </c>
      <c r="E971">
        <v>5</v>
      </c>
      <c r="F971">
        <v>16.5</v>
      </c>
    </row>
    <row r="972" spans="1:6">
      <c r="A972">
        <v>346462</v>
      </c>
      <c r="B972" t="s">
        <v>1798</v>
      </c>
      <c r="C972" t="s">
        <v>1108</v>
      </c>
      <c r="D972" t="s">
        <v>1464</v>
      </c>
      <c r="E972">
        <v>1</v>
      </c>
      <c r="F972">
        <v>58.5</v>
      </c>
    </row>
    <row r="973" spans="1:6">
      <c r="A973">
        <v>346463</v>
      </c>
      <c r="B973" t="s">
        <v>1799</v>
      </c>
      <c r="C973" t="s">
        <v>1721</v>
      </c>
      <c r="D973" t="s">
        <v>1464</v>
      </c>
      <c r="E973">
        <v>9</v>
      </c>
      <c r="F973">
        <v>16</v>
      </c>
    </row>
    <row r="974" spans="1:6">
      <c r="A974">
        <v>346464</v>
      </c>
      <c r="B974" t="s">
        <v>1800</v>
      </c>
      <c r="C974" t="s">
        <v>1721</v>
      </c>
      <c r="D974" t="s">
        <v>1464</v>
      </c>
      <c r="E974">
        <v>5</v>
      </c>
      <c r="F974">
        <v>8.3000000000000007</v>
      </c>
    </row>
    <row r="975" spans="1:6">
      <c r="A975">
        <v>346465</v>
      </c>
      <c r="B975" t="s">
        <v>221</v>
      </c>
      <c r="D975" t="s">
        <v>1464</v>
      </c>
      <c r="E975">
        <v>2</v>
      </c>
      <c r="F975">
        <v>24</v>
      </c>
    </row>
    <row r="976" spans="1:6">
      <c r="A976">
        <v>346470</v>
      </c>
      <c r="B976" t="s">
        <v>1801</v>
      </c>
      <c r="C976" t="s">
        <v>1467</v>
      </c>
      <c r="D976" t="s">
        <v>1464</v>
      </c>
      <c r="E976">
        <v>5</v>
      </c>
      <c r="F976">
        <v>15.5</v>
      </c>
    </row>
    <row r="977" spans="1:6">
      <c r="A977">
        <v>346471</v>
      </c>
      <c r="B977" t="s">
        <v>1802</v>
      </c>
      <c r="C977" t="s">
        <v>1463</v>
      </c>
      <c r="D977" t="s">
        <v>1464</v>
      </c>
      <c r="E977">
        <v>5</v>
      </c>
      <c r="F977">
        <v>23.5</v>
      </c>
    </row>
    <row r="978" spans="1:6">
      <c r="A978">
        <v>346472</v>
      </c>
      <c r="B978" t="s">
        <v>1803</v>
      </c>
      <c r="C978" t="s">
        <v>1108</v>
      </c>
      <c r="D978" t="s">
        <v>1464</v>
      </c>
      <c r="E978">
        <v>5</v>
      </c>
      <c r="F978">
        <v>25</v>
      </c>
    </row>
    <row r="979" spans="1:6">
      <c r="A979">
        <v>346473</v>
      </c>
      <c r="B979" t="s">
        <v>1804</v>
      </c>
      <c r="C979" t="s">
        <v>1108</v>
      </c>
      <c r="D979" t="s">
        <v>1464</v>
      </c>
      <c r="E979">
        <v>5</v>
      </c>
      <c r="F979">
        <v>30.5</v>
      </c>
    </row>
    <row r="980" spans="1:6">
      <c r="A980">
        <v>346474</v>
      </c>
      <c r="B980" t="s">
        <v>1805</v>
      </c>
      <c r="C980" t="s">
        <v>1108</v>
      </c>
      <c r="D980" t="s">
        <v>1464</v>
      </c>
      <c r="E980">
        <v>5</v>
      </c>
      <c r="F980">
        <v>15.5</v>
      </c>
    </row>
    <row r="981" spans="1:6">
      <c r="A981">
        <v>346475</v>
      </c>
      <c r="B981" t="s">
        <v>1921</v>
      </c>
      <c r="C981" t="s">
        <v>1721</v>
      </c>
      <c r="D981" t="s">
        <v>1464</v>
      </c>
      <c r="E981">
        <v>2</v>
      </c>
      <c r="F981">
        <v>33</v>
      </c>
    </row>
    <row r="982" spans="1:6">
      <c r="A982">
        <v>346476</v>
      </c>
      <c r="B982" t="s">
        <v>1922</v>
      </c>
      <c r="C982" t="s">
        <v>1721</v>
      </c>
      <c r="D982" t="s">
        <v>1464</v>
      </c>
      <c r="E982">
        <v>2</v>
      </c>
      <c r="F982">
        <v>42.5</v>
      </c>
    </row>
    <row r="983" spans="1:6">
      <c r="A983">
        <v>346477</v>
      </c>
      <c r="B983" t="s">
        <v>1923</v>
      </c>
      <c r="C983" t="s">
        <v>1463</v>
      </c>
      <c r="D983" t="s">
        <v>1464</v>
      </c>
      <c r="E983">
        <v>2</v>
      </c>
      <c r="F983">
        <v>21</v>
      </c>
    </row>
    <row r="984" spans="1:6">
      <c r="A984">
        <v>346478</v>
      </c>
      <c r="B984" t="s">
        <v>1924</v>
      </c>
      <c r="C984" t="s">
        <v>1108</v>
      </c>
      <c r="D984" t="s">
        <v>1464</v>
      </c>
      <c r="E984">
        <v>2</v>
      </c>
      <c r="F984">
        <v>25</v>
      </c>
    </row>
    <row r="985" spans="1:6">
      <c r="A985">
        <v>346479</v>
      </c>
      <c r="B985" t="s">
        <v>1925</v>
      </c>
      <c r="C985" t="s">
        <v>1721</v>
      </c>
      <c r="D985" t="s">
        <v>1464</v>
      </c>
      <c r="E985">
        <v>1</v>
      </c>
      <c r="F985">
        <v>57</v>
      </c>
    </row>
    <row r="986" spans="1:6">
      <c r="A986">
        <v>346480</v>
      </c>
      <c r="B986" t="s">
        <v>1926</v>
      </c>
      <c r="C986" t="s">
        <v>1721</v>
      </c>
      <c r="D986" t="s">
        <v>1464</v>
      </c>
      <c r="E986">
        <v>5</v>
      </c>
      <c r="F986">
        <v>14</v>
      </c>
    </row>
    <row r="987" spans="1:6">
      <c r="A987">
        <v>346481</v>
      </c>
      <c r="B987" t="s">
        <v>1927</v>
      </c>
      <c r="C987" t="s">
        <v>1108</v>
      </c>
      <c r="D987" t="s">
        <v>1464</v>
      </c>
      <c r="E987">
        <v>1</v>
      </c>
      <c r="F987">
        <v>57.5</v>
      </c>
    </row>
    <row r="988" spans="1:6">
      <c r="A988">
        <v>346482</v>
      </c>
      <c r="B988" t="s">
        <v>1928</v>
      </c>
      <c r="C988" t="s">
        <v>1721</v>
      </c>
      <c r="D988" t="s">
        <v>1464</v>
      </c>
      <c r="E988">
        <v>9</v>
      </c>
      <c r="F988">
        <v>15.5</v>
      </c>
    </row>
    <row r="989" spans="1:6">
      <c r="A989">
        <v>346483</v>
      </c>
      <c r="B989" t="s">
        <v>1929</v>
      </c>
      <c r="C989" t="s">
        <v>1721</v>
      </c>
      <c r="D989" t="s">
        <v>1464</v>
      </c>
      <c r="E989">
        <v>5</v>
      </c>
      <c r="F989">
        <v>7.3</v>
      </c>
    </row>
    <row r="990" spans="1:6">
      <c r="A990">
        <v>346484</v>
      </c>
      <c r="B990" t="s">
        <v>1227</v>
      </c>
      <c r="C990" t="s">
        <v>1108</v>
      </c>
      <c r="D990" t="s">
        <v>1464</v>
      </c>
      <c r="E990">
        <v>6</v>
      </c>
      <c r="F990">
        <v>26.5</v>
      </c>
    </row>
    <row r="991" spans="1:6">
      <c r="A991">
        <v>346485</v>
      </c>
      <c r="B991" t="s">
        <v>222</v>
      </c>
      <c r="C991" t="s">
        <v>1913</v>
      </c>
      <c r="D991" t="s">
        <v>1464</v>
      </c>
      <c r="E991">
        <v>30</v>
      </c>
      <c r="F991">
        <v>3.5</v>
      </c>
    </row>
    <row r="992" spans="1:6">
      <c r="A992">
        <v>346486</v>
      </c>
      <c r="B992" t="s">
        <v>329</v>
      </c>
      <c r="C992" t="s">
        <v>1721</v>
      </c>
      <c r="D992" t="s">
        <v>1464</v>
      </c>
      <c r="E992">
        <v>2</v>
      </c>
      <c r="F992">
        <v>23.5</v>
      </c>
    </row>
    <row r="993" spans="1:6">
      <c r="A993">
        <v>346570</v>
      </c>
      <c r="B993" t="s">
        <v>330</v>
      </c>
      <c r="C993" t="s">
        <v>1467</v>
      </c>
      <c r="D993" t="s">
        <v>1464</v>
      </c>
      <c r="E993">
        <v>5</v>
      </c>
      <c r="F993">
        <v>18</v>
      </c>
    </row>
    <row r="994" spans="1:6">
      <c r="A994">
        <v>346571</v>
      </c>
      <c r="B994" t="s">
        <v>1221</v>
      </c>
      <c r="C994" t="s">
        <v>1108</v>
      </c>
      <c r="D994" t="s">
        <v>1464</v>
      </c>
      <c r="E994">
        <v>5</v>
      </c>
      <c r="F994">
        <v>24</v>
      </c>
    </row>
    <row r="995" spans="1:6">
      <c r="A995">
        <v>346572</v>
      </c>
      <c r="B995" t="s">
        <v>1222</v>
      </c>
      <c r="C995" t="s">
        <v>1108</v>
      </c>
      <c r="D995" t="s">
        <v>1464</v>
      </c>
      <c r="E995">
        <v>5</v>
      </c>
      <c r="F995">
        <v>25.5</v>
      </c>
    </row>
    <row r="996" spans="1:6">
      <c r="A996">
        <v>346573</v>
      </c>
      <c r="B996" t="s">
        <v>1223</v>
      </c>
      <c r="C996" t="s">
        <v>1721</v>
      </c>
      <c r="D996" t="s">
        <v>1464</v>
      </c>
      <c r="E996">
        <v>5</v>
      </c>
      <c r="F996">
        <v>31</v>
      </c>
    </row>
    <row r="997" spans="1:6">
      <c r="A997">
        <v>346574</v>
      </c>
      <c r="B997" t="s">
        <v>1224</v>
      </c>
      <c r="C997" t="s">
        <v>1721</v>
      </c>
      <c r="D997" t="s">
        <v>1464</v>
      </c>
      <c r="E997">
        <v>5</v>
      </c>
      <c r="F997">
        <v>20</v>
      </c>
    </row>
    <row r="998" spans="1:6">
      <c r="A998">
        <v>346575</v>
      </c>
      <c r="B998" t="s">
        <v>1225</v>
      </c>
      <c r="C998" t="s">
        <v>1721</v>
      </c>
      <c r="D998" t="s">
        <v>1464</v>
      </c>
      <c r="E998">
        <v>3</v>
      </c>
      <c r="F998">
        <v>33.5</v>
      </c>
    </row>
    <row r="999" spans="1:6">
      <c r="A999">
        <v>346576</v>
      </c>
      <c r="B999" t="s">
        <v>1226</v>
      </c>
      <c r="C999" t="s">
        <v>1721</v>
      </c>
      <c r="D999" t="s">
        <v>1464</v>
      </c>
      <c r="E999">
        <v>2</v>
      </c>
      <c r="F999">
        <v>43</v>
      </c>
    </row>
    <row r="1000" spans="1:6">
      <c r="A1000">
        <v>346577</v>
      </c>
      <c r="B1000" t="s">
        <v>2014</v>
      </c>
      <c r="C1000" t="s">
        <v>1108</v>
      </c>
      <c r="D1000" t="s">
        <v>1464</v>
      </c>
      <c r="E1000">
        <v>3</v>
      </c>
      <c r="F1000">
        <v>21.5</v>
      </c>
    </row>
    <row r="1001" spans="1:6">
      <c r="A1001">
        <v>346578</v>
      </c>
      <c r="B1001" t="s">
        <v>2015</v>
      </c>
      <c r="C1001" t="s">
        <v>1108</v>
      </c>
      <c r="D1001" t="s">
        <v>1464</v>
      </c>
      <c r="E1001">
        <v>3</v>
      </c>
      <c r="F1001">
        <v>25.5</v>
      </c>
    </row>
    <row r="1002" spans="1:6">
      <c r="A1002">
        <v>346579</v>
      </c>
      <c r="B1002" t="s">
        <v>2016</v>
      </c>
      <c r="C1002" t="s">
        <v>1721</v>
      </c>
      <c r="D1002" t="s">
        <v>1464</v>
      </c>
      <c r="E1002">
        <v>1</v>
      </c>
      <c r="F1002">
        <v>24</v>
      </c>
    </row>
    <row r="1003" spans="1:6">
      <c r="A1003">
        <v>346580</v>
      </c>
      <c r="B1003" t="s">
        <v>2017</v>
      </c>
      <c r="C1003" t="s">
        <v>1721</v>
      </c>
      <c r="D1003" t="s">
        <v>1464</v>
      </c>
      <c r="E1003">
        <v>1</v>
      </c>
      <c r="F1003">
        <v>57.5</v>
      </c>
    </row>
    <row r="1004" spans="1:6">
      <c r="A1004">
        <v>346581</v>
      </c>
      <c r="B1004" t="s">
        <v>2018</v>
      </c>
      <c r="C1004" t="s">
        <v>1721</v>
      </c>
      <c r="D1004" t="s">
        <v>1464</v>
      </c>
      <c r="E1004">
        <v>3</v>
      </c>
      <c r="F1004">
        <v>16.5</v>
      </c>
    </row>
    <row r="1005" spans="1:6">
      <c r="A1005">
        <v>346582</v>
      </c>
      <c r="B1005" t="s">
        <v>2019</v>
      </c>
      <c r="C1005" t="s">
        <v>1721</v>
      </c>
      <c r="D1005" t="s">
        <v>1464</v>
      </c>
      <c r="E1005">
        <v>1</v>
      </c>
      <c r="F1005">
        <v>58.5</v>
      </c>
    </row>
    <row r="1006" spans="1:6">
      <c r="A1006">
        <v>346583</v>
      </c>
      <c r="B1006" t="s">
        <v>1972</v>
      </c>
      <c r="C1006" t="s">
        <v>1721</v>
      </c>
      <c r="D1006" t="s">
        <v>1464</v>
      </c>
      <c r="E1006">
        <v>3</v>
      </c>
      <c r="F1006">
        <v>16</v>
      </c>
    </row>
    <row r="1007" spans="1:6">
      <c r="A1007">
        <v>346584</v>
      </c>
      <c r="B1007" t="s">
        <v>1973</v>
      </c>
      <c r="C1007" t="s">
        <v>1721</v>
      </c>
      <c r="D1007" t="s">
        <v>1464</v>
      </c>
      <c r="E1007">
        <v>5</v>
      </c>
      <c r="F1007">
        <v>8.3000000000000007</v>
      </c>
    </row>
    <row r="1008" spans="1:6">
      <c r="A1008">
        <v>346585</v>
      </c>
      <c r="B1008" t="s">
        <v>1974</v>
      </c>
      <c r="C1008" t="s">
        <v>1108</v>
      </c>
      <c r="D1008" t="s">
        <v>1464</v>
      </c>
      <c r="E1008">
        <v>5</v>
      </c>
      <c r="F1008">
        <v>27</v>
      </c>
    </row>
    <row r="1009" spans="1:6">
      <c r="A1009">
        <v>346640</v>
      </c>
      <c r="B1009" t="s">
        <v>1946</v>
      </c>
      <c r="C1009" t="s">
        <v>1467</v>
      </c>
      <c r="D1009" t="s">
        <v>1464</v>
      </c>
      <c r="E1009">
        <v>5</v>
      </c>
      <c r="F1009">
        <v>37</v>
      </c>
    </row>
    <row r="1010" spans="1:6">
      <c r="A1010">
        <v>346641</v>
      </c>
      <c r="B1010" t="s">
        <v>1947</v>
      </c>
      <c r="C1010" t="s">
        <v>1108</v>
      </c>
      <c r="D1010" t="s">
        <v>1464</v>
      </c>
      <c r="E1010">
        <v>5</v>
      </c>
      <c r="F1010">
        <v>42</v>
      </c>
    </row>
    <row r="1011" spans="1:6">
      <c r="A1011">
        <v>346642</v>
      </c>
      <c r="B1011" t="s">
        <v>1948</v>
      </c>
      <c r="C1011" t="s">
        <v>1108</v>
      </c>
      <c r="D1011" t="s">
        <v>1464</v>
      </c>
      <c r="E1011">
        <v>5</v>
      </c>
      <c r="F1011">
        <v>50</v>
      </c>
    </row>
    <row r="1012" spans="1:6">
      <c r="A1012">
        <v>346643</v>
      </c>
      <c r="B1012" t="s">
        <v>1949</v>
      </c>
      <c r="C1012" t="s">
        <v>1108</v>
      </c>
      <c r="D1012" t="s">
        <v>1464</v>
      </c>
      <c r="E1012">
        <v>5</v>
      </c>
      <c r="F1012">
        <v>52</v>
      </c>
    </row>
    <row r="1013" spans="1:6">
      <c r="A1013">
        <v>346644</v>
      </c>
      <c r="B1013" t="s">
        <v>1950</v>
      </c>
      <c r="C1013" t="s">
        <v>1108</v>
      </c>
      <c r="D1013" t="s">
        <v>1464</v>
      </c>
      <c r="E1013">
        <v>5</v>
      </c>
      <c r="F1013">
        <v>33</v>
      </c>
    </row>
    <row r="1014" spans="1:6">
      <c r="A1014">
        <v>346645</v>
      </c>
      <c r="B1014" t="s">
        <v>1951</v>
      </c>
      <c r="C1014" t="s">
        <v>1108</v>
      </c>
      <c r="D1014" t="s">
        <v>1464</v>
      </c>
      <c r="E1014">
        <v>2</v>
      </c>
      <c r="F1014">
        <v>66</v>
      </c>
    </row>
    <row r="1015" spans="1:6">
      <c r="A1015">
        <v>346646</v>
      </c>
      <c r="B1015" t="s">
        <v>1952</v>
      </c>
      <c r="C1015" t="s">
        <v>1721</v>
      </c>
      <c r="D1015" t="s">
        <v>1464</v>
      </c>
      <c r="E1015">
        <v>2</v>
      </c>
      <c r="F1015">
        <v>75</v>
      </c>
    </row>
    <row r="1016" spans="1:6">
      <c r="A1016">
        <v>346647</v>
      </c>
      <c r="B1016" t="s">
        <v>1953</v>
      </c>
      <c r="C1016" t="s">
        <v>1108</v>
      </c>
      <c r="D1016" t="s">
        <v>1464</v>
      </c>
      <c r="E1016">
        <v>2</v>
      </c>
      <c r="F1016">
        <v>22</v>
      </c>
    </row>
    <row r="1017" spans="1:6">
      <c r="A1017">
        <v>346648</v>
      </c>
      <c r="B1017" t="s">
        <v>1954</v>
      </c>
      <c r="C1017" t="s">
        <v>1108</v>
      </c>
      <c r="D1017" t="s">
        <v>1464</v>
      </c>
      <c r="E1017">
        <v>2</v>
      </c>
      <c r="F1017">
        <v>31.5</v>
      </c>
    </row>
    <row r="1018" spans="1:6">
      <c r="A1018">
        <v>346649</v>
      </c>
      <c r="B1018" t="s">
        <v>1955</v>
      </c>
      <c r="C1018" t="s">
        <v>1721</v>
      </c>
      <c r="D1018" t="s">
        <v>1464</v>
      </c>
      <c r="E1018">
        <v>2</v>
      </c>
      <c r="F1018">
        <v>39</v>
      </c>
    </row>
    <row r="1019" spans="1:6">
      <c r="A1019">
        <v>346650</v>
      </c>
      <c r="B1019" t="s">
        <v>377</v>
      </c>
      <c r="C1019" t="s">
        <v>1721</v>
      </c>
      <c r="D1019" t="s">
        <v>1464</v>
      </c>
      <c r="E1019">
        <v>1</v>
      </c>
      <c r="F1019">
        <v>70</v>
      </c>
    </row>
    <row r="1020" spans="1:6">
      <c r="A1020">
        <v>346651</v>
      </c>
      <c r="B1020" t="s">
        <v>378</v>
      </c>
      <c r="C1020" t="s">
        <v>1721</v>
      </c>
      <c r="D1020" t="s">
        <v>1464</v>
      </c>
      <c r="E1020">
        <v>5</v>
      </c>
      <c r="F1020">
        <v>23.5</v>
      </c>
    </row>
    <row r="1021" spans="1:6">
      <c r="A1021">
        <v>346652</v>
      </c>
      <c r="B1021" t="s">
        <v>379</v>
      </c>
      <c r="C1021" t="s">
        <v>1108</v>
      </c>
      <c r="D1021" t="s">
        <v>1464</v>
      </c>
      <c r="E1021">
        <v>1</v>
      </c>
      <c r="F1021">
        <v>68.5</v>
      </c>
    </row>
    <row r="1022" spans="1:6">
      <c r="A1022">
        <v>346653</v>
      </c>
      <c r="B1022" t="s">
        <v>380</v>
      </c>
      <c r="C1022" t="s">
        <v>1721</v>
      </c>
      <c r="D1022" t="s">
        <v>1464</v>
      </c>
      <c r="E1022">
        <v>3</v>
      </c>
      <c r="F1022">
        <v>18.5</v>
      </c>
    </row>
    <row r="1023" spans="1:6">
      <c r="A1023">
        <v>346654</v>
      </c>
      <c r="B1023" t="s">
        <v>381</v>
      </c>
      <c r="C1023" t="s">
        <v>1721</v>
      </c>
      <c r="D1023" t="s">
        <v>1464</v>
      </c>
      <c r="E1023">
        <v>3</v>
      </c>
      <c r="F1023">
        <v>14.3</v>
      </c>
    </row>
    <row r="1024" spans="1:6">
      <c r="A1024">
        <v>346655</v>
      </c>
      <c r="B1024" t="s">
        <v>382</v>
      </c>
      <c r="C1024" t="s">
        <v>1108</v>
      </c>
      <c r="D1024" t="s">
        <v>1464</v>
      </c>
      <c r="E1024">
        <v>6</v>
      </c>
      <c r="F1024">
        <v>28</v>
      </c>
    </row>
    <row r="1025" spans="1:6">
      <c r="A1025">
        <v>346660</v>
      </c>
      <c r="B1025" t="s">
        <v>281</v>
      </c>
      <c r="C1025" t="s">
        <v>1463</v>
      </c>
      <c r="D1025" t="s">
        <v>1464</v>
      </c>
      <c r="E1025">
        <v>5</v>
      </c>
      <c r="F1025">
        <v>32</v>
      </c>
    </row>
    <row r="1026" spans="1:6">
      <c r="A1026">
        <v>346661</v>
      </c>
      <c r="B1026" t="s">
        <v>282</v>
      </c>
      <c r="C1026" t="s">
        <v>1108</v>
      </c>
      <c r="D1026" t="s">
        <v>1464</v>
      </c>
      <c r="E1026">
        <v>1</v>
      </c>
      <c r="F1026">
        <v>51.5</v>
      </c>
    </row>
    <row r="1027" spans="1:6">
      <c r="A1027">
        <v>346662</v>
      </c>
      <c r="B1027" t="s">
        <v>283</v>
      </c>
      <c r="C1027" t="s">
        <v>1108</v>
      </c>
      <c r="D1027" t="s">
        <v>1464</v>
      </c>
      <c r="E1027">
        <v>3</v>
      </c>
      <c r="F1027">
        <v>38</v>
      </c>
    </row>
    <row r="1028" spans="1:6">
      <c r="A1028">
        <v>346663</v>
      </c>
      <c r="B1028" t="s">
        <v>284</v>
      </c>
      <c r="C1028" t="s">
        <v>1463</v>
      </c>
      <c r="D1028" t="s">
        <v>1464</v>
      </c>
      <c r="E1028">
        <v>5</v>
      </c>
      <c r="F1028">
        <v>43</v>
      </c>
    </row>
    <row r="1029" spans="1:6">
      <c r="A1029">
        <v>346664</v>
      </c>
      <c r="B1029" t="s">
        <v>285</v>
      </c>
      <c r="C1029" t="s">
        <v>1108</v>
      </c>
      <c r="D1029" t="s">
        <v>1464</v>
      </c>
      <c r="E1029">
        <v>3</v>
      </c>
      <c r="F1029">
        <v>46</v>
      </c>
    </row>
    <row r="1030" spans="1:6">
      <c r="A1030">
        <v>346665</v>
      </c>
      <c r="B1030" t="s">
        <v>286</v>
      </c>
      <c r="C1030" t="s">
        <v>1108</v>
      </c>
      <c r="D1030" t="s">
        <v>1464</v>
      </c>
      <c r="E1030">
        <v>2</v>
      </c>
      <c r="F1030">
        <v>30.5</v>
      </c>
    </row>
    <row r="1031" spans="1:6">
      <c r="A1031">
        <v>346666</v>
      </c>
      <c r="B1031" t="s">
        <v>287</v>
      </c>
      <c r="C1031" t="s">
        <v>1721</v>
      </c>
      <c r="D1031" t="s">
        <v>1464</v>
      </c>
      <c r="E1031">
        <v>2</v>
      </c>
      <c r="F1031">
        <v>63.5</v>
      </c>
    </row>
    <row r="1032" spans="1:6">
      <c r="A1032">
        <v>346667</v>
      </c>
      <c r="B1032" t="s">
        <v>288</v>
      </c>
      <c r="C1032" t="s">
        <v>1721</v>
      </c>
      <c r="D1032" t="s">
        <v>1464</v>
      </c>
      <c r="E1032">
        <v>1</v>
      </c>
      <c r="F1032">
        <v>72</v>
      </c>
    </row>
    <row r="1033" spans="1:6">
      <c r="A1033">
        <v>346668</v>
      </c>
      <c r="B1033" t="s">
        <v>289</v>
      </c>
      <c r="C1033" t="s">
        <v>1108</v>
      </c>
      <c r="D1033" t="s">
        <v>1464</v>
      </c>
      <c r="E1033">
        <v>2</v>
      </c>
      <c r="F1033">
        <v>22</v>
      </c>
    </row>
    <row r="1034" spans="1:6">
      <c r="A1034">
        <v>346669</v>
      </c>
      <c r="B1034" t="s">
        <v>290</v>
      </c>
      <c r="C1034" t="s">
        <v>1108</v>
      </c>
      <c r="D1034" t="s">
        <v>1464</v>
      </c>
      <c r="E1034">
        <v>2</v>
      </c>
      <c r="F1034">
        <v>31</v>
      </c>
    </row>
    <row r="1035" spans="1:6">
      <c r="A1035">
        <v>346670</v>
      </c>
      <c r="B1035" t="s">
        <v>291</v>
      </c>
      <c r="C1035" t="s">
        <v>1721</v>
      </c>
      <c r="D1035" t="s">
        <v>1464</v>
      </c>
      <c r="E1035">
        <v>1</v>
      </c>
      <c r="F1035">
        <v>36</v>
      </c>
    </row>
    <row r="1036" spans="1:6">
      <c r="A1036">
        <v>346671</v>
      </c>
      <c r="B1036" t="s">
        <v>292</v>
      </c>
      <c r="C1036" t="s">
        <v>1721</v>
      </c>
      <c r="D1036" t="s">
        <v>1464</v>
      </c>
      <c r="E1036">
        <v>1</v>
      </c>
      <c r="F1036">
        <v>60.5</v>
      </c>
    </row>
    <row r="1037" spans="1:6">
      <c r="A1037">
        <v>346672</v>
      </c>
      <c r="B1037" t="s">
        <v>293</v>
      </c>
      <c r="C1037" t="s">
        <v>1721</v>
      </c>
      <c r="D1037" t="s">
        <v>1464</v>
      </c>
      <c r="E1037">
        <v>3</v>
      </c>
      <c r="F1037">
        <v>21.5</v>
      </c>
    </row>
    <row r="1038" spans="1:6">
      <c r="A1038">
        <v>346673</v>
      </c>
      <c r="B1038" t="s">
        <v>294</v>
      </c>
      <c r="C1038" t="s">
        <v>1108</v>
      </c>
      <c r="D1038" t="s">
        <v>1464</v>
      </c>
      <c r="E1038">
        <v>1</v>
      </c>
      <c r="F1038">
        <v>65.5</v>
      </c>
    </row>
    <row r="1039" spans="1:6">
      <c r="A1039">
        <v>346674</v>
      </c>
      <c r="B1039" t="s">
        <v>295</v>
      </c>
      <c r="C1039" t="s">
        <v>1108</v>
      </c>
      <c r="D1039" t="s">
        <v>1464</v>
      </c>
      <c r="E1039">
        <v>1</v>
      </c>
      <c r="F1039">
        <v>17.5</v>
      </c>
    </row>
    <row r="1040" spans="1:6">
      <c r="A1040">
        <v>346675</v>
      </c>
      <c r="B1040" t="s">
        <v>296</v>
      </c>
      <c r="C1040" t="s">
        <v>1721</v>
      </c>
      <c r="D1040" t="s">
        <v>1464</v>
      </c>
      <c r="E1040">
        <v>1</v>
      </c>
      <c r="F1040">
        <v>14.3</v>
      </c>
    </row>
    <row r="1041" spans="1:6">
      <c r="A1041">
        <v>346676</v>
      </c>
      <c r="B1041" t="s">
        <v>297</v>
      </c>
      <c r="C1041" t="s">
        <v>1108</v>
      </c>
      <c r="D1041" t="s">
        <v>1464</v>
      </c>
      <c r="E1041">
        <v>6</v>
      </c>
      <c r="F1041">
        <v>28.5</v>
      </c>
    </row>
    <row r="1042" spans="1:6">
      <c r="A1042">
        <v>346679</v>
      </c>
      <c r="B1042" t="s">
        <v>784</v>
      </c>
      <c r="D1042" t="s">
        <v>1464</v>
      </c>
      <c r="E1042">
        <v>5</v>
      </c>
      <c r="F1042">
        <v>32</v>
      </c>
    </row>
    <row r="1043" spans="1:6">
      <c r="A1043">
        <v>346680</v>
      </c>
      <c r="B1043" t="s">
        <v>785</v>
      </c>
      <c r="D1043" t="s">
        <v>1464</v>
      </c>
      <c r="E1043">
        <v>5</v>
      </c>
      <c r="F1043">
        <v>33</v>
      </c>
    </row>
    <row r="1044" spans="1:6">
      <c r="A1044">
        <v>346681</v>
      </c>
      <c r="B1044" t="s">
        <v>786</v>
      </c>
      <c r="D1044" t="s">
        <v>1464</v>
      </c>
      <c r="E1044">
        <v>5</v>
      </c>
      <c r="F1044">
        <v>35</v>
      </c>
    </row>
    <row r="1045" spans="1:6">
      <c r="A1045">
        <v>346682</v>
      </c>
      <c r="B1045" t="s">
        <v>787</v>
      </c>
      <c r="D1045" t="s">
        <v>1464</v>
      </c>
      <c r="E1045">
        <v>3</v>
      </c>
      <c r="F1045">
        <v>40</v>
      </c>
    </row>
    <row r="1046" spans="1:6">
      <c r="A1046">
        <v>346683</v>
      </c>
      <c r="B1046" t="s">
        <v>788</v>
      </c>
      <c r="D1046" t="s">
        <v>1464</v>
      </c>
      <c r="E1046">
        <v>3</v>
      </c>
      <c r="F1046">
        <v>27</v>
      </c>
    </row>
    <row r="1047" spans="1:6">
      <c r="A1047">
        <v>346684</v>
      </c>
      <c r="B1047" t="s">
        <v>789</v>
      </c>
      <c r="D1047" t="s">
        <v>1464</v>
      </c>
      <c r="E1047">
        <v>2</v>
      </c>
      <c r="F1047">
        <v>41</v>
      </c>
    </row>
    <row r="1048" spans="1:6">
      <c r="A1048">
        <v>346685</v>
      </c>
      <c r="B1048" t="s">
        <v>790</v>
      </c>
      <c r="D1048" t="s">
        <v>1464</v>
      </c>
      <c r="E1048">
        <v>1</v>
      </c>
      <c r="F1048">
        <v>48</v>
      </c>
    </row>
    <row r="1049" spans="1:6">
      <c r="A1049">
        <v>346686</v>
      </c>
      <c r="B1049" t="s">
        <v>791</v>
      </c>
      <c r="D1049" t="s">
        <v>1464</v>
      </c>
      <c r="E1049">
        <v>2</v>
      </c>
      <c r="F1049">
        <v>22</v>
      </c>
    </row>
    <row r="1050" spans="1:6">
      <c r="A1050">
        <v>346687</v>
      </c>
      <c r="B1050" t="s">
        <v>792</v>
      </c>
      <c r="D1050" t="s">
        <v>1464</v>
      </c>
      <c r="E1050">
        <v>2</v>
      </c>
      <c r="F1050">
        <v>27</v>
      </c>
    </row>
    <row r="1051" spans="1:6">
      <c r="A1051">
        <v>346688</v>
      </c>
      <c r="B1051" t="s">
        <v>793</v>
      </c>
      <c r="D1051" t="s">
        <v>1464</v>
      </c>
      <c r="E1051">
        <v>1</v>
      </c>
      <c r="F1051">
        <v>31</v>
      </c>
    </row>
    <row r="1052" spans="1:6">
      <c r="A1052">
        <v>346689</v>
      </c>
      <c r="B1052" t="s">
        <v>794</v>
      </c>
      <c r="D1052" t="s">
        <v>1464</v>
      </c>
      <c r="E1052">
        <v>1</v>
      </c>
      <c r="F1052">
        <v>62</v>
      </c>
    </row>
    <row r="1053" spans="1:6">
      <c r="A1053">
        <v>346690</v>
      </c>
      <c r="B1053" t="s">
        <v>795</v>
      </c>
      <c r="D1053" t="s">
        <v>1464</v>
      </c>
      <c r="E1053">
        <v>2</v>
      </c>
      <c r="F1053">
        <v>18.5</v>
      </c>
    </row>
    <row r="1054" spans="1:6">
      <c r="A1054">
        <v>346691</v>
      </c>
      <c r="B1054" t="s">
        <v>796</v>
      </c>
      <c r="D1054" t="s">
        <v>1464</v>
      </c>
      <c r="E1054">
        <v>1</v>
      </c>
      <c r="F1054">
        <v>68</v>
      </c>
    </row>
    <row r="1055" spans="1:6">
      <c r="A1055">
        <v>346692</v>
      </c>
      <c r="B1055" t="s">
        <v>797</v>
      </c>
      <c r="D1055" t="s">
        <v>1464</v>
      </c>
      <c r="E1055">
        <v>1</v>
      </c>
      <c r="F1055">
        <v>17</v>
      </c>
    </row>
    <row r="1056" spans="1:6">
      <c r="A1056">
        <v>346693</v>
      </c>
      <c r="B1056" t="s">
        <v>798</v>
      </c>
      <c r="D1056" t="s">
        <v>1464</v>
      </c>
      <c r="E1056">
        <v>1</v>
      </c>
      <c r="F1056">
        <v>14.3</v>
      </c>
    </row>
    <row r="1057" spans="1:6">
      <c r="A1057">
        <v>346694</v>
      </c>
      <c r="B1057" t="s">
        <v>799</v>
      </c>
      <c r="D1057" t="s">
        <v>1464</v>
      </c>
      <c r="E1057">
        <v>6</v>
      </c>
      <c r="F1057">
        <v>28</v>
      </c>
    </row>
    <row r="1058" spans="1:6">
      <c r="A1058">
        <v>346800</v>
      </c>
      <c r="B1058" t="s">
        <v>1981</v>
      </c>
      <c r="C1058" t="s">
        <v>1463</v>
      </c>
      <c r="D1058" t="s">
        <v>1464</v>
      </c>
      <c r="E1058">
        <v>5</v>
      </c>
      <c r="F1058">
        <v>25.5</v>
      </c>
    </row>
    <row r="1059" spans="1:6">
      <c r="A1059">
        <v>346801</v>
      </c>
      <c r="B1059" t="s">
        <v>1982</v>
      </c>
      <c r="C1059" t="s">
        <v>1108</v>
      </c>
      <c r="D1059" t="s">
        <v>1464</v>
      </c>
      <c r="E1059">
        <v>5</v>
      </c>
      <c r="F1059">
        <v>29.5</v>
      </c>
    </row>
    <row r="1060" spans="1:6">
      <c r="A1060">
        <v>346802</v>
      </c>
      <c r="B1060" t="s">
        <v>1983</v>
      </c>
      <c r="C1060" t="s">
        <v>1108</v>
      </c>
      <c r="D1060" t="s">
        <v>1464</v>
      </c>
      <c r="E1060">
        <v>5</v>
      </c>
      <c r="F1060">
        <v>32</v>
      </c>
    </row>
    <row r="1061" spans="1:6">
      <c r="A1061">
        <v>346803</v>
      </c>
      <c r="B1061" t="s">
        <v>1984</v>
      </c>
      <c r="C1061" t="s">
        <v>1108</v>
      </c>
      <c r="D1061" t="s">
        <v>1464</v>
      </c>
      <c r="E1061">
        <v>5</v>
      </c>
      <c r="F1061">
        <v>37</v>
      </c>
    </row>
    <row r="1062" spans="1:6">
      <c r="A1062">
        <v>346804</v>
      </c>
      <c r="B1062" t="s">
        <v>1985</v>
      </c>
      <c r="C1062" t="s">
        <v>1108</v>
      </c>
      <c r="D1062" t="s">
        <v>1464</v>
      </c>
      <c r="E1062">
        <v>5</v>
      </c>
      <c r="F1062">
        <v>23</v>
      </c>
    </row>
    <row r="1063" spans="1:6">
      <c r="A1063">
        <v>346805</v>
      </c>
      <c r="B1063" t="s">
        <v>1986</v>
      </c>
      <c r="C1063" t="s">
        <v>1721</v>
      </c>
      <c r="D1063" t="s">
        <v>1464</v>
      </c>
      <c r="E1063">
        <v>3</v>
      </c>
      <c r="F1063">
        <v>37.5</v>
      </c>
    </row>
    <row r="1064" spans="1:6">
      <c r="A1064">
        <v>346806</v>
      </c>
      <c r="B1064" t="s">
        <v>1987</v>
      </c>
      <c r="C1064" t="s">
        <v>1108</v>
      </c>
      <c r="D1064" t="s">
        <v>1464</v>
      </c>
      <c r="E1064">
        <v>2</v>
      </c>
      <c r="F1064">
        <v>44.5</v>
      </c>
    </row>
    <row r="1065" spans="1:6">
      <c r="A1065">
        <v>346807</v>
      </c>
      <c r="B1065" t="s">
        <v>1988</v>
      </c>
      <c r="C1065" t="s">
        <v>1108</v>
      </c>
      <c r="D1065" t="s">
        <v>1464</v>
      </c>
      <c r="E1065">
        <v>3</v>
      </c>
      <c r="F1065">
        <v>22</v>
      </c>
    </row>
    <row r="1066" spans="1:6">
      <c r="A1066">
        <v>346808</v>
      </c>
      <c r="B1066" t="s">
        <v>1989</v>
      </c>
      <c r="C1066" t="s">
        <v>1108</v>
      </c>
      <c r="D1066" t="s">
        <v>1464</v>
      </c>
      <c r="E1066">
        <v>3</v>
      </c>
      <c r="F1066">
        <v>27</v>
      </c>
    </row>
    <row r="1067" spans="1:6">
      <c r="A1067">
        <v>346809</v>
      </c>
      <c r="B1067" t="s">
        <v>1990</v>
      </c>
      <c r="C1067" t="s">
        <v>1108</v>
      </c>
      <c r="D1067" t="s">
        <v>1464</v>
      </c>
      <c r="E1067">
        <v>1</v>
      </c>
      <c r="F1067">
        <v>27</v>
      </c>
    </row>
    <row r="1068" spans="1:6">
      <c r="A1068">
        <v>346810</v>
      </c>
      <c r="B1068" t="s">
        <v>1991</v>
      </c>
      <c r="C1068" t="s">
        <v>1721</v>
      </c>
      <c r="D1068" t="s">
        <v>1464</v>
      </c>
      <c r="E1068">
        <v>1</v>
      </c>
      <c r="F1068">
        <v>59</v>
      </c>
    </row>
    <row r="1069" spans="1:6">
      <c r="A1069">
        <v>346811</v>
      </c>
      <c r="B1069" t="s">
        <v>1992</v>
      </c>
      <c r="C1069" t="s">
        <v>1108</v>
      </c>
      <c r="D1069" t="s">
        <v>1464</v>
      </c>
      <c r="E1069">
        <v>3</v>
      </c>
      <c r="F1069">
        <v>18.5</v>
      </c>
    </row>
    <row r="1070" spans="1:6">
      <c r="A1070">
        <v>346812</v>
      </c>
      <c r="B1070" t="s">
        <v>1993</v>
      </c>
      <c r="C1070" t="s">
        <v>1721</v>
      </c>
      <c r="D1070" t="s">
        <v>1464</v>
      </c>
      <c r="E1070">
        <v>1</v>
      </c>
      <c r="F1070">
        <v>68</v>
      </c>
    </row>
    <row r="1071" spans="1:6">
      <c r="A1071">
        <v>346813</v>
      </c>
      <c r="B1071" t="s">
        <v>1994</v>
      </c>
      <c r="C1071" t="s">
        <v>1721</v>
      </c>
      <c r="D1071" t="s">
        <v>1464</v>
      </c>
      <c r="E1071">
        <v>3</v>
      </c>
      <c r="F1071">
        <v>16.5</v>
      </c>
    </row>
    <row r="1072" spans="1:6">
      <c r="A1072">
        <v>346814</v>
      </c>
      <c r="B1072" t="s">
        <v>1995</v>
      </c>
      <c r="C1072" t="s">
        <v>1721</v>
      </c>
      <c r="D1072" t="s">
        <v>1464</v>
      </c>
      <c r="E1072">
        <v>2</v>
      </c>
      <c r="F1072">
        <v>13.3</v>
      </c>
    </row>
    <row r="1073" spans="1:6">
      <c r="A1073">
        <v>346815</v>
      </c>
      <c r="B1073" t="s">
        <v>1996</v>
      </c>
      <c r="C1073" t="s">
        <v>1108</v>
      </c>
      <c r="D1073" t="s">
        <v>1464</v>
      </c>
      <c r="E1073">
        <v>5</v>
      </c>
      <c r="F1073">
        <v>27.5</v>
      </c>
    </row>
    <row r="1074" spans="1:6">
      <c r="A1074">
        <v>346857</v>
      </c>
      <c r="B1074" t="s">
        <v>1072</v>
      </c>
      <c r="C1074" t="s">
        <v>1074</v>
      </c>
      <c r="D1074" t="s">
        <v>1464</v>
      </c>
      <c r="E1074">
        <v>6</v>
      </c>
      <c r="F1074">
        <v>41.2</v>
      </c>
    </row>
    <row r="1075" spans="1:6">
      <c r="A1075">
        <v>346920</v>
      </c>
      <c r="B1075" t="s">
        <v>597</v>
      </c>
      <c r="C1075" t="s">
        <v>1463</v>
      </c>
      <c r="D1075" t="s">
        <v>1464</v>
      </c>
      <c r="E1075">
        <v>4</v>
      </c>
      <c r="F1075">
        <v>40</v>
      </c>
    </row>
    <row r="1076" spans="1:6">
      <c r="A1076">
        <v>346921</v>
      </c>
      <c r="B1076" t="s">
        <v>598</v>
      </c>
      <c r="C1076" t="s">
        <v>1108</v>
      </c>
      <c r="D1076" t="s">
        <v>1464</v>
      </c>
      <c r="E1076">
        <v>5</v>
      </c>
      <c r="F1076">
        <v>44.5</v>
      </c>
    </row>
    <row r="1077" spans="1:6">
      <c r="A1077">
        <v>346922</v>
      </c>
      <c r="B1077" t="s">
        <v>599</v>
      </c>
      <c r="C1077" t="s">
        <v>1108</v>
      </c>
      <c r="D1077" t="s">
        <v>1464</v>
      </c>
      <c r="E1077">
        <v>3</v>
      </c>
      <c r="F1077">
        <v>50</v>
      </c>
    </row>
    <row r="1078" spans="1:6">
      <c r="A1078">
        <v>346923</v>
      </c>
      <c r="B1078" t="s">
        <v>600</v>
      </c>
      <c r="C1078" t="s">
        <v>1108</v>
      </c>
      <c r="D1078" t="s">
        <v>1464</v>
      </c>
      <c r="E1078">
        <v>3</v>
      </c>
      <c r="F1078">
        <v>53</v>
      </c>
    </row>
    <row r="1079" spans="1:6">
      <c r="A1079">
        <v>346924</v>
      </c>
      <c r="B1079" t="s">
        <v>601</v>
      </c>
      <c r="C1079" t="s">
        <v>1108</v>
      </c>
      <c r="D1079" t="s">
        <v>1464</v>
      </c>
      <c r="E1079">
        <v>1</v>
      </c>
      <c r="F1079">
        <v>35</v>
      </c>
    </row>
    <row r="1080" spans="1:6">
      <c r="A1080">
        <v>346925</v>
      </c>
      <c r="B1080" t="s">
        <v>602</v>
      </c>
      <c r="C1080" t="s">
        <v>1721</v>
      </c>
      <c r="D1080" t="s">
        <v>1464</v>
      </c>
      <c r="E1080">
        <v>2</v>
      </c>
      <c r="F1080">
        <v>66</v>
      </c>
    </row>
    <row r="1081" spans="1:6">
      <c r="A1081">
        <v>346926</v>
      </c>
      <c r="B1081" t="s">
        <v>603</v>
      </c>
      <c r="C1081" t="s">
        <v>1721</v>
      </c>
      <c r="D1081" t="s">
        <v>1464</v>
      </c>
      <c r="E1081">
        <v>1</v>
      </c>
      <c r="F1081">
        <v>76</v>
      </c>
    </row>
    <row r="1082" spans="1:6">
      <c r="A1082">
        <v>346927</v>
      </c>
      <c r="B1082" t="s">
        <v>604</v>
      </c>
      <c r="C1082" t="s">
        <v>1108</v>
      </c>
      <c r="D1082" t="s">
        <v>1464</v>
      </c>
      <c r="E1082">
        <v>2</v>
      </c>
      <c r="F1082">
        <v>22</v>
      </c>
    </row>
    <row r="1083" spans="1:6">
      <c r="A1083">
        <v>346928</v>
      </c>
      <c r="B1083" t="s">
        <v>605</v>
      </c>
      <c r="C1083" t="s">
        <v>1108</v>
      </c>
      <c r="D1083" t="s">
        <v>1464</v>
      </c>
      <c r="E1083">
        <v>2</v>
      </c>
      <c r="F1083">
        <v>31.5</v>
      </c>
    </row>
    <row r="1084" spans="1:6">
      <c r="A1084">
        <v>346929</v>
      </c>
      <c r="B1084" t="s">
        <v>606</v>
      </c>
      <c r="C1084" t="s">
        <v>1721</v>
      </c>
      <c r="D1084" t="s">
        <v>1464</v>
      </c>
      <c r="E1084">
        <v>1</v>
      </c>
      <c r="F1084">
        <v>71</v>
      </c>
    </row>
    <row r="1085" spans="1:6">
      <c r="A1085">
        <v>346930</v>
      </c>
      <c r="B1085" t="s">
        <v>607</v>
      </c>
      <c r="C1085" t="s">
        <v>1721</v>
      </c>
      <c r="D1085" t="s">
        <v>1464</v>
      </c>
      <c r="E1085">
        <v>3</v>
      </c>
      <c r="F1085">
        <v>26</v>
      </c>
    </row>
    <row r="1086" spans="1:6">
      <c r="A1086">
        <v>346931</v>
      </c>
      <c r="B1086" t="s">
        <v>608</v>
      </c>
      <c r="C1086" t="s">
        <v>1721</v>
      </c>
      <c r="D1086" t="s">
        <v>1464</v>
      </c>
      <c r="E1086">
        <v>1</v>
      </c>
      <c r="F1086">
        <v>19</v>
      </c>
    </row>
    <row r="1087" spans="1:6">
      <c r="A1087">
        <v>346932</v>
      </c>
      <c r="B1087" t="s">
        <v>609</v>
      </c>
      <c r="C1087" t="s">
        <v>1721</v>
      </c>
      <c r="D1087" t="s">
        <v>1464</v>
      </c>
      <c r="E1087">
        <v>1</v>
      </c>
      <c r="F1087">
        <v>16.3</v>
      </c>
    </row>
    <row r="1088" spans="1:6">
      <c r="A1088">
        <v>346933</v>
      </c>
      <c r="B1088" t="s">
        <v>610</v>
      </c>
      <c r="C1088" t="s">
        <v>1108</v>
      </c>
      <c r="D1088" t="s">
        <v>1464</v>
      </c>
      <c r="E1088">
        <v>4</v>
      </c>
      <c r="F1088">
        <v>28.5</v>
      </c>
    </row>
    <row r="1089" spans="1:6">
      <c r="A1089">
        <v>346935</v>
      </c>
      <c r="B1089" t="s">
        <v>1998</v>
      </c>
      <c r="C1089" t="s">
        <v>1108</v>
      </c>
      <c r="D1089" t="s">
        <v>1464</v>
      </c>
      <c r="E1089">
        <v>1</v>
      </c>
      <c r="F1089">
        <v>39.5</v>
      </c>
    </row>
    <row r="1090" spans="1:6">
      <c r="A1090">
        <v>346960</v>
      </c>
      <c r="B1090" t="s">
        <v>1228</v>
      </c>
      <c r="C1090" t="s">
        <v>1463</v>
      </c>
      <c r="D1090" t="s">
        <v>1464</v>
      </c>
      <c r="E1090">
        <v>5</v>
      </c>
      <c r="F1090">
        <v>36</v>
      </c>
    </row>
    <row r="1091" spans="1:6">
      <c r="A1091">
        <v>346961</v>
      </c>
      <c r="B1091" t="s">
        <v>1229</v>
      </c>
      <c r="C1091" t="s">
        <v>1463</v>
      </c>
      <c r="D1091" t="s">
        <v>1464</v>
      </c>
      <c r="E1091">
        <v>5</v>
      </c>
      <c r="F1091">
        <v>48</v>
      </c>
    </row>
    <row r="1092" spans="1:6">
      <c r="A1092">
        <v>346962</v>
      </c>
      <c r="B1092" t="s">
        <v>1230</v>
      </c>
      <c r="C1092" t="s">
        <v>1108</v>
      </c>
      <c r="D1092" t="s">
        <v>1464</v>
      </c>
      <c r="E1092">
        <v>5</v>
      </c>
      <c r="F1092">
        <v>52.5</v>
      </c>
    </row>
    <row r="1093" spans="1:6">
      <c r="A1093">
        <v>346963</v>
      </c>
      <c r="B1093" t="s">
        <v>1231</v>
      </c>
      <c r="C1093" t="s">
        <v>1108</v>
      </c>
      <c r="D1093" t="s">
        <v>1464</v>
      </c>
      <c r="E1093">
        <v>5</v>
      </c>
      <c r="F1093">
        <v>58</v>
      </c>
    </row>
    <row r="1094" spans="1:6">
      <c r="A1094">
        <v>346964</v>
      </c>
      <c r="B1094" t="s">
        <v>1232</v>
      </c>
      <c r="C1094" t="s">
        <v>1721</v>
      </c>
      <c r="D1094" t="s">
        <v>1464</v>
      </c>
      <c r="E1094">
        <v>1</v>
      </c>
      <c r="F1094">
        <v>86</v>
      </c>
    </row>
    <row r="1095" spans="1:6">
      <c r="A1095">
        <v>346965</v>
      </c>
      <c r="B1095" t="s">
        <v>1233</v>
      </c>
      <c r="C1095" t="s">
        <v>1721</v>
      </c>
      <c r="D1095" t="s">
        <v>1464</v>
      </c>
      <c r="E1095">
        <v>5</v>
      </c>
      <c r="F1095">
        <v>44</v>
      </c>
    </row>
    <row r="1096" spans="1:6">
      <c r="A1096">
        <v>346966</v>
      </c>
      <c r="B1096" t="s">
        <v>1234</v>
      </c>
      <c r="C1096" t="s">
        <v>1108</v>
      </c>
      <c r="D1096" t="s">
        <v>1464</v>
      </c>
      <c r="E1096">
        <v>3</v>
      </c>
      <c r="F1096">
        <v>49</v>
      </c>
    </row>
    <row r="1097" spans="1:6">
      <c r="A1097">
        <v>346967</v>
      </c>
      <c r="B1097" t="s">
        <v>1235</v>
      </c>
      <c r="C1097" t="s">
        <v>1108</v>
      </c>
      <c r="D1097" t="s">
        <v>1464</v>
      </c>
      <c r="E1097">
        <v>5</v>
      </c>
      <c r="F1097">
        <v>68</v>
      </c>
    </row>
    <row r="1098" spans="1:6">
      <c r="A1098">
        <v>346968</v>
      </c>
      <c r="B1098" t="s">
        <v>1236</v>
      </c>
      <c r="C1098" t="s">
        <v>1108</v>
      </c>
      <c r="D1098" t="s">
        <v>1464</v>
      </c>
      <c r="E1098">
        <v>2</v>
      </c>
      <c r="F1098">
        <v>86</v>
      </c>
    </row>
    <row r="1099" spans="1:6">
      <c r="A1099">
        <v>346969</v>
      </c>
      <c r="B1099" t="s">
        <v>1237</v>
      </c>
      <c r="C1099" t="s">
        <v>1108</v>
      </c>
      <c r="D1099" t="s">
        <v>1464</v>
      </c>
      <c r="E1099">
        <v>5</v>
      </c>
      <c r="F1099">
        <v>22</v>
      </c>
    </row>
    <row r="1100" spans="1:6">
      <c r="A1100">
        <v>346970</v>
      </c>
      <c r="B1100" t="s">
        <v>1017</v>
      </c>
      <c r="C1100" t="s">
        <v>1108</v>
      </c>
      <c r="D1100" t="s">
        <v>1464</v>
      </c>
      <c r="E1100">
        <v>2</v>
      </c>
      <c r="F1100">
        <v>28</v>
      </c>
    </row>
    <row r="1101" spans="1:6">
      <c r="A1101">
        <v>346971</v>
      </c>
      <c r="B1101" t="s">
        <v>415</v>
      </c>
      <c r="C1101" t="s">
        <v>1108</v>
      </c>
      <c r="D1101" t="s">
        <v>1464</v>
      </c>
      <c r="E1101">
        <v>2</v>
      </c>
      <c r="F1101">
        <v>37</v>
      </c>
    </row>
    <row r="1102" spans="1:6">
      <c r="A1102">
        <v>346972</v>
      </c>
      <c r="B1102" t="s">
        <v>964</v>
      </c>
      <c r="C1102" t="s">
        <v>1108</v>
      </c>
      <c r="D1102" t="s">
        <v>1464</v>
      </c>
      <c r="E1102">
        <v>3</v>
      </c>
      <c r="F1102">
        <v>34</v>
      </c>
    </row>
    <row r="1103" spans="1:6">
      <c r="A1103">
        <v>346973</v>
      </c>
      <c r="B1103" t="s">
        <v>965</v>
      </c>
      <c r="C1103" t="s">
        <v>1721</v>
      </c>
      <c r="D1103" t="s">
        <v>1464</v>
      </c>
      <c r="E1103">
        <v>1</v>
      </c>
      <c r="F1103">
        <v>32.5</v>
      </c>
    </row>
    <row r="1104" spans="1:6">
      <c r="A1104">
        <v>346976</v>
      </c>
      <c r="B1104" t="s">
        <v>966</v>
      </c>
      <c r="C1104" t="s">
        <v>1108</v>
      </c>
      <c r="D1104" t="s">
        <v>1464</v>
      </c>
      <c r="E1104">
        <v>1</v>
      </c>
      <c r="F1104">
        <v>62</v>
      </c>
    </row>
    <row r="1105" spans="1:6">
      <c r="A1105">
        <v>346977</v>
      </c>
      <c r="B1105" t="s">
        <v>967</v>
      </c>
      <c r="C1105" t="s">
        <v>1721</v>
      </c>
      <c r="D1105" t="s">
        <v>1464</v>
      </c>
      <c r="E1105">
        <v>5</v>
      </c>
      <c r="F1105">
        <v>17.5</v>
      </c>
    </row>
    <row r="1106" spans="1:6">
      <c r="A1106">
        <v>346978</v>
      </c>
      <c r="B1106" t="s">
        <v>968</v>
      </c>
      <c r="C1106" t="s">
        <v>1721</v>
      </c>
      <c r="D1106" t="s">
        <v>1464</v>
      </c>
      <c r="E1106">
        <v>5</v>
      </c>
      <c r="F1106">
        <v>14.3</v>
      </c>
    </row>
    <row r="1107" spans="1:6">
      <c r="A1107">
        <v>346979</v>
      </c>
      <c r="B1107" t="s">
        <v>1759</v>
      </c>
      <c r="C1107" t="s">
        <v>1721</v>
      </c>
      <c r="D1107" t="s">
        <v>1464</v>
      </c>
      <c r="E1107">
        <v>5</v>
      </c>
      <c r="F1107">
        <v>44.5</v>
      </c>
    </row>
    <row r="1108" spans="1:6">
      <c r="A1108">
        <v>346980</v>
      </c>
      <c r="B1108" t="s">
        <v>969</v>
      </c>
      <c r="C1108" t="s">
        <v>1915</v>
      </c>
      <c r="D1108" t="s">
        <v>1464</v>
      </c>
      <c r="E1108">
        <v>5</v>
      </c>
      <c r="F1108">
        <v>28</v>
      </c>
    </row>
    <row r="1109" spans="1:6">
      <c r="A1109">
        <v>346981</v>
      </c>
      <c r="B1109" t="s">
        <v>970</v>
      </c>
      <c r="C1109" t="s">
        <v>1463</v>
      </c>
      <c r="D1109" t="s">
        <v>1464</v>
      </c>
      <c r="E1109">
        <v>5</v>
      </c>
      <c r="F1109">
        <v>31.5</v>
      </c>
    </row>
    <row r="1110" spans="1:6">
      <c r="A1110">
        <v>346982</v>
      </c>
      <c r="B1110" t="s">
        <v>971</v>
      </c>
      <c r="C1110" t="s">
        <v>1463</v>
      </c>
      <c r="D1110" t="s">
        <v>1464</v>
      </c>
      <c r="E1110">
        <v>5</v>
      </c>
      <c r="F1110">
        <v>36.5</v>
      </c>
    </row>
    <row r="1111" spans="1:6">
      <c r="A1111">
        <v>346983</v>
      </c>
      <c r="B1111" t="s">
        <v>972</v>
      </c>
      <c r="C1111" t="s">
        <v>1108</v>
      </c>
      <c r="D1111" t="s">
        <v>1464</v>
      </c>
      <c r="E1111">
        <v>5</v>
      </c>
      <c r="F1111">
        <v>41.5</v>
      </c>
    </row>
    <row r="1112" spans="1:6">
      <c r="A1112">
        <v>346984</v>
      </c>
      <c r="B1112" t="s">
        <v>973</v>
      </c>
      <c r="C1112" t="s">
        <v>1108</v>
      </c>
      <c r="D1112" t="s">
        <v>1464</v>
      </c>
      <c r="E1112">
        <v>5</v>
      </c>
      <c r="F1112">
        <v>24</v>
      </c>
    </row>
    <row r="1113" spans="1:6">
      <c r="A1113">
        <v>346985</v>
      </c>
      <c r="B1113" t="s">
        <v>974</v>
      </c>
      <c r="C1113" t="s">
        <v>1463</v>
      </c>
      <c r="D1113" t="s">
        <v>1464</v>
      </c>
      <c r="E1113">
        <v>5</v>
      </c>
      <c r="F1113">
        <v>50</v>
      </c>
    </row>
    <row r="1114" spans="1:6">
      <c r="A1114">
        <v>346986</v>
      </c>
      <c r="B1114" t="s">
        <v>975</v>
      </c>
      <c r="C1114" t="s">
        <v>1721</v>
      </c>
      <c r="D1114" t="s">
        <v>1464</v>
      </c>
      <c r="E1114">
        <v>2</v>
      </c>
      <c r="F1114">
        <v>44</v>
      </c>
    </row>
    <row r="1115" spans="1:6">
      <c r="A1115">
        <v>346987</v>
      </c>
      <c r="B1115" t="s">
        <v>976</v>
      </c>
      <c r="C1115" t="s">
        <v>1721</v>
      </c>
      <c r="D1115" t="s">
        <v>1464</v>
      </c>
      <c r="E1115">
        <v>2</v>
      </c>
      <c r="F1115">
        <v>51.5</v>
      </c>
    </row>
    <row r="1116" spans="1:6">
      <c r="A1116">
        <v>346988</v>
      </c>
      <c r="B1116" t="s">
        <v>977</v>
      </c>
      <c r="C1116" t="s">
        <v>1108</v>
      </c>
      <c r="D1116" t="s">
        <v>1464</v>
      </c>
      <c r="E1116">
        <v>2</v>
      </c>
      <c r="F1116">
        <v>19.5</v>
      </c>
    </row>
    <row r="1117" spans="1:6">
      <c r="A1117">
        <v>346989</v>
      </c>
      <c r="B1117" t="s">
        <v>978</v>
      </c>
      <c r="C1117" t="s">
        <v>1108</v>
      </c>
      <c r="D1117" t="s">
        <v>1464</v>
      </c>
      <c r="E1117">
        <v>2</v>
      </c>
      <c r="F1117">
        <v>23.5</v>
      </c>
    </row>
    <row r="1118" spans="1:6">
      <c r="A1118">
        <v>346990</v>
      </c>
      <c r="B1118" t="s">
        <v>979</v>
      </c>
      <c r="C1118" t="s">
        <v>1721</v>
      </c>
      <c r="D1118" t="s">
        <v>1464</v>
      </c>
      <c r="E1118">
        <v>1</v>
      </c>
      <c r="F1118">
        <v>60</v>
      </c>
    </row>
    <row r="1119" spans="1:6">
      <c r="A1119">
        <v>346991</v>
      </c>
      <c r="B1119" t="s">
        <v>980</v>
      </c>
      <c r="C1119" t="s">
        <v>1108</v>
      </c>
      <c r="D1119" t="s">
        <v>1464</v>
      </c>
      <c r="E1119">
        <v>5</v>
      </c>
      <c r="F1119">
        <v>20</v>
      </c>
    </row>
    <row r="1120" spans="1:6">
      <c r="A1120">
        <v>346992</v>
      </c>
      <c r="B1120" t="s">
        <v>981</v>
      </c>
      <c r="C1120" t="s">
        <v>1721</v>
      </c>
      <c r="D1120" t="s">
        <v>1464</v>
      </c>
      <c r="E1120">
        <v>1</v>
      </c>
      <c r="F1120">
        <v>60.5</v>
      </c>
    </row>
    <row r="1121" spans="1:6">
      <c r="A1121">
        <v>346993</v>
      </c>
      <c r="B1121" t="s">
        <v>1709</v>
      </c>
      <c r="C1121" t="s">
        <v>1721</v>
      </c>
      <c r="D1121" t="s">
        <v>1464</v>
      </c>
      <c r="E1121">
        <v>9</v>
      </c>
      <c r="F1121">
        <v>16.5</v>
      </c>
    </row>
    <row r="1122" spans="1:6">
      <c r="A1122">
        <v>346994</v>
      </c>
      <c r="B1122" t="s">
        <v>1710</v>
      </c>
      <c r="C1122" t="s">
        <v>1721</v>
      </c>
      <c r="D1122" t="s">
        <v>1464</v>
      </c>
      <c r="E1122">
        <v>5</v>
      </c>
      <c r="F1122">
        <v>13.3</v>
      </c>
    </row>
    <row r="1123" spans="1:6">
      <c r="A1123">
        <v>346995</v>
      </c>
      <c r="B1123" t="s">
        <v>1711</v>
      </c>
      <c r="C1123" t="s">
        <v>1108</v>
      </c>
      <c r="D1123" t="s">
        <v>1464</v>
      </c>
      <c r="E1123">
        <v>6</v>
      </c>
      <c r="F1123">
        <v>26</v>
      </c>
    </row>
    <row r="1124" spans="1:6">
      <c r="A1124">
        <v>346996</v>
      </c>
      <c r="B1124" t="s">
        <v>1712</v>
      </c>
      <c r="C1124" t="s">
        <v>1463</v>
      </c>
      <c r="D1124" t="s">
        <v>1464</v>
      </c>
      <c r="E1124">
        <v>6</v>
      </c>
      <c r="F1124">
        <v>26.5</v>
      </c>
    </row>
    <row r="1125" spans="1:6">
      <c r="A1125">
        <v>346997</v>
      </c>
      <c r="B1125" t="s">
        <v>401</v>
      </c>
      <c r="C1125" t="s">
        <v>1108</v>
      </c>
      <c r="D1125" t="s">
        <v>1464</v>
      </c>
      <c r="E1125">
        <v>5</v>
      </c>
      <c r="F1125">
        <v>26.5</v>
      </c>
    </row>
    <row r="1126" spans="1:6">
      <c r="A1126">
        <v>346998</v>
      </c>
      <c r="B1126" t="s">
        <v>439</v>
      </c>
      <c r="C1126" t="s">
        <v>1792</v>
      </c>
      <c r="D1126" t="s">
        <v>1464</v>
      </c>
      <c r="E1126">
        <v>20</v>
      </c>
      <c r="F1126">
        <v>3.4</v>
      </c>
    </row>
    <row r="1127" spans="1:6">
      <c r="A1127">
        <v>346999</v>
      </c>
      <c r="B1127" t="s">
        <v>375</v>
      </c>
      <c r="D1127" t="s">
        <v>1464</v>
      </c>
      <c r="E1127">
        <v>2</v>
      </c>
      <c r="F1127">
        <v>30</v>
      </c>
    </row>
    <row r="1128" spans="1:6">
      <c r="A1128">
        <v>347040</v>
      </c>
      <c r="B1128" t="s">
        <v>800</v>
      </c>
      <c r="D1128" t="s">
        <v>1464</v>
      </c>
      <c r="E1128">
        <v>5</v>
      </c>
      <c r="F1128">
        <v>63</v>
      </c>
    </row>
    <row r="1129" spans="1:6">
      <c r="A1129">
        <v>347041</v>
      </c>
      <c r="B1129" t="s">
        <v>801</v>
      </c>
      <c r="D1129" t="s">
        <v>1464</v>
      </c>
      <c r="E1129">
        <v>3</v>
      </c>
      <c r="F1129">
        <v>64</v>
      </c>
    </row>
    <row r="1130" spans="1:6">
      <c r="A1130">
        <v>347042</v>
      </c>
      <c r="B1130" t="s">
        <v>802</v>
      </c>
      <c r="D1130" t="s">
        <v>1464</v>
      </c>
      <c r="E1130">
        <v>5</v>
      </c>
      <c r="F1130">
        <v>70.5</v>
      </c>
    </row>
    <row r="1131" spans="1:6">
      <c r="A1131">
        <v>347043</v>
      </c>
      <c r="B1131" t="s">
        <v>803</v>
      </c>
      <c r="D1131" t="s">
        <v>1464</v>
      </c>
      <c r="E1131">
        <v>2</v>
      </c>
      <c r="F1131">
        <v>77</v>
      </c>
    </row>
    <row r="1132" spans="1:6">
      <c r="A1132">
        <v>347044</v>
      </c>
      <c r="B1132" t="s">
        <v>804</v>
      </c>
      <c r="D1132" t="s">
        <v>1464</v>
      </c>
      <c r="E1132">
        <v>1</v>
      </c>
      <c r="F1132">
        <v>58.5</v>
      </c>
    </row>
    <row r="1133" spans="1:6">
      <c r="A1133">
        <v>347045</v>
      </c>
      <c r="B1133" t="s">
        <v>805</v>
      </c>
      <c r="D1133" t="s">
        <v>1464</v>
      </c>
      <c r="E1133">
        <v>1</v>
      </c>
      <c r="F1133">
        <v>65</v>
      </c>
    </row>
    <row r="1134" spans="1:6">
      <c r="A1134">
        <v>347046</v>
      </c>
      <c r="B1134" t="s">
        <v>806</v>
      </c>
      <c r="D1134" t="s">
        <v>1464</v>
      </c>
      <c r="E1134">
        <v>2</v>
      </c>
      <c r="F1134">
        <v>91</v>
      </c>
    </row>
    <row r="1135" spans="1:6">
      <c r="A1135">
        <v>347047</v>
      </c>
      <c r="B1135" t="s">
        <v>807</v>
      </c>
      <c r="D1135" t="s">
        <v>1464</v>
      </c>
      <c r="E1135">
        <v>1</v>
      </c>
      <c r="F1135">
        <v>115.5</v>
      </c>
    </row>
    <row r="1136" spans="1:6">
      <c r="A1136">
        <v>347048</v>
      </c>
      <c r="B1136" t="s">
        <v>808</v>
      </c>
      <c r="D1136" t="s">
        <v>1464</v>
      </c>
      <c r="E1136">
        <v>2</v>
      </c>
      <c r="F1136">
        <v>27.5</v>
      </c>
    </row>
    <row r="1137" spans="1:6">
      <c r="A1137">
        <v>347049</v>
      </c>
      <c r="B1137" t="s">
        <v>809</v>
      </c>
      <c r="D1137" t="s">
        <v>1464</v>
      </c>
      <c r="E1137">
        <v>2</v>
      </c>
      <c r="F1137">
        <v>36.5</v>
      </c>
    </row>
    <row r="1138" spans="1:6">
      <c r="A1138">
        <v>347050</v>
      </c>
      <c r="B1138" t="s">
        <v>810</v>
      </c>
      <c r="D1138" t="s">
        <v>1464</v>
      </c>
      <c r="E1138">
        <v>1</v>
      </c>
      <c r="F1138">
        <v>59</v>
      </c>
    </row>
    <row r="1139" spans="1:6">
      <c r="A1139">
        <v>347051</v>
      </c>
      <c r="B1139" t="s">
        <v>811</v>
      </c>
      <c r="D1139" t="s">
        <v>1464</v>
      </c>
      <c r="E1139">
        <v>1</v>
      </c>
      <c r="F1139">
        <v>115.5</v>
      </c>
    </row>
    <row r="1140" spans="1:6">
      <c r="A1140">
        <v>347052</v>
      </c>
      <c r="B1140" t="s">
        <v>812</v>
      </c>
      <c r="D1140" t="s">
        <v>1464</v>
      </c>
      <c r="E1140">
        <v>2</v>
      </c>
      <c r="F1140">
        <v>27.5</v>
      </c>
    </row>
    <row r="1141" spans="1:6">
      <c r="A1141">
        <v>347053</v>
      </c>
      <c r="B1141" t="s">
        <v>813</v>
      </c>
      <c r="D1141" t="s">
        <v>1464</v>
      </c>
      <c r="E1141">
        <v>1</v>
      </c>
      <c r="F1141">
        <v>82.5</v>
      </c>
    </row>
    <row r="1142" spans="1:6">
      <c r="A1142">
        <v>347054</v>
      </c>
      <c r="B1142" t="s">
        <v>814</v>
      </c>
      <c r="D1142" t="s">
        <v>1464</v>
      </c>
      <c r="E1142">
        <v>1</v>
      </c>
      <c r="F1142">
        <v>15.3</v>
      </c>
    </row>
    <row r="1143" spans="1:6">
      <c r="A1143">
        <v>347055</v>
      </c>
      <c r="B1143" t="s">
        <v>815</v>
      </c>
      <c r="D1143" t="s">
        <v>1464</v>
      </c>
      <c r="E1143">
        <v>1</v>
      </c>
      <c r="F1143">
        <v>18.3</v>
      </c>
    </row>
    <row r="1144" spans="1:6">
      <c r="A1144">
        <v>347056</v>
      </c>
      <c r="B1144" t="s">
        <v>816</v>
      </c>
      <c r="D1144" t="s">
        <v>1464</v>
      </c>
      <c r="E1144">
        <v>5</v>
      </c>
      <c r="F1144">
        <v>37.5</v>
      </c>
    </row>
    <row r="1145" spans="1:6">
      <c r="A1145">
        <v>347057</v>
      </c>
      <c r="B1145" t="s">
        <v>817</v>
      </c>
      <c r="D1145" t="s">
        <v>1464</v>
      </c>
      <c r="E1145">
        <v>5</v>
      </c>
      <c r="F1145">
        <v>37.5</v>
      </c>
    </row>
    <row r="1146" spans="1:6">
      <c r="A1146">
        <v>347070</v>
      </c>
      <c r="B1146" t="s">
        <v>818</v>
      </c>
      <c r="D1146" t="s">
        <v>1464</v>
      </c>
      <c r="E1146">
        <v>5</v>
      </c>
      <c r="F1146">
        <v>26</v>
      </c>
    </row>
    <row r="1147" spans="1:6">
      <c r="A1147">
        <v>347071</v>
      </c>
      <c r="B1147" t="s">
        <v>819</v>
      </c>
      <c r="D1147" t="s">
        <v>1464</v>
      </c>
      <c r="E1147">
        <v>5</v>
      </c>
      <c r="F1147">
        <v>30</v>
      </c>
    </row>
    <row r="1148" spans="1:6">
      <c r="A1148">
        <v>347072</v>
      </c>
      <c r="B1148" t="s">
        <v>820</v>
      </c>
      <c r="D1148" t="s">
        <v>1464</v>
      </c>
      <c r="E1148">
        <v>2</v>
      </c>
      <c r="F1148">
        <v>35</v>
      </c>
    </row>
    <row r="1149" spans="1:6">
      <c r="A1149">
        <v>347073</v>
      </c>
      <c r="B1149" t="s">
        <v>821</v>
      </c>
      <c r="D1149" t="s">
        <v>1464</v>
      </c>
      <c r="E1149">
        <v>3</v>
      </c>
      <c r="F1149">
        <v>40</v>
      </c>
    </row>
    <row r="1150" spans="1:6">
      <c r="A1150">
        <v>347074</v>
      </c>
      <c r="B1150" t="s">
        <v>822</v>
      </c>
      <c r="D1150" t="s">
        <v>1464</v>
      </c>
      <c r="E1150">
        <v>3</v>
      </c>
      <c r="F1150">
        <v>23</v>
      </c>
    </row>
    <row r="1151" spans="1:6">
      <c r="A1151">
        <v>347075</v>
      </c>
      <c r="B1151" t="s">
        <v>823</v>
      </c>
      <c r="D1151" t="s">
        <v>1464</v>
      </c>
      <c r="E1151">
        <v>2</v>
      </c>
      <c r="F1151">
        <v>38</v>
      </c>
    </row>
    <row r="1152" spans="1:6">
      <c r="A1152">
        <v>347076</v>
      </c>
      <c r="B1152" t="s">
        <v>824</v>
      </c>
      <c r="D1152" t="s">
        <v>1464</v>
      </c>
      <c r="E1152">
        <v>1</v>
      </c>
      <c r="F1152">
        <v>45</v>
      </c>
    </row>
    <row r="1153" spans="1:6">
      <c r="A1153">
        <v>347077</v>
      </c>
      <c r="B1153" t="s">
        <v>825</v>
      </c>
      <c r="D1153" t="s">
        <v>1464</v>
      </c>
      <c r="E1153">
        <v>2</v>
      </c>
      <c r="F1153">
        <v>22</v>
      </c>
    </row>
    <row r="1154" spans="1:6">
      <c r="A1154">
        <v>347078</v>
      </c>
      <c r="B1154" t="s">
        <v>826</v>
      </c>
      <c r="D1154" t="s">
        <v>1464</v>
      </c>
      <c r="E1154">
        <v>2</v>
      </c>
      <c r="F1154">
        <v>27</v>
      </c>
    </row>
    <row r="1155" spans="1:6">
      <c r="A1155">
        <v>347079</v>
      </c>
      <c r="B1155" t="s">
        <v>827</v>
      </c>
      <c r="D1155" t="s">
        <v>1464</v>
      </c>
      <c r="E1155">
        <v>1</v>
      </c>
      <c r="F1155">
        <v>27</v>
      </c>
    </row>
    <row r="1156" spans="1:6">
      <c r="A1156">
        <v>347080</v>
      </c>
      <c r="B1156" t="s">
        <v>828</v>
      </c>
      <c r="D1156" t="s">
        <v>1464</v>
      </c>
      <c r="E1156">
        <v>1</v>
      </c>
      <c r="F1156">
        <v>59</v>
      </c>
    </row>
    <row r="1157" spans="1:6">
      <c r="A1157">
        <v>347081</v>
      </c>
      <c r="B1157" t="s">
        <v>829</v>
      </c>
      <c r="D1157" t="s">
        <v>1464</v>
      </c>
      <c r="E1157">
        <v>2</v>
      </c>
      <c r="F1157">
        <v>18.5</v>
      </c>
    </row>
    <row r="1158" spans="1:6">
      <c r="A1158">
        <v>347082</v>
      </c>
      <c r="B1158" t="s">
        <v>830</v>
      </c>
      <c r="D1158" t="s">
        <v>1464</v>
      </c>
      <c r="E1158">
        <v>1</v>
      </c>
      <c r="F1158">
        <v>68</v>
      </c>
    </row>
    <row r="1159" spans="1:6">
      <c r="A1159">
        <v>347083</v>
      </c>
      <c r="B1159" t="s">
        <v>831</v>
      </c>
      <c r="D1159" t="s">
        <v>1464</v>
      </c>
      <c r="E1159">
        <v>1</v>
      </c>
      <c r="F1159">
        <v>17</v>
      </c>
    </row>
    <row r="1160" spans="1:6">
      <c r="A1160">
        <v>347084</v>
      </c>
      <c r="B1160" t="s">
        <v>832</v>
      </c>
      <c r="D1160" t="s">
        <v>1464</v>
      </c>
      <c r="E1160">
        <v>1</v>
      </c>
      <c r="F1160">
        <v>14.3</v>
      </c>
    </row>
    <row r="1161" spans="1:6">
      <c r="A1161">
        <v>347085</v>
      </c>
      <c r="B1161" t="s">
        <v>833</v>
      </c>
      <c r="D1161" t="s">
        <v>1464</v>
      </c>
      <c r="E1161">
        <v>6</v>
      </c>
      <c r="F1161">
        <v>27.5</v>
      </c>
    </row>
    <row r="1162" spans="1:6">
      <c r="A1162">
        <v>347100</v>
      </c>
      <c r="B1162" t="s">
        <v>834</v>
      </c>
      <c r="D1162" t="s">
        <v>1464</v>
      </c>
      <c r="E1162">
        <v>5</v>
      </c>
      <c r="F1162">
        <v>32</v>
      </c>
    </row>
    <row r="1163" spans="1:6">
      <c r="A1163">
        <v>347101</v>
      </c>
      <c r="B1163" t="s">
        <v>835</v>
      </c>
      <c r="D1163" t="s">
        <v>1464</v>
      </c>
      <c r="E1163">
        <v>5</v>
      </c>
      <c r="F1163">
        <v>38</v>
      </c>
    </row>
    <row r="1164" spans="1:6">
      <c r="A1164">
        <v>347102</v>
      </c>
      <c r="B1164" t="s">
        <v>836</v>
      </c>
      <c r="D1164" t="s">
        <v>1464</v>
      </c>
      <c r="E1164">
        <v>5</v>
      </c>
      <c r="F1164">
        <v>43</v>
      </c>
    </row>
    <row r="1165" spans="1:6">
      <c r="A1165">
        <v>347103</v>
      </c>
      <c r="B1165" t="s">
        <v>837</v>
      </c>
      <c r="D1165" t="s">
        <v>1464</v>
      </c>
      <c r="E1165">
        <v>5</v>
      </c>
      <c r="F1165">
        <v>46</v>
      </c>
    </row>
    <row r="1166" spans="1:6">
      <c r="A1166">
        <v>347104</v>
      </c>
      <c r="B1166" t="s">
        <v>838</v>
      </c>
      <c r="D1166" t="s">
        <v>1464</v>
      </c>
      <c r="E1166">
        <v>5</v>
      </c>
      <c r="F1166">
        <v>30.5</v>
      </c>
    </row>
    <row r="1167" spans="1:6">
      <c r="A1167">
        <v>347105</v>
      </c>
      <c r="B1167" t="s">
        <v>839</v>
      </c>
      <c r="D1167" t="s">
        <v>1464</v>
      </c>
      <c r="E1167">
        <v>1</v>
      </c>
      <c r="F1167">
        <v>51.5</v>
      </c>
    </row>
    <row r="1168" spans="1:6">
      <c r="A1168">
        <v>347106</v>
      </c>
      <c r="B1168" t="s">
        <v>840</v>
      </c>
      <c r="D1168" t="s">
        <v>1464</v>
      </c>
      <c r="E1168">
        <v>2</v>
      </c>
      <c r="F1168">
        <v>63.5</v>
      </c>
    </row>
    <row r="1169" spans="1:6">
      <c r="A1169">
        <v>347107</v>
      </c>
      <c r="B1169" t="s">
        <v>841</v>
      </c>
      <c r="D1169" t="s">
        <v>1464</v>
      </c>
      <c r="E1169">
        <v>1</v>
      </c>
      <c r="F1169">
        <v>72</v>
      </c>
    </row>
    <row r="1170" spans="1:6">
      <c r="A1170">
        <v>347108</v>
      </c>
      <c r="B1170" t="s">
        <v>842</v>
      </c>
      <c r="D1170" t="s">
        <v>1464</v>
      </c>
      <c r="E1170">
        <v>1</v>
      </c>
      <c r="F1170">
        <v>22</v>
      </c>
    </row>
    <row r="1171" spans="1:6">
      <c r="A1171">
        <v>347109</v>
      </c>
      <c r="B1171" t="s">
        <v>843</v>
      </c>
      <c r="D1171" t="s">
        <v>1464</v>
      </c>
      <c r="E1171">
        <v>1</v>
      </c>
      <c r="F1171">
        <v>31</v>
      </c>
    </row>
    <row r="1172" spans="1:6">
      <c r="A1172">
        <v>347110</v>
      </c>
      <c r="B1172" t="s">
        <v>844</v>
      </c>
      <c r="D1172" t="s">
        <v>1464</v>
      </c>
      <c r="E1172">
        <v>1</v>
      </c>
      <c r="F1172">
        <v>36</v>
      </c>
    </row>
    <row r="1173" spans="1:6">
      <c r="A1173">
        <v>347111</v>
      </c>
      <c r="B1173" t="s">
        <v>845</v>
      </c>
      <c r="D1173" t="s">
        <v>1464</v>
      </c>
      <c r="E1173">
        <v>1</v>
      </c>
      <c r="F1173">
        <v>60.5</v>
      </c>
    </row>
    <row r="1174" spans="1:6">
      <c r="A1174">
        <v>347112</v>
      </c>
      <c r="B1174" t="s">
        <v>846</v>
      </c>
      <c r="D1174" t="s">
        <v>1464</v>
      </c>
      <c r="E1174">
        <v>2</v>
      </c>
      <c r="F1174">
        <v>21.5</v>
      </c>
    </row>
    <row r="1175" spans="1:6">
      <c r="A1175">
        <v>347113</v>
      </c>
      <c r="B1175" t="s">
        <v>847</v>
      </c>
      <c r="D1175" t="s">
        <v>1464</v>
      </c>
      <c r="E1175">
        <v>1</v>
      </c>
      <c r="F1175">
        <v>65.5</v>
      </c>
    </row>
    <row r="1176" spans="1:6">
      <c r="A1176">
        <v>347114</v>
      </c>
      <c r="B1176" t="s">
        <v>848</v>
      </c>
      <c r="D1176" t="s">
        <v>1464</v>
      </c>
      <c r="E1176">
        <v>1</v>
      </c>
      <c r="F1176">
        <v>17.5</v>
      </c>
    </row>
    <row r="1177" spans="1:6">
      <c r="A1177">
        <v>347115</v>
      </c>
      <c r="B1177" t="s">
        <v>849</v>
      </c>
      <c r="D1177" t="s">
        <v>1464</v>
      </c>
      <c r="E1177">
        <v>1</v>
      </c>
      <c r="F1177">
        <v>14.3</v>
      </c>
    </row>
    <row r="1178" spans="1:6">
      <c r="A1178">
        <v>347116</v>
      </c>
      <c r="B1178" t="s">
        <v>850</v>
      </c>
      <c r="D1178" t="s">
        <v>1464</v>
      </c>
      <c r="E1178">
        <v>5</v>
      </c>
      <c r="F1178">
        <v>28.5</v>
      </c>
    </row>
    <row r="1179" spans="1:6">
      <c r="A1179">
        <v>347117</v>
      </c>
      <c r="B1179" t="s">
        <v>851</v>
      </c>
      <c r="D1179" t="s">
        <v>1464</v>
      </c>
      <c r="E1179">
        <v>1</v>
      </c>
      <c r="F1179">
        <v>30</v>
      </c>
    </row>
    <row r="1180" spans="1:6">
      <c r="A1180">
        <v>348342</v>
      </c>
      <c r="B1180" t="s">
        <v>1713</v>
      </c>
      <c r="C1180" t="s">
        <v>1108</v>
      </c>
      <c r="D1180" t="s">
        <v>1464</v>
      </c>
      <c r="E1180">
        <v>5</v>
      </c>
      <c r="F1180">
        <v>52</v>
      </c>
    </row>
    <row r="1181" spans="1:6">
      <c r="A1181">
        <v>348345</v>
      </c>
      <c r="B1181" t="s">
        <v>1714</v>
      </c>
      <c r="C1181" t="s">
        <v>1108</v>
      </c>
      <c r="D1181" t="s">
        <v>1464</v>
      </c>
      <c r="E1181">
        <v>5</v>
      </c>
      <c r="F1181">
        <v>62</v>
      </c>
    </row>
    <row r="1182" spans="1:6">
      <c r="A1182">
        <v>348346</v>
      </c>
      <c r="B1182" t="s">
        <v>1760</v>
      </c>
      <c r="C1182" t="s">
        <v>1108</v>
      </c>
      <c r="D1182" t="s">
        <v>1464</v>
      </c>
      <c r="E1182">
        <v>4</v>
      </c>
      <c r="F1182">
        <v>74</v>
      </c>
    </row>
    <row r="1183" spans="1:6">
      <c r="A1183">
        <v>348347</v>
      </c>
      <c r="B1183" t="s">
        <v>1269</v>
      </c>
      <c r="C1183" t="s">
        <v>1721</v>
      </c>
      <c r="D1183" t="s">
        <v>1464</v>
      </c>
      <c r="E1183">
        <v>4</v>
      </c>
      <c r="F1183">
        <v>74</v>
      </c>
    </row>
    <row r="1184" spans="1:6">
      <c r="A1184">
        <v>348350</v>
      </c>
      <c r="B1184" t="s">
        <v>1270</v>
      </c>
      <c r="C1184" t="s">
        <v>1721</v>
      </c>
      <c r="D1184" t="s">
        <v>1464</v>
      </c>
      <c r="E1184">
        <v>1</v>
      </c>
      <c r="F1184">
        <v>55</v>
      </c>
    </row>
    <row r="1185" spans="1:6">
      <c r="A1185">
        <v>348351</v>
      </c>
      <c r="B1185" t="s">
        <v>1271</v>
      </c>
      <c r="C1185" t="s">
        <v>1108</v>
      </c>
      <c r="D1185" t="s">
        <v>1464</v>
      </c>
      <c r="E1185">
        <v>1</v>
      </c>
      <c r="F1185">
        <v>65</v>
      </c>
    </row>
    <row r="1186" spans="1:6">
      <c r="A1186">
        <v>348352</v>
      </c>
      <c r="B1186" t="s">
        <v>1272</v>
      </c>
      <c r="C1186" t="s">
        <v>1108</v>
      </c>
      <c r="D1186" t="s">
        <v>1464</v>
      </c>
      <c r="E1186">
        <v>1</v>
      </c>
      <c r="F1186">
        <v>77</v>
      </c>
    </row>
    <row r="1187" spans="1:6">
      <c r="A1187">
        <v>348353</v>
      </c>
      <c r="B1187" t="s">
        <v>1273</v>
      </c>
      <c r="C1187" t="s">
        <v>1108</v>
      </c>
      <c r="D1187" t="s">
        <v>1464</v>
      </c>
      <c r="E1187">
        <v>1</v>
      </c>
      <c r="F1187">
        <v>80</v>
      </c>
    </row>
    <row r="1188" spans="1:6">
      <c r="A1188">
        <v>348370</v>
      </c>
      <c r="B1188" t="s">
        <v>852</v>
      </c>
      <c r="D1188" t="s">
        <v>1464</v>
      </c>
      <c r="E1188">
        <v>1</v>
      </c>
      <c r="F1188">
        <v>55</v>
      </c>
    </row>
    <row r="1189" spans="1:6">
      <c r="A1189">
        <v>348371</v>
      </c>
      <c r="B1189" t="s">
        <v>853</v>
      </c>
      <c r="D1189" t="s">
        <v>1464</v>
      </c>
      <c r="E1189">
        <v>1</v>
      </c>
      <c r="F1189">
        <v>65</v>
      </c>
    </row>
    <row r="1190" spans="1:6">
      <c r="A1190">
        <v>348372</v>
      </c>
      <c r="B1190" t="s">
        <v>854</v>
      </c>
      <c r="D1190" t="s">
        <v>1464</v>
      </c>
      <c r="E1190">
        <v>1</v>
      </c>
      <c r="F1190">
        <v>77</v>
      </c>
    </row>
    <row r="1191" spans="1:6">
      <c r="A1191">
        <v>348373</v>
      </c>
      <c r="B1191" t="s">
        <v>855</v>
      </c>
      <c r="D1191" t="s">
        <v>1464</v>
      </c>
      <c r="E1191">
        <v>1</v>
      </c>
      <c r="F1191">
        <v>80</v>
      </c>
    </row>
    <row r="1192" spans="1:6">
      <c r="A1192">
        <v>350120</v>
      </c>
      <c r="B1192" t="s">
        <v>164</v>
      </c>
      <c r="D1192" t="s">
        <v>1464</v>
      </c>
      <c r="E1192">
        <v>12</v>
      </c>
      <c r="F1192">
        <v>3.9</v>
      </c>
    </row>
    <row r="1193" spans="1:6">
      <c r="A1193">
        <v>350121</v>
      </c>
      <c r="B1193" t="s">
        <v>165</v>
      </c>
      <c r="D1193" t="s">
        <v>1464</v>
      </c>
      <c r="E1193">
        <v>12</v>
      </c>
      <c r="F1193">
        <v>8.5</v>
      </c>
    </row>
    <row r="1194" spans="1:6">
      <c r="A1194">
        <v>350122</v>
      </c>
      <c r="B1194" t="s">
        <v>166</v>
      </c>
      <c r="D1194" t="s">
        <v>1464</v>
      </c>
      <c r="E1194">
        <v>12</v>
      </c>
      <c r="F1194">
        <v>16.899999999999999</v>
      </c>
    </row>
    <row r="1195" spans="1:6">
      <c r="A1195">
        <v>360031</v>
      </c>
      <c r="B1195" t="s">
        <v>167</v>
      </c>
      <c r="C1195" t="s">
        <v>1108</v>
      </c>
      <c r="D1195" t="s">
        <v>1464</v>
      </c>
      <c r="E1195">
        <v>318</v>
      </c>
      <c r="F1195">
        <v>4.5999999999999996</v>
      </c>
    </row>
    <row r="1196" spans="1:6">
      <c r="A1196">
        <v>360032</v>
      </c>
      <c r="B1196" t="s">
        <v>168</v>
      </c>
      <c r="C1196" t="s">
        <v>1108</v>
      </c>
      <c r="D1196" t="s">
        <v>1464</v>
      </c>
      <c r="E1196">
        <v>159</v>
      </c>
      <c r="F1196">
        <v>7.35</v>
      </c>
    </row>
    <row r="1197" spans="1:6">
      <c r="A1197">
        <v>360034</v>
      </c>
      <c r="B1197" t="s">
        <v>169</v>
      </c>
      <c r="C1197" t="s">
        <v>1108</v>
      </c>
      <c r="D1197" t="s">
        <v>1464</v>
      </c>
      <c r="E1197">
        <v>212</v>
      </c>
      <c r="F1197">
        <v>5.8</v>
      </c>
    </row>
    <row r="1198" spans="1:6">
      <c r="A1198">
        <v>360035</v>
      </c>
      <c r="B1198" t="s">
        <v>170</v>
      </c>
      <c r="C1198" t="s">
        <v>1108</v>
      </c>
      <c r="D1198" t="s">
        <v>1464</v>
      </c>
      <c r="E1198">
        <v>106</v>
      </c>
      <c r="F1198">
        <v>9.9499999999999993</v>
      </c>
    </row>
    <row r="1199" spans="1:6">
      <c r="A1199">
        <v>360073</v>
      </c>
      <c r="B1199" t="s">
        <v>171</v>
      </c>
      <c r="C1199" t="s">
        <v>1467</v>
      </c>
      <c r="D1199" t="s">
        <v>1464</v>
      </c>
      <c r="E1199">
        <v>84</v>
      </c>
      <c r="F1199">
        <v>17.579999999999998</v>
      </c>
    </row>
    <row r="1200" spans="1:6">
      <c r="A1200">
        <v>360074</v>
      </c>
      <c r="B1200" t="s">
        <v>172</v>
      </c>
      <c r="C1200" t="s">
        <v>1108</v>
      </c>
      <c r="D1200" t="s">
        <v>1464</v>
      </c>
      <c r="E1200">
        <v>42</v>
      </c>
      <c r="F1200">
        <v>24.44</v>
      </c>
    </row>
    <row r="1201" spans="1:6">
      <c r="A1201">
        <v>360075</v>
      </c>
      <c r="B1201" t="s">
        <v>173</v>
      </c>
      <c r="C1201" t="s">
        <v>1463</v>
      </c>
      <c r="D1201" t="s">
        <v>1464</v>
      </c>
      <c r="E1201">
        <v>28</v>
      </c>
      <c r="F1201">
        <v>36.51</v>
      </c>
    </row>
    <row r="1202" spans="1:6">
      <c r="A1202">
        <v>360640</v>
      </c>
      <c r="B1202" t="s">
        <v>1239</v>
      </c>
      <c r="C1202" t="s">
        <v>1721</v>
      </c>
      <c r="D1202" t="s">
        <v>1464</v>
      </c>
      <c r="E1202">
        <v>20</v>
      </c>
      <c r="F1202">
        <v>5.5</v>
      </c>
    </row>
    <row r="1203" spans="1:6">
      <c r="A1203">
        <v>360641</v>
      </c>
      <c r="B1203" t="s">
        <v>1240</v>
      </c>
      <c r="C1203" t="s">
        <v>1721</v>
      </c>
      <c r="D1203" t="s">
        <v>1464</v>
      </c>
      <c r="E1203">
        <v>20</v>
      </c>
      <c r="F1203">
        <v>6.95</v>
      </c>
    </row>
    <row r="1204" spans="1:6">
      <c r="A1204">
        <v>360642</v>
      </c>
      <c r="B1204" t="s">
        <v>1241</v>
      </c>
      <c r="C1204" t="s">
        <v>1721</v>
      </c>
      <c r="D1204" t="s">
        <v>1464</v>
      </c>
      <c r="E1204">
        <v>20</v>
      </c>
      <c r="F1204">
        <v>5.9</v>
      </c>
    </row>
    <row r="1205" spans="1:6">
      <c r="A1205">
        <v>360689</v>
      </c>
      <c r="B1205" t="s">
        <v>1242</v>
      </c>
      <c r="C1205" t="s">
        <v>1721</v>
      </c>
      <c r="D1205" t="s">
        <v>1464</v>
      </c>
      <c r="E1205">
        <v>20</v>
      </c>
      <c r="F1205">
        <v>6.6</v>
      </c>
    </row>
    <row r="1206" spans="1:6">
      <c r="A1206">
        <v>360690</v>
      </c>
      <c r="B1206" t="s">
        <v>174</v>
      </c>
      <c r="C1206" t="s">
        <v>1721</v>
      </c>
      <c r="D1206" t="s">
        <v>1464</v>
      </c>
      <c r="E1206">
        <v>20</v>
      </c>
      <c r="F1206">
        <v>16.399999999999999</v>
      </c>
    </row>
    <row r="1207" spans="1:6">
      <c r="A1207">
        <v>360692</v>
      </c>
      <c r="B1207" t="s">
        <v>175</v>
      </c>
      <c r="C1207" t="s">
        <v>1721</v>
      </c>
      <c r="D1207" t="s">
        <v>1464</v>
      </c>
      <c r="E1207">
        <v>20</v>
      </c>
      <c r="F1207">
        <v>5.5</v>
      </c>
    </row>
    <row r="1208" spans="1:6">
      <c r="A1208">
        <v>360693</v>
      </c>
      <c r="B1208" t="s">
        <v>176</v>
      </c>
      <c r="C1208" t="s">
        <v>1721</v>
      </c>
      <c r="D1208" t="s">
        <v>1464</v>
      </c>
      <c r="E1208">
        <v>20</v>
      </c>
      <c r="F1208">
        <v>5.5</v>
      </c>
    </row>
    <row r="1209" spans="1:6">
      <c r="A1209">
        <v>360734</v>
      </c>
      <c r="B1209" t="s">
        <v>177</v>
      </c>
      <c r="C1209" t="s">
        <v>1721</v>
      </c>
      <c r="D1209" t="s">
        <v>1464</v>
      </c>
      <c r="E1209">
        <v>10</v>
      </c>
      <c r="F1209">
        <v>4.95</v>
      </c>
    </row>
    <row r="1210" spans="1:6">
      <c r="A1210">
        <v>360735</v>
      </c>
      <c r="B1210" t="s">
        <v>178</v>
      </c>
      <c r="C1210" t="s">
        <v>1463</v>
      </c>
      <c r="D1210" t="s">
        <v>1464</v>
      </c>
      <c r="E1210">
        <v>10</v>
      </c>
      <c r="F1210">
        <v>5.15</v>
      </c>
    </row>
    <row r="1211" spans="1:6">
      <c r="A1211">
        <v>360736</v>
      </c>
      <c r="B1211" t="s">
        <v>179</v>
      </c>
      <c r="C1211" t="s">
        <v>1463</v>
      </c>
      <c r="D1211" t="s">
        <v>1464</v>
      </c>
      <c r="E1211">
        <v>10</v>
      </c>
      <c r="F1211">
        <v>5.9</v>
      </c>
    </row>
    <row r="1212" spans="1:6">
      <c r="A1212">
        <v>360743</v>
      </c>
      <c r="B1212" t="s">
        <v>180</v>
      </c>
      <c r="C1212" t="s">
        <v>1108</v>
      </c>
      <c r="D1212" t="s">
        <v>1464</v>
      </c>
      <c r="E1212">
        <v>106</v>
      </c>
      <c r="F1212">
        <v>11.65</v>
      </c>
    </row>
    <row r="1213" spans="1:6">
      <c r="A1213">
        <v>360744</v>
      </c>
      <c r="B1213" t="s">
        <v>181</v>
      </c>
      <c r="C1213" t="s">
        <v>1108</v>
      </c>
      <c r="D1213" t="s">
        <v>1464</v>
      </c>
      <c r="E1213">
        <v>53</v>
      </c>
      <c r="F1213">
        <v>19.3</v>
      </c>
    </row>
    <row r="1214" spans="1:6">
      <c r="A1214">
        <v>360780</v>
      </c>
      <c r="B1214" t="s">
        <v>1732</v>
      </c>
      <c r="C1214" t="s">
        <v>1721</v>
      </c>
      <c r="D1214" t="s">
        <v>1464</v>
      </c>
      <c r="E1214">
        <v>20</v>
      </c>
      <c r="F1214">
        <v>5.55</v>
      </c>
    </row>
    <row r="1215" spans="1:6">
      <c r="A1215">
        <v>372553</v>
      </c>
      <c r="B1215" t="s">
        <v>1754</v>
      </c>
      <c r="C1215" t="s">
        <v>1463</v>
      </c>
      <c r="D1215" t="s">
        <v>861</v>
      </c>
      <c r="E1215">
        <v>56</v>
      </c>
      <c r="F1215">
        <v>31</v>
      </c>
    </row>
    <row r="1216" spans="1:6">
      <c r="A1216">
        <v>372554</v>
      </c>
      <c r="B1216" t="s">
        <v>1755</v>
      </c>
      <c r="C1216" t="s">
        <v>1467</v>
      </c>
      <c r="D1216" t="s">
        <v>861</v>
      </c>
      <c r="E1216">
        <v>56</v>
      </c>
      <c r="F1216">
        <v>31</v>
      </c>
    </row>
    <row r="1217" spans="1:6">
      <c r="A1217">
        <v>372609</v>
      </c>
      <c r="B1217" t="s">
        <v>182</v>
      </c>
      <c r="C1217" t="s">
        <v>1108</v>
      </c>
      <c r="D1217" t="s">
        <v>1464</v>
      </c>
      <c r="E1217">
        <v>10</v>
      </c>
      <c r="F1217">
        <v>3.85</v>
      </c>
    </row>
    <row r="1218" spans="1:6">
      <c r="A1218">
        <v>380354</v>
      </c>
      <c r="B1218" t="s">
        <v>183</v>
      </c>
      <c r="C1218" t="s">
        <v>1721</v>
      </c>
      <c r="D1218" t="s">
        <v>1464</v>
      </c>
      <c r="E1218">
        <v>20</v>
      </c>
      <c r="F1218">
        <v>5.55</v>
      </c>
    </row>
    <row r="1219" spans="1:6">
      <c r="A1219">
        <v>380355</v>
      </c>
      <c r="B1219" t="s">
        <v>184</v>
      </c>
      <c r="C1219" t="s">
        <v>1721</v>
      </c>
      <c r="D1219" t="s">
        <v>1464</v>
      </c>
      <c r="E1219">
        <v>20</v>
      </c>
      <c r="F1219">
        <v>5.55</v>
      </c>
    </row>
    <row r="1220" spans="1:6">
      <c r="A1220">
        <v>380356</v>
      </c>
      <c r="B1220" t="s">
        <v>185</v>
      </c>
      <c r="C1220" t="s">
        <v>1721</v>
      </c>
      <c r="D1220" t="s">
        <v>1464</v>
      </c>
      <c r="E1220">
        <v>20</v>
      </c>
      <c r="F1220">
        <v>5.55</v>
      </c>
    </row>
    <row r="1221" spans="1:6">
      <c r="A1221">
        <v>380357</v>
      </c>
      <c r="B1221" t="s">
        <v>186</v>
      </c>
      <c r="C1221" t="s">
        <v>1721</v>
      </c>
      <c r="D1221" t="s">
        <v>1464</v>
      </c>
      <c r="E1221">
        <v>20</v>
      </c>
      <c r="F1221">
        <v>5.55</v>
      </c>
    </row>
    <row r="1222" spans="1:6">
      <c r="A1222">
        <v>380446</v>
      </c>
      <c r="B1222" t="s">
        <v>187</v>
      </c>
      <c r="C1222" t="s">
        <v>1721</v>
      </c>
      <c r="D1222" t="s">
        <v>1464</v>
      </c>
      <c r="E1222">
        <v>30</v>
      </c>
      <c r="F1222">
        <v>4.9000000000000004</v>
      </c>
    </row>
    <row r="1223" spans="1:6">
      <c r="A1223">
        <v>382368</v>
      </c>
      <c r="B1223" t="s">
        <v>984</v>
      </c>
      <c r="C1223" t="s">
        <v>1108</v>
      </c>
      <c r="D1223" t="s">
        <v>1464</v>
      </c>
      <c r="E1223">
        <v>30</v>
      </c>
      <c r="F1223">
        <v>15.5</v>
      </c>
    </row>
    <row r="1224" spans="1:6">
      <c r="A1224">
        <v>382522</v>
      </c>
      <c r="B1224" t="s">
        <v>188</v>
      </c>
      <c r="C1224" t="s">
        <v>1108</v>
      </c>
      <c r="D1224" t="s">
        <v>1464</v>
      </c>
      <c r="E1224">
        <v>60</v>
      </c>
      <c r="F1224">
        <v>4.16</v>
      </c>
    </row>
    <row r="1225" spans="1:6">
      <c r="A1225">
        <v>382601</v>
      </c>
      <c r="B1225" t="s">
        <v>985</v>
      </c>
      <c r="C1225" t="s">
        <v>1721</v>
      </c>
      <c r="D1225" t="s">
        <v>1464</v>
      </c>
      <c r="E1225">
        <v>50</v>
      </c>
      <c r="F1225">
        <v>11.9</v>
      </c>
    </row>
    <row r="1226" spans="1:6">
      <c r="A1226">
        <v>382604</v>
      </c>
      <c r="B1226" t="s">
        <v>189</v>
      </c>
      <c r="C1226" t="s">
        <v>1721</v>
      </c>
      <c r="D1226" t="s">
        <v>1464</v>
      </c>
      <c r="E1226">
        <v>50</v>
      </c>
      <c r="F1226">
        <v>15.95</v>
      </c>
    </row>
    <row r="1227" spans="1:6">
      <c r="A1227">
        <v>382765</v>
      </c>
      <c r="B1227" t="s">
        <v>611</v>
      </c>
      <c r="C1227" t="s">
        <v>1108</v>
      </c>
      <c r="D1227" t="s">
        <v>1464</v>
      </c>
      <c r="E1227">
        <v>30</v>
      </c>
      <c r="F1227">
        <v>24.75</v>
      </c>
    </row>
    <row r="1228" spans="1:6">
      <c r="A1228">
        <v>382766</v>
      </c>
      <c r="B1228" t="s">
        <v>190</v>
      </c>
      <c r="C1228" t="s">
        <v>1108</v>
      </c>
      <c r="D1228" t="s">
        <v>1464</v>
      </c>
      <c r="E1228">
        <v>30</v>
      </c>
      <c r="F1228">
        <v>30.95</v>
      </c>
    </row>
    <row r="1229" spans="1:6">
      <c r="A1229">
        <v>382767</v>
      </c>
      <c r="B1229" t="s">
        <v>987</v>
      </c>
      <c r="C1229" t="s">
        <v>1108</v>
      </c>
      <c r="D1229" t="s">
        <v>1464</v>
      </c>
      <c r="E1229">
        <v>30</v>
      </c>
      <c r="F1229">
        <v>36.6</v>
      </c>
    </row>
    <row r="1230" spans="1:6">
      <c r="A1230">
        <v>382902</v>
      </c>
      <c r="B1230" t="s">
        <v>191</v>
      </c>
      <c r="C1230" t="s">
        <v>1108</v>
      </c>
      <c r="D1230" t="s">
        <v>1464</v>
      </c>
      <c r="E1230">
        <v>24</v>
      </c>
      <c r="F1230">
        <v>1.99</v>
      </c>
    </row>
    <row r="1231" spans="1:6">
      <c r="A1231">
        <v>382904</v>
      </c>
      <c r="B1231" t="s">
        <v>192</v>
      </c>
      <c r="C1231" t="s">
        <v>1108</v>
      </c>
      <c r="D1231" t="s">
        <v>1464</v>
      </c>
      <c r="E1231">
        <v>24</v>
      </c>
      <c r="F1231">
        <v>3.45</v>
      </c>
    </row>
    <row r="1232" spans="1:6">
      <c r="A1232">
        <v>382921</v>
      </c>
      <c r="B1232" t="s">
        <v>493</v>
      </c>
      <c r="C1232" t="s">
        <v>1108</v>
      </c>
      <c r="D1232" t="s">
        <v>1464</v>
      </c>
      <c r="E1232">
        <v>12</v>
      </c>
      <c r="F1232">
        <v>3.94</v>
      </c>
    </row>
    <row r="1233" spans="1:6">
      <c r="A1233">
        <v>382922</v>
      </c>
      <c r="B1233" t="s">
        <v>193</v>
      </c>
      <c r="C1233" t="s">
        <v>1463</v>
      </c>
      <c r="D1233" t="s">
        <v>1464</v>
      </c>
      <c r="E1233">
        <v>24</v>
      </c>
      <c r="F1233">
        <v>2.9</v>
      </c>
    </row>
    <row r="1234" spans="1:6">
      <c r="A1234">
        <v>382923</v>
      </c>
      <c r="B1234" t="s">
        <v>194</v>
      </c>
      <c r="C1234" t="s">
        <v>1467</v>
      </c>
      <c r="D1234" t="s">
        <v>1464</v>
      </c>
      <c r="E1234">
        <v>20</v>
      </c>
      <c r="F1234">
        <v>2.99</v>
      </c>
    </row>
    <row r="1235" spans="1:6">
      <c r="A1235">
        <v>382924</v>
      </c>
      <c r="B1235" t="s">
        <v>195</v>
      </c>
      <c r="C1235" t="s">
        <v>1463</v>
      </c>
      <c r="D1235" t="s">
        <v>1464</v>
      </c>
      <c r="E1235">
        <v>20</v>
      </c>
      <c r="F1235">
        <v>2.99</v>
      </c>
    </row>
    <row r="1236" spans="1:6">
      <c r="A1236">
        <v>382930</v>
      </c>
      <c r="B1236" t="s">
        <v>196</v>
      </c>
      <c r="C1236" t="s">
        <v>1108</v>
      </c>
      <c r="D1236" t="s">
        <v>1464</v>
      </c>
      <c r="E1236">
        <v>12</v>
      </c>
      <c r="F1236">
        <v>7.9</v>
      </c>
    </row>
    <row r="1237" spans="1:6">
      <c r="A1237">
        <v>332825</v>
      </c>
      <c r="B1237" t="s">
        <v>1462</v>
      </c>
      <c r="C1237" t="s">
        <v>1463</v>
      </c>
      <c r="D1237" t="s">
        <v>1464</v>
      </c>
      <c r="E1237">
        <v>50</v>
      </c>
      <c r="F1237">
        <v>3.7</v>
      </c>
    </row>
    <row r="1238" spans="1:6">
      <c r="A1238">
        <v>332826</v>
      </c>
      <c r="B1238" t="s">
        <v>1466</v>
      </c>
      <c r="C1238" t="s">
        <v>1108</v>
      </c>
      <c r="D1238" t="s">
        <v>1464</v>
      </c>
      <c r="E1238">
        <v>50</v>
      </c>
      <c r="F1238">
        <v>5.05</v>
      </c>
    </row>
    <row r="1239" spans="1:6">
      <c r="A1239">
        <v>332827</v>
      </c>
      <c r="B1239" t="s">
        <v>1862</v>
      </c>
      <c r="C1239" t="s">
        <v>915</v>
      </c>
      <c r="D1239" t="s">
        <v>1464</v>
      </c>
      <c r="E1239">
        <v>25</v>
      </c>
      <c r="F1239">
        <v>3.95</v>
      </c>
    </row>
    <row r="1240" spans="1:6">
      <c r="A1240">
        <v>332828</v>
      </c>
      <c r="B1240" t="s">
        <v>1863</v>
      </c>
      <c r="C1240" t="s">
        <v>1108</v>
      </c>
      <c r="D1240" t="s">
        <v>1464</v>
      </c>
      <c r="E1240">
        <v>25</v>
      </c>
      <c r="F1240">
        <v>5.8</v>
      </c>
    </row>
    <row r="1241" spans="1:6">
      <c r="A1241">
        <v>332829</v>
      </c>
      <c r="B1241" t="s">
        <v>1864</v>
      </c>
      <c r="C1241" t="s">
        <v>1915</v>
      </c>
      <c r="D1241" t="s">
        <v>1464</v>
      </c>
      <c r="E1241">
        <v>25</v>
      </c>
      <c r="F1241">
        <v>3.9</v>
      </c>
    </row>
    <row r="1242" spans="1:6">
      <c r="A1242">
        <v>332830</v>
      </c>
      <c r="B1242" t="s">
        <v>1865</v>
      </c>
      <c r="C1242" t="s">
        <v>1467</v>
      </c>
      <c r="D1242" t="s">
        <v>1464</v>
      </c>
      <c r="E1242">
        <v>25</v>
      </c>
      <c r="F1242">
        <v>4.2</v>
      </c>
    </row>
    <row r="1243" spans="1:6">
      <c r="A1243">
        <v>332831</v>
      </c>
      <c r="B1243" t="s">
        <v>1468</v>
      </c>
      <c r="C1243" t="s">
        <v>1467</v>
      </c>
      <c r="D1243" t="s">
        <v>1464</v>
      </c>
      <c r="E1243">
        <v>50</v>
      </c>
      <c r="F1243">
        <v>2.0499999999999998</v>
      </c>
    </row>
    <row r="1244" spans="1:6">
      <c r="A1244">
        <v>332832</v>
      </c>
      <c r="B1244" t="s">
        <v>1469</v>
      </c>
      <c r="C1244" t="s">
        <v>1463</v>
      </c>
      <c r="D1244" t="s">
        <v>1464</v>
      </c>
      <c r="E1244">
        <v>50</v>
      </c>
      <c r="F1244">
        <v>2.8</v>
      </c>
    </row>
    <row r="1245" spans="1:6">
      <c r="A1245">
        <v>332833</v>
      </c>
      <c r="B1245" t="s">
        <v>1470</v>
      </c>
      <c r="C1245" t="s">
        <v>1467</v>
      </c>
      <c r="D1245" t="s">
        <v>1464</v>
      </c>
      <c r="E1245">
        <v>50</v>
      </c>
      <c r="F1245">
        <v>1.7</v>
      </c>
    </row>
    <row r="1246" spans="1:6">
      <c r="A1246">
        <v>332834</v>
      </c>
      <c r="B1246" t="s">
        <v>1471</v>
      </c>
      <c r="C1246" t="s">
        <v>1467</v>
      </c>
      <c r="D1246" t="s">
        <v>1464</v>
      </c>
      <c r="E1246">
        <v>50</v>
      </c>
      <c r="F1246">
        <v>1.8</v>
      </c>
    </row>
    <row r="1247" spans="1:6">
      <c r="A1247">
        <v>332835</v>
      </c>
      <c r="B1247" t="s">
        <v>1472</v>
      </c>
      <c r="C1247" t="s">
        <v>1467</v>
      </c>
      <c r="D1247" t="s">
        <v>1464</v>
      </c>
      <c r="E1247">
        <v>25</v>
      </c>
      <c r="F1247">
        <v>3.6</v>
      </c>
    </row>
    <row r="1248" spans="1:6">
      <c r="A1248">
        <v>332836</v>
      </c>
      <c r="B1248" t="s">
        <v>1473</v>
      </c>
      <c r="C1248" t="s">
        <v>1463</v>
      </c>
      <c r="D1248" t="s">
        <v>1464</v>
      </c>
      <c r="E1248">
        <v>50</v>
      </c>
      <c r="F1248">
        <v>1.7</v>
      </c>
    </row>
    <row r="1249" spans="1:6">
      <c r="A1249">
        <v>332837</v>
      </c>
      <c r="B1249" t="s">
        <v>1474</v>
      </c>
      <c r="C1249" t="s">
        <v>1463</v>
      </c>
      <c r="D1249" t="s">
        <v>1464</v>
      </c>
      <c r="E1249">
        <v>15</v>
      </c>
      <c r="F1249">
        <v>13.6</v>
      </c>
    </row>
    <row r="1250" spans="1:6">
      <c r="A1250">
        <v>332838</v>
      </c>
      <c r="B1250" t="s">
        <v>1475</v>
      </c>
      <c r="C1250" t="s">
        <v>1108</v>
      </c>
      <c r="D1250" t="s">
        <v>1464</v>
      </c>
      <c r="E1250">
        <v>15</v>
      </c>
      <c r="F1250">
        <v>11.2</v>
      </c>
    </row>
    <row r="1251" spans="1:6">
      <c r="A1251">
        <v>332839</v>
      </c>
      <c r="B1251" t="s">
        <v>1476</v>
      </c>
      <c r="C1251" t="s">
        <v>1792</v>
      </c>
      <c r="D1251" t="s">
        <v>1464</v>
      </c>
      <c r="E1251">
        <v>25</v>
      </c>
      <c r="F1251">
        <v>4.55</v>
      </c>
    </row>
    <row r="1252" spans="1:6">
      <c r="A1252">
        <v>332840</v>
      </c>
      <c r="B1252" t="s">
        <v>1789</v>
      </c>
      <c r="C1252" t="s">
        <v>1463</v>
      </c>
      <c r="D1252" t="s">
        <v>1464</v>
      </c>
      <c r="E1252">
        <v>50</v>
      </c>
      <c r="F1252">
        <v>4.05</v>
      </c>
    </row>
    <row r="1253" spans="1:6">
      <c r="A1253">
        <v>303158</v>
      </c>
      <c r="B1253" t="s">
        <v>614</v>
      </c>
      <c r="C1253" t="s">
        <v>1721</v>
      </c>
      <c r="D1253" t="s">
        <v>1464</v>
      </c>
      <c r="E1253">
        <v>30</v>
      </c>
      <c r="F1253">
        <v>7.1</v>
      </c>
    </row>
    <row r="1254" spans="1:6">
      <c r="A1254">
        <v>303214</v>
      </c>
      <c r="B1254" t="s">
        <v>197</v>
      </c>
      <c r="C1254" t="s">
        <v>1467</v>
      </c>
      <c r="D1254" t="s">
        <v>1464</v>
      </c>
      <c r="E1254">
        <v>40</v>
      </c>
      <c r="F1254">
        <v>13.65</v>
      </c>
    </row>
    <row r="1255" spans="1:6">
      <c r="A1255">
        <v>303215</v>
      </c>
      <c r="B1255" t="s">
        <v>198</v>
      </c>
      <c r="C1255" t="s">
        <v>1108</v>
      </c>
      <c r="D1255" t="s">
        <v>1464</v>
      </c>
      <c r="E1255">
        <v>27</v>
      </c>
      <c r="F1255">
        <v>26.85</v>
      </c>
    </row>
    <row r="1256" spans="1:6">
      <c r="A1256">
        <v>303217</v>
      </c>
      <c r="B1256" t="s">
        <v>199</v>
      </c>
      <c r="C1256" t="s">
        <v>1108</v>
      </c>
      <c r="D1256" t="s">
        <v>1464</v>
      </c>
      <c r="E1256">
        <v>27</v>
      </c>
      <c r="F1256">
        <v>61.51</v>
      </c>
    </row>
    <row r="1257" spans="1:6">
      <c r="A1257">
        <v>300692</v>
      </c>
      <c r="B1257" t="s">
        <v>200</v>
      </c>
      <c r="D1257" t="s">
        <v>861</v>
      </c>
      <c r="E1257">
        <v>60</v>
      </c>
      <c r="F1257">
        <v>13.68</v>
      </c>
    </row>
    <row r="1258" spans="1:6">
      <c r="A1258">
        <v>303030</v>
      </c>
      <c r="B1258" t="s">
        <v>582</v>
      </c>
      <c r="D1258" t="s">
        <v>861</v>
      </c>
      <c r="E1258">
        <v>64</v>
      </c>
      <c r="F1258">
        <v>10.199999999999999</v>
      </c>
    </row>
    <row r="1259" spans="1:6">
      <c r="A1259">
        <v>303160</v>
      </c>
      <c r="B1259" t="s">
        <v>201</v>
      </c>
      <c r="C1259" t="s">
        <v>1790</v>
      </c>
      <c r="D1259" t="s">
        <v>861</v>
      </c>
      <c r="E1259">
        <v>60</v>
      </c>
      <c r="F1259">
        <v>10.51</v>
      </c>
    </row>
    <row r="1260" spans="1:6">
      <c r="A1260">
        <v>360208</v>
      </c>
      <c r="B1260" t="s">
        <v>583</v>
      </c>
      <c r="C1260" t="s">
        <v>1792</v>
      </c>
      <c r="D1260" t="s">
        <v>861</v>
      </c>
      <c r="E1260">
        <v>64</v>
      </c>
      <c r="F1260">
        <v>16.100000000000001</v>
      </c>
    </row>
    <row r="1261" spans="1:6">
      <c r="A1261">
        <v>372451</v>
      </c>
      <c r="B1261" t="s">
        <v>202</v>
      </c>
      <c r="C1261" t="s">
        <v>1463</v>
      </c>
      <c r="D1261" t="s">
        <v>861</v>
      </c>
      <c r="E1261">
        <v>100</v>
      </c>
      <c r="F1261">
        <v>7.3</v>
      </c>
    </row>
    <row r="1262" spans="1:6">
      <c r="A1262">
        <v>372452</v>
      </c>
      <c r="B1262" t="s">
        <v>1107</v>
      </c>
      <c r="C1262" t="s">
        <v>1790</v>
      </c>
      <c r="D1262" t="s">
        <v>861</v>
      </c>
      <c r="E1262">
        <v>100</v>
      </c>
      <c r="F1262">
        <v>11.2</v>
      </c>
    </row>
    <row r="1263" spans="1:6">
      <c r="A1263">
        <v>372467</v>
      </c>
      <c r="B1263" t="s">
        <v>203</v>
      </c>
      <c r="C1263" t="s">
        <v>1915</v>
      </c>
      <c r="D1263" t="s">
        <v>861</v>
      </c>
      <c r="E1263">
        <v>100</v>
      </c>
      <c r="F1263">
        <v>10.199999999999999</v>
      </c>
    </row>
    <row r="1264" spans="1:6">
      <c r="A1264">
        <v>301192</v>
      </c>
      <c r="B1264" t="s">
        <v>1009</v>
      </c>
      <c r="C1264" t="s">
        <v>1721</v>
      </c>
      <c r="D1264" t="s">
        <v>1464</v>
      </c>
      <c r="E1264">
        <v>80</v>
      </c>
      <c r="F1264">
        <v>4.5999999999999996</v>
      </c>
    </row>
    <row r="1265" spans="1:6">
      <c r="A1265">
        <v>301194</v>
      </c>
      <c r="B1265" t="s">
        <v>1010</v>
      </c>
      <c r="C1265" t="s">
        <v>1108</v>
      </c>
      <c r="D1265" t="s">
        <v>1464</v>
      </c>
      <c r="E1265">
        <v>140</v>
      </c>
      <c r="F1265">
        <v>5</v>
      </c>
    </row>
    <row r="1266" spans="1:6">
      <c r="A1266">
        <v>302775</v>
      </c>
      <c r="B1266" t="s">
        <v>204</v>
      </c>
      <c r="D1266" t="s">
        <v>1464</v>
      </c>
      <c r="E1266">
        <v>60</v>
      </c>
      <c r="F1266">
        <v>6.89</v>
      </c>
    </row>
    <row r="1267" spans="1:6">
      <c r="A1267">
        <v>346008</v>
      </c>
      <c r="B1267" t="s">
        <v>205</v>
      </c>
      <c r="D1267" t="s">
        <v>1464</v>
      </c>
      <c r="E1267">
        <v>22</v>
      </c>
      <c r="F1267">
        <v>79</v>
      </c>
    </row>
    <row r="1268" spans="1:6">
      <c r="A1268">
        <v>348429</v>
      </c>
      <c r="B1268" t="s">
        <v>1386</v>
      </c>
      <c r="C1268" t="s">
        <v>1108</v>
      </c>
      <c r="D1268" t="s">
        <v>1464</v>
      </c>
      <c r="E1268">
        <v>14</v>
      </c>
      <c r="F1268">
        <v>89.9</v>
      </c>
    </row>
    <row r="1269" spans="1:6">
      <c r="A1269">
        <v>377769</v>
      </c>
      <c r="B1269" t="s">
        <v>206</v>
      </c>
      <c r="D1269" t="s">
        <v>1464</v>
      </c>
      <c r="E1269">
        <v>22</v>
      </c>
      <c r="F1269">
        <v>69</v>
      </c>
    </row>
    <row r="1270" spans="1:6">
      <c r="A1270">
        <v>377773</v>
      </c>
      <c r="B1270" t="s">
        <v>207</v>
      </c>
      <c r="D1270" t="s">
        <v>1464</v>
      </c>
      <c r="E1270">
        <v>24</v>
      </c>
      <c r="F1270">
        <v>79</v>
      </c>
    </row>
    <row r="1271" spans="1:6">
      <c r="A1271">
        <v>377789</v>
      </c>
      <c r="B1271" t="s">
        <v>208</v>
      </c>
      <c r="C1271" t="s">
        <v>1721</v>
      </c>
      <c r="D1271" t="s">
        <v>1464</v>
      </c>
      <c r="E1271">
        <v>24</v>
      </c>
      <c r="F1271">
        <v>119</v>
      </c>
    </row>
    <row r="1272" spans="1:6">
      <c r="A1272">
        <v>382740</v>
      </c>
      <c r="B1272" t="s">
        <v>312</v>
      </c>
      <c r="C1272" t="s">
        <v>1108</v>
      </c>
      <c r="D1272" t="s">
        <v>1464</v>
      </c>
      <c r="E1272">
        <v>28</v>
      </c>
      <c r="F1272">
        <v>28.6</v>
      </c>
    </row>
    <row r="1273" spans="1:6">
      <c r="A1273">
        <v>382841</v>
      </c>
      <c r="B1273" t="s">
        <v>615</v>
      </c>
      <c r="C1273" t="s">
        <v>1108</v>
      </c>
      <c r="D1273" t="s">
        <v>1464</v>
      </c>
      <c r="E1273">
        <v>24</v>
      </c>
      <c r="F1273">
        <v>59.9</v>
      </c>
    </row>
    <row r="1274" spans="1:6">
      <c r="A1274">
        <v>382843</v>
      </c>
      <c r="B1274" t="s">
        <v>209</v>
      </c>
      <c r="C1274" t="s">
        <v>1108</v>
      </c>
      <c r="D1274" t="s">
        <v>1464</v>
      </c>
      <c r="E1274">
        <v>24</v>
      </c>
      <c r="F1274">
        <v>39.9</v>
      </c>
    </row>
    <row r="1275" spans="1:6">
      <c r="A1275">
        <v>342722</v>
      </c>
      <c r="B1275" t="s">
        <v>1199</v>
      </c>
      <c r="C1275" t="s">
        <v>1108</v>
      </c>
      <c r="D1275" t="s">
        <v>1464</v>
      </c>
      <c r="E1275">
        <v>1</v>
      </c>
      <c r="F1275">
        <v>45.9</v>
      </c>
    </row>
    <row r="1276" spans="1:6">
      <c r="A1276">
        <v>342723</v>
      </c>
      <c r="B1276" t="s">
        <v>1200</v>
      </c>
      <c r="C1276" t="s">
        <v>1463</v>
      </c>
      <c r="D1276" t="s">
        <v>1464</v>
      </c>
      <c r="E1276">
        <v>50</v>
      </c>
      <c r="F1276">
        <v>10.95</v>
      </c>
    </row>
    <row r="1277" spans="1:6">
      <c r="A1277">
        <v>342724</v>
      </c>
      <c r="B1277" t="s">
        <v>1201</v>
      </c>
      <c r="D1277" t="s">
        <v>1464</v>
      </c>
      <c r="E1277">
        <v>1</v>
      </c>
      <c r="F1277">
        <v>29.95</v>
      </c>
    </row>
    <row r="1278" spans="1:6">
      <c r="A1278">
        <v>342725</v>
      </c>
      <c r="B1278" t="s">
        <v>1202</v>
      </c>
      <c r="C1278" t="s">
        <v>1467</v>
      </c>
      <c r="D1278" t="s">
        <v>1464</v>
      </c>
      <c r="E1278">
        <v>40</v>
      </c>
      <c r="F1278">
        <v>19.95</v>
      </c>
    </row>
    <row r="1279" spans="1:6">
      <c r="A1279">
        <v>342726</v>
      </c>
      <c r="B1279" t="s">
        <v>1203</v>
      </c>
      <c r="C1279" t="s">
        <v>1108</v>
      </c>
      <c r="D1279" t="s">
        <v>1464</v>
      </c>
      <c r="E1279">
        <v>40</v>
      </c>
      <c r="F1279">
        <v>24.95</v>
      </c>
    </row>
    <row r="1280" spans="1:6">
      <c r="A1280">
        <v>342727</v>
      </c>
      <c r="B1280" t="s">
        <v>1849</v>
      </c>
      <c r="C1280" t="s">
        <v>1108</v>
      </c>
      <c r="D1280" t="s">
        <v>1464</v>
      </c>
      <c r="E1280">
        <v>40</v>
      </c>
      <c r="F1280">
        <v>17.899999999999999</v>
      </c>
    </row>
    <row r="1281" spans="1:6">
      <c r="A1281">
        <v>345738</v>
      </c>
      <c r="B1281" t="s">
        <v>856</v>
      </c>
      <c r="D1281" t="s">
        <v>1464</v>
      </c>
      <c r="E1281">
        <v>8</v>
      </c>
      <c r="F1281">
        <v>199</v>
      </c>
    </row>
  </sheetData>
  <autoFilter ref="A1:F1281"/>
  <phoneticPr fontId="24" type="noConversion"/>
  <pageMargins left="0.78740157499999996" right="0.78740157499999996" top="0.984251969" bottom="0.984251969" header="0.4921259845" footer="0.4921259845"/>
  <pageSetup paperSize="9" scale="1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L17"/>
  <sheetViews>
    <sheetView workbookViewId="0">
      <selection activeCell="I51" sqref="I51"/>
    </sheetView>
  </sheetViews>
  <sheetFormatPr baseColWidth="10" defaultRowHeight="13.2"/>
  <cols>
    <col min="1" max="1" width="7" bestFit="1" customWidth="1"/>
    <col min="2" max="2" width="36.33203125" bestFit="1" customWidth="1"/>
    <col min="6" max="6" width="4.5546875" bestFit="1" customWidth="1"/>
    <col min="12" max="12" width="19" customWidth="1"/>
  </cols>
  <sheetData>
    <row r="1" spans="1:12">
      <c r="A1" t="s">
        <v>557</v>
      </c>
      <c r="B1" t="s">
        <v>1840</v>
      </c>
      <c r="C1" s="110" t="s">
        <v>1841</v>
      </c>
      <c r="D1" s="110" t="s">
        <v>1842</v>
      </c>
      <c r="E1" s="110" t="s">
        <v>1843</v>
      </c>
      <c r="F1" s="110" t="s">
        <v>1844</v>
      </c>
      <c r="G1" s="110" t="s">
        <v>1845</v>
      </c>
      <c r="H1" s="110" t="s">
        <v>1846</v>
      </c>
      <c r="I1" s="110" t="s">
        <v>1847</v>
      </c>
      <c r="J1" s="110" t="s">
        <v>403</v>
      </c>
      <c r="K1" s="110" t="s">
        <v>404</v>
      </c>
      <c r="L1" s="110" t="s">
        <v>1488</v>
      </c>
    </row>
    <row r="2" spans="1:12">
      <c r="A2" s="151">
        <v>343121</v>
      </c>
      <c r="B2" s="152" t="s">
        <v>1012</v>
      </c>
      <c r="C2" s="149" t="s">
        <v>405</v>
      </c>
      <c r="D2" s="149">
        <v>16</v>
      </c>
      <c r="E2" s="149">
        <v>16</v>
      </c>
      <c r="F2" s="149" t="s">
        <v>1490</v>
      </c>
      <c r="G2" s="149">
        <v>39.96</v>
      </c>
      <c r="H2" s="149" t="s">
        <v>1495</v>
      </c>
      <c r="I2" s="149">
        <v>60</v>
      </c>
      <c r="J2" s="149">
        <v>74</v>
      </c>
      <c r="K2" s="149">
        <v>9</v>
      </c>
      <c r="L2" s="149" t="s">
        <v>1492</v>
      </c>
    </row>
    <row r="3" spans="1:12">
      <c r="A3" s="151">
        <v>343122</v>
      </c>
      <c r="B3" s="152" t="s">
        <v>1013</v>
      </c>
      <c r="C3" s="149" t="s">
        <v>405</v>
      </c>
      <c r="D3" s="149">
        <v>21.5</v>
      </c>
      <c r="E3" s="149">
        <v>21.5</v>
      </c>
      <c r="F3" s="149" t="s">
        <v>1490</v>
      </c>
      <c r="G3" s="149">
        <v>0.436</v>
      </c>
      <c r="H3" s="149" t="s">
        <v>1497</v>
      </c>
      <c r="I3" s="149">
        <v>59.5</v>
      </c>
      <c r="J3" s="149">
        <v>81.5</v>
      </c>
      <c r="K3" s="149">
        <v>9</v>
      </c>
      <c r="L3" s="149" t="s">
        <v>1492</v>
      </c>
    </row>
    <row r="4" spans="1:12">
      <c r="A4" s="151">
        <v>343123</v>
      </c>
      <c r="B4" s="152" t="s">
        <v>1014</v>
      </c>
      <c r="C4" s="149" t="s">
        <v>405</v>
      </c>
      <c r="D4" s="149">
        <v>26.83</v>
      </c>
      <c r="E4" s="149">
        <v>22.05</v>
      </c>
      <c r="F4" s="149" t="s">
        <v>1490</v>
      </c>
      <c r="G4" s="149">
        <v>5.3999999999999999E-2</v>
      </c>
      <c r="H4" s="149" t="s">
        <v>1494</v>
      </c>
      <c r="I4" s="149">
        <v>59</v>
      </c>
      <c r="J4" s="149">
        <v>91.5</v>
      </c>
      <c r="K4" s="149">
        <v>10</v>
      </c>
      <c r="L4" s="149" t="s">
        <v>1492</v>
      </c>
    </row>
    <row r="5" spans="1:12">
      <c r="A5" s="151">
        <v>343124</v>
      </c>
      <c r="B5" s="151" t="s">
        <v>1015</v>
      </c>
      <c r="C5" s="149" t="s">
        <v>405</v>
      </c>
      <c r="D5" s="149">
        <v>36.6</v>
      </c>
      <c r="E5" s="149">
        <v>21.96</v>
      </c>
      <c r="F5" s="149" t="s">
        <v>1490</v>
      </c>
      <c r="G5" s="149">
        <v>0.61599999999999999</v>
      </c>
      <c r="H5" s="149" t="s">
        <v>1497</v>
      </c>
      <c r="I5" s="149">
        <v>123</v>
      </c>
      <c r="J5" s="149">
        <v>71.5</v>
      </c>
      <c r="K5" s="149">
        <v>7</v>
      </c>
      <c r="L5" s="149" t="s">
        <v>1492</v>
      </c>
    </row>
    <row r="6" spans="1:12">
      <c r="A6" s="151">
        <v>343125</v>
      </c>
      <c r="B6" s="152" t="s">
        <v>1016</v>
      </c>
      <c r="C6" s="149" t="s">
        <v>405</v>
      </c>
      <c r="D6" s="149">
        <v>34.049999999999997</v>
      </c>
      <c r="E6" s="149">
        <v>9.1999999999999993</v>
      </c>
      <c r="F6" s="149" t="s">
        <v>1490</v>
      </c>
      <c r="G6" s="149">
        <v>0.61599999999999999</v>
      </c>
      <c r="H6" s="149" t="s">
        <v>1497</v>
      </c>
      <c r="I6" s="149">
        <v>123</v>
      </c>
      <c r="J6" s="149">
        <v>71.5</v>
      </c>
      <c r="K6" s="149">
        <v>7</v>
      </c>
      <c r="L6" s="149" t="s">
        <v>1492</v>
      </c>
    </row>
    <row r="7" spans="1:12">
      <c r="A7" s="151">
        <v>343127</v>
      </c>
      <c r="B7" s="152" t="s">
        <v>304</v>
      </c>
      <c r="C7" s="149" t="s">
        <v>405</v>
      </c>
      <c r="D7" s="149">
        <v>53.15</v>
      </c>
      <c r="E7" s="149">
        <v>23.62</v>
      </c>
      <c r="F7" s="149" t="s">
        <v>1490</v>
      </c>
      <c r="G7" s="149">
        <v>0.90800000000000003</v>
      </c>
      <c r="H7" s="149" t="s">
        <v>1497</v>
      </c>
      <c r="I7" s="149">
        <v>59.5</v>
      </c>
      <c r="J7" s="149">
        <v>218</v>
      </c>
      <c r="K7" s="149">
        <v>7</v>
      </c>
      <c r="L7" s="149" t="s">
        <v>1492</v>
      </c>
    </row>
    <row r="8" spans="1:12">
      <c r="A8" s="151">
        <v>343128</v>
      </c>
      <c r="B8" s="152" t="s">
        <v>305</v>
      </c>
      <c r="C8" s="149" t="s">
        <v>405</v>
      </c>
      <c r="D8" s="149">
        <v>9.8000000000000007</v>
      </c>
      <c r="E8" s="149">
        <v>9.1999999999999993</v>
      </c>
      <c r="F8" s="149" t="s">
        <v>1490</v>
      </c>
      <c r="G8" s="149">
        <v>0.21299999999999999</v>
      </c>
      <c r="H8" s="149" t="s">
        <v>1497</v>
      </c>
      <c r="I8" s="149">
        <v>40</v>
      </c>
      <c r="J8" s="149">
        <v>71</v>
      </c>
      <c r="K8" s="149">
        <v>7.5</v>
      </c>
      <c r="L8" s="149" t="s">
        <v>1492</v>
      </c>
    </row>
    <row r="9" spans="1:12">
      <c r="A9" s="151">
        <v>343129</v>
      </c>
      <c r="B9" s="152" t="s">
        <v>306</v>
      </c>
      <c r="C9" s="149" t="s">
        <v>405</v>
      </c>
      <c r="D9" s="149">
        <v>13.02</v>
      </c>
      <c r="E9" s="149">
        <v>11.7</v>
      </c>
      <c r="F9" s="149" t="s">
        <v>1490</v>
      </c>
      <c r="G9" s="149">
        <v>2.4E-2</v>
      </c>
      <c r="H9" s="149" t="s">
        <v>1494</v>
      </c>
      <c r="I9" s="149">
        <v>59</v>
      </c>
      <c r="J9" s="149">
        <v>74</v>
      </c>
      <c r="K9" s="149">
        <v>5.5</v>
      </c>
      <c r="L9" s="149" t="s">
        <v>1492</v>
      </c>
    </row>
    <row r="10" spans="1:12">
      <c r="A10" s="151">
        <v>343130</v>
      </c>
      <c r="B10" s="152" t="s">
        <v>307</v>
      </c>
      <c r="C10" s="149" t="s">
        <v>405</v>
      </c>
      <c r="D10" s="149">
        <v>15.12</v>
      </c>
      <c r="E10" s="149">
        <v>6.76</v>
      </c>
      <c r="F10" s="149" t="s">
        <v>1490</v>
      </c>
      <c r="G10" s="149">
        <v>2.7E-2</v>
      </c>
      <c r="H10" s="149" t="s">
        <v>1494</v>
      </c>
      <c r="I10" s="149">
        <v>35.5</v>
      </c>
      <c r="J10" s="149">
        <v>80</v>
      </c>
      <c r="K10" s="149">
        <v>9.5</v>
      </c>
      <c r="L10" s="149" t="s">
        <v>1492</v>
      </c>
    </row>
    <row r="11" spans="1:12">
      <c r="A11" s="151">
        <v>343132</v>
      </c>
      <c r="B11" s="152" t="s">
        <v>308</v>
      </c>
      <c r="C11" s="149" t="s">
        <v>405</v>
      </c>
      <c r="D11" s="149">
        <v>23.55</v>
      </c>
      <c r="E11" s="149">
        <v>17.399999999999999</v>
      </c>
      <c r="F11" s="149" t="s">
        <v>1490</v>
      </c>
      <c r="G11" s="149">
        <v>0.39900000000000002</v>
      </c>
      <c r="H11" s="149" t="s">
        <v>1497</v>
      </c>
      <c r="I11" s="149">
        <v>62</v>
      </c>
      <c r="J11" s="149">
        <v>71.5</v>
      </c>
      <c r="K11" s="149">
        <v>9</v>
      </c>
      <c r="L11" s="149" t="s">
        <v>1492</v>
      </c>
    </row>
    <row r="12" spans="1:12">
      <c r="A12" s="151">
        <v>343134</v>
      </c>
      <c r="B12" s="152" t="s">
        <v>309</v>
      </c>
      <c r="C12" s="149" t="s">
        <v>405</v>
      </c>
      <c r="D12" s="149">
        <v>9.6300000000000008</v>
      </c>
      <c r="E12" s="149">
        <v>9.1999999999999993</v>
      </c>
      <c r="F12" s="149" t="s">
        <v>1490</v>
      </c>
      <c r="G12" s="149">
        <v>16.882000000000001</v>
      </c>
      <c r="H12" s="149" t="s">
        <v>1495</v>
      </c>
      <c r="I12" s="149">
        <v>61.5</v>
      </c>
      <c r="J12" s="149">
        <v>30.5</v>
      </c>
      <c r="K12" s="149">
        <v>9</v>
      </c>
      <c r="L12" s="149" t="s">
        <v>1492</v>
      </c>
    </row>
    <row r="13" spans="1:12">
      <c r="A13" s="151">
        <v>343153</v>
      </c>
      <c r="B13" s="152" t="s">
        <v>310</v>
      </c>
      <c r="C13" s="149" t="s">
        <v>405</v>
      </c>
      <c r="D13" s="149">
        <v>12.5</v>
      </c>
      <c r="E13" s="149">
        <v>11.5</v>
      </c>
      <c r="F13" s="149" t="s">
        <v>1490</v>
      </c>
      <c r="G13" s="149">
        <v>2.5999999999999999E-2</v>
      </c>
      <c r="H13" s="149" t="s">
        <v>1494</v>
      </c>
      <c r="I13" s="149">
        <v>73</v>
      </c>
      <c r="J13" s="149">
        <v>60</v>
      </c>
      <c r="K13" s="149">
        <v>6</v>
      </c>
      <c r="L13" s="149" t="s">
        <v>1492</v>
      </c>
    </row>
    <row r="14" spans="1:12">
      <c r="A14" s="151">
        <v>343157</v>
      </c>
      <c r="B14" s="152" t="s">
        <v>311</v>
      </c>
      <c r="C14" s="149" t="s">
        <v>405</v>
      </c>
      <c r="D14" s="149">
        <v>30</v>
      </c>
      <c r="E14" s="149">
        <v>19.77</v>
      </c>
      <c r="F14" s="149" t="s">
        <v>1490</v>
      </c>
      <c r="G14" s="149">
        <v>7.1999999999999995E-2</v>
      </c>
      <c r="H14" s="149" t="s">
        <v>1494</v>
      </c>
      <c r="I14" s="149">
        <v>145</v>
      </c>
      <c r="J14" s="149">
        <v>58.5</v>
      </c>
      <c r="K14" s="149">
        <v>8.5</v>
      </c>
      <c r="L14" s="149" t="s">
        <v>1492</v>
      </c>
    </row>
    <row r="15" spans="1:12">
      <c r="A15" s="151">
        <v>343234</v>
      </c>
      <c r="B15" s="151" t="s">
        <v>1450</v>
      </c>
      <c r="C15" s="149" t="s">
        <v>405</v>
      </c>
      <c r="D15" s="149">
        <v>11.89</v>
      </c>
      <c r="E15" s="149">
        <v>10.57</v>
      </c>
      <c r="F15" s="149" t="s">
        <v>1490</v>
      </c>
      <c r="G15" s="149">
        <v>2.1999999999999999E-2</v>
      </c>
      <c r="H15" s="149" t="s">
        <v>1494</v>
      </c>
      <c r="I15" s="149">
        <v>79.5</v>
      </c>
      <c r="J15" s="149">
        <v>31</v>
      </c>
      <c r="K15" s="149">
        <v>9</v>
      </c>
      <c r="L15" s="149" t="s">
        <v>1492</v>
      </c>
    </row>
    <row r="16" spans="1:12">
      <c r="A16" s="151">
        <v>343248</v>
      </c>
      <c r="B16" s="151" t="s">
        <v>339</v>
      </c>
      <c r="C16" s="149" t="s">
        <v>405</v>
      </c>
      <c r="D16" s="149">
        <v>5.16</v>
      </c>
      <c r="E16" s="149">
        <v>4.5999999999999996</v>
      </c>
      <c r="F16" s="149" t="s">
        <v>1490</v>
      </c>
      <c r="G16" s="149">
        <v>4.2000000000000003E-2</v>
      </c>
      <c r="H16" s="149" t="s">
        <v>1494</v>
      </c>
      <c r="I16" s="149">
        <v>31.5</v>
      </c>
      <c r="J16" s="149">
        <v>36.5</v>
      </c>
      <c r="K16" s="149">
        <v>36.5</v>
      </c>
      <c r="L16" s="149" t="s">
        <v>1492</v>
      </c>
    </row>
    <row r="17" spans="1:12">
      <c r="A17" s="151">
        <v>343249</v>
      </c>
      <c r="B17" s="151" t="s">
        <v>340</v>
      </c>
      <c r="C17" s="149" t="s">
        <v>405</v>
      </c>
      <c r="D17" s="149">
        <v>5.16</v>
      </c>
      <c r="E17" s="149">
        <v>4.5999999999999996</v>
      </c>
      <c r="F17" s="149" t="s">
        <v>1490</v>
      </c>
      <c r="G17" s="149">
        <v>4.2000000000000003E-2</v>
      </c>
      <c r="H17" s="149" t="s">
        <v>1494</v>
      </c>
      <c r="I17" s="149">
        <v>31.5</v>
      </c>
      <c r="J17" s="149">
        <v>36.5</v>
      </c>
      <c r="K17" s="149">
        <v>36.5</v>
      </c>
      <c r="L17" s="149" t="s">
        <v>1492</v>
      </c>
    </row>
  </sheetData>
  <phoneticPr fontId="24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L249"/>
  <sheetViews>
    <sheetView topLeftCell="A167" workbookViewId="0">
      <selection activeCell="I51" sqref="I51"/>
    </sheetView>
  </sheetViews>
  <sheetFormatPr baseColWidth="10" defaultRowHeight="13.2"/>
  <cols>
    <col min="2" max="2" width="48.109375" style="149" customWidth="1"/>
    <col min="12" max="12" width="16.44140625" customWidth="1"/>
  </cols>
  <sheetData>
    <row r="1" spans="1:12">
      <c r="A1" t="s">
        <v>557</v>
      </c>
      <c r="B1" s="149" t="s">
        <v>1840</v>
      </c>
      <c r="C1" t="s">
        <v>1841</v>
      </c>
      <c r="D1" t="s">
        <v>1842</v>
      </c>
      <c r="E1" t="s">
        <v>1843</v>
      </c>
      <c r="F1" t="s">
        <v>1844</v>
      </c>
      <c r="G1" t="s">
        <v>1845</v>
      </c>
      <c r="H1" t="s">
        <v>1846</v>
      </c>
      <c r="I1" t="s">
        <v>1847</v>
      </c>
      <c r="J1" t="s">
        <v>1848</v>
      </c>
      <c r="K1" t="s">
        <v>1487</v>
      </c>
      <c r="L1" t="s">
        <v>1488</v>
      </c>
    </row>
    <row r="2" spans="1:12">
      <c r="A2" s="110">
        <v>345000</v>
      </c>
      <c r="B2" s="149" t="s">
        <v>1019</v>
      </c>
      <c r="C2" s="110" t="s">
        <v>1489</v>
      </c>
      <c r="D2" s="110">
        <v>0.15</v>
      </c>
      <c r="E2" s="110">
        <v>0.14000000000000001</v>
      </c>
      <c r="F2" s="110" t="s">
        <v>1490</v>
      </c>
      <c r="G2" s="110">
        <v>51.2</v>
      </c>
      <c r="H2" s="110" t="s">
        <v>1491</v>
      </c>
      <c r="I2" s="110">
        <v>20</v>
      </c>
      <c r="J2" s="110">
        <v>3.2</v>
      </c>
      <c r="K2" s="110">
        <v>0.8</v>
      </c>
      <c r="L2" s="110" t="s">
        <v>1492</v>
      </c>
    </row>
    <row r="3" spans="1:12">
      <c r="A3" s="110">
        <v>345001</v>
      </c>
      <c r="B3" s="149" t="s">
        <v>1493</v>
      </c>
      <c r="C3" s="110" t="s">
        <v>1489</v>
      </c>
      <c r="D3" s="110">
        <v>0.11</v>
      </c>
      <c r="E3" s="110">
        <v>0.1</v>
      </c>
      <c r="F3" s="110" t="s">
        <v>1490</v>
      </c>
      <c r="G3" s="110">
        <v>60.48</v>
      </c>
      <c r="H3" s="110" t="s">
        <v>1491</v>
      </c>
      <c r="I3" s="110">
        <v>16</v>
      </c>
      <c r="J3" s="110">
        <v>2.1</v>
      </c>
      <c r="K3" s="110">
        <v>1.8</v>
      </c>
      <c r="L3" s="110" t="s">
        <v>1492</v>
      </c>
    </row>
    <row r="4" spans="1:12">
      <c r="A4" s="110">
        <v>345002</v>
      </c>
      <c r="B4" s="149" t="s">
        <v>1021</v>
      </c>
      <c r="C4" s="110" t="s">
        <v>1489</v>
      </c>
      <c r="D4" s="110">
        <v>0.17899999999999999</v>
      </c>
      <c r="E4" s="110">
        <v>0.17499999999999999</v>
      </c>
      <c r="F4" s="110" t="s">
        <v>1490</v>
      </c>
      <c r="G4" s="110">
        <v>0</v>
      </c>
      <c r="H4" s="110" t="s">
        <v>1494</v>
      </c>
      <c r="I4" s="110">
        <v>3.28</v>
      </c>
      <c r="J4" s="110">
        <v>2.8</v>
      </c>
      <c r="K4" s="110">
        <v>0.9</v>
      </c>
      <c r="L4" s="110" t="s">
        <v>1492</v>
      </c>
    </row>
    <row r="5" spans="1:12">
      <c r="A5" s="110">
        <v>345003</v>
      </c>
      <c r="B5" s="149" t="s">
        <v>1022</v>
      </c>
      <c r="C5" s="110" t="s">
        <v>1489</v>
      </c>
      <c r="D5" s="110">
        <v>0.84</v>
      </c>
      <c r="E5" s="110">
        <v>0.81</v>
      </c>
      <c r="F5" s="110" t="s">
        <v>1490</v>
      </c>
      <c r="G5" s="110">
        <v>52.938000000000002</v>
      </c>
      <c r="H5" s="110" t="s">
        <v>1491</v>
      </c>
      <c r="I5" s="110">
        <v>17.3</v>
      </c>
      <c r="J5" s="110">
        <v>3.4</v>
      </c>
      <c r="K5" s="110">
        <v>0.9</v>
      </c>
      <c r="L5" s="110" t="s">
        <v>1492</v>
      </c>
    </row>
    <row r="6" spans="1:12">
      <c r="A6" s="110">
        <v>345004</v>
      </c>
      <c r="B6" s="149" t="s">
        <v>1026</v>
      </c>
      <c r="C6" s="110" t="s">
        <v>1489</v>
      </c>
      <c r="D6" s="110">
        <v>0.12</v>
      </c>
      <c r="E6" s="110">
        <v>0.11</v>
      </c>
      <c r="F6" s="110" t="s">
        <v>1490</v>
      </c>
      <c r="G6" s="110">
        <v>8.5000000000000006E-2</v>
      </c>
      <c r="H6" s="110" t="s">
        <v>1495</v>
      </c>
      <c r="I6" s="110">
        <v>17.899999999999999</v>
      </c>
      <c r="J6" s="110">
        <v>2.5</v>
      </c>
      <c r="K6" s="110">
        <v>1.9</v>
      </c>
      <c r="L6" s="110" t="s">
        <v>1492</v>
      </c>
    </row>
    <row r="7" spans="1:12">
      <c r="A7" s="110">
        <v>345005</v>
      </c>
      <c r="B7" s="149" t="s">
        <v>1027</v>
      </c>
      <c r="C7" s="110" t="s">
        <v>1489</v>
      </c>
      <c r="D7" s="110">
        <v>0.12</v>
      </c>
      <c r="E7" s="110">
        <v>0.11</v>
      </c>
      <c r="F7" s="110" t="s">
        <v>1490</v>
      </c>
      <c r="G7" s="110">
        <v>8.5000000000000006E-2</v>
      </c>
      <c r="H7" s="110" t="s">
        <v>1495</v>
      </c>
      <c r="I7" s="110">
        <v>17.899999999999999</v>
      </c>
      <c r="J7" s="110">
        <v>2.5</v>
      </c>
      <c r="K7" s="110">
        <v>1.9</v>
      </c>
      <c r="L7" s="110" t="s">
        <v>1492</v>
      </c>
    </row>
    <row r="8" spans="1:12">
      <c r="A8" s="110">
        <v>345006</v>
      </c>
      <c r="B8" s="149" t="s">
        <v>1756</v>
      </c>
      <c r="C8" s="110" t="s">
        <v>1489</v>
      </c>
      <c r="D8" s="110">
        <v>0.155</v>
      </c>
      <c r="E8" s="110">
        <v>0.14899999999999999</v>
      </c>
      <c r="F8" s="110" t="s">
        <v>1490</v>
      </c>
      <c r="G8" s="110">
        <v>51.2</v>
      </c>
      <c r="H8" s="110" t="s">
        <v>1491</v>
      </c>
      <c r="I8" s="110">
        <v>20</v>
      </c>
      <c r="J8" s="110">
        <v>3.2</v>
      </c>
      <c r="K8" s="110">
        <v>0.8</v>
      </c>
      <c r="L8" s="110" t="s">
        <v>1492</v>
      </c>
    </row>
    <row r="9" spans="1:12">
      <c r="A9" s="110">
        <v>345007</v>
      </c>
      <c r="B9" s="149" t="s">
        <v>1757</v>
      </c>
      <c r="C9" s="110" t="s">
        <v>1489</v>
      </c>
      <c r="D9" s="110">
        <v>7.0000000000000007E-2</v>
      </c>
      <c r="E9" s="110">
        <v>0.06</v>
      </c>
      <c r="F9" s="110" t="s">
        <v>1490</v>
      </c>
      <c r="G9" s="110">
        <v>41.6</v>
      </c>
      <c r="H9" s="110" t="s">
        <v>1491</v>
      </c>
      <c r="I9" s="110">
        <v>4</v>
      </c>
      <c r="J9" s="110">
        <v>4</v>
      </c>
      <c r="K9" s="110">
        <v>2.6</v>
      </c>
      <c r="L9" s="110" t="s">
        <v>1492</v>
      </c>
    </row>
    <row r="10" spans="1:12">
      <c r="A10" s="110">
        <v>345008</v>
      </c>
      <c r="B10" s="149" t="s">
        <v>1445</v>
      </c>
      <c r="C10" s="110" t="s">
        <v>1489</v>
      </c>
      <c r="D10" s="110">
        <v>7.0999999999999994E-2</v>
      </c>
      <c r="E10" s="110">
        <v>6.9000000000000006E-2</v>
      </c>
      <c r="F10" s="110" t="s">
        <v>1490</v>
      </c>
      <c r="G10" s="110">
        <v>77.52</v>
      </c>
      <c r="H10" s="110" t="s">
        <v>1491</v>
      </c>
      <c r="I10" s="110">
        <v>19</v>
      </c>
      <c r="J10" s="110">
        <v>2.4</v>
      </c>
      <c r="K10" s="110">
        <v>1.7</v>
      </c>
      <c r="L10" s="110" t="s">
        <v>1492</v>
      </c>
    </row>
    <row r="11" spans="1:12">
      <c r="A11" s="110">
        <v>345009</v>
      </c>
      <c r="B11" s="150" t="s">
        <v>1446</v>
      </c>
      <c r="C11" s="110" t="s">
        <v>1489</v>
      </c>
      <c r="D11" s="110">
        <v>8.6999999999999994E-2</v>
      </c>
      <c r="E11" s="110">
        <v>8.3000000000000004E-2</v>
      </c>
      <c r="F11" s="110" t="s">
        <v>1490</v>
      </c>
      <c r="G11" s="110">
        <v>52.65</v>
      </c>
      <c r="H11" s="110" t="s">
        <v>1491</v>
      </c>
      <c r="I11" s="110">
        <v>15</v>
      </c>
      <c r="J11" s="110">
        <v>2.7</v>
      </c>
      <c r="K11" s="110">
        <v>1.3</v>
      </c>
      <c r="L11" s="110" t="s">
        <v>1492</v>
      </c>
    </row>
    <row r="12" spans="1:12">
      <c r="A12" s="110">
        <v>345010</v>
      </c>
      <c r="B12" s="150" t="s">
        <v>1943</v>
      </c>
      <c r="C12" s="110" t="s">
        <v>1489</v>
      </c>
      <c r="D12" s="110">
        <v>4.4999999999999998E-2</v>
      </c>
      <c r="E12" s="110">
        <v>3.9E-2</v>
      </c>
      <c r="F12" s="110" t="s">
        <v>1490</v>
      </c>
      <c r="G12" s="110">
        <v>35</v>
      </c>
      <c r="H12" s="110" t="s">
        <v>1491</v>
      </c>
      <c r="I12" s="110">
        <v>10</v>
      </c>
      <c r="J12" s="110">
        <v>2.5</v>
      </c>
      <c r="K12" s="110">
        <v>1.4</v>
      </c>
      <c r="L12" s="110" t="s">
        <v>1492</v>
      </c>
    </row>
    <row r="13" spans="1:12">
      <c r="A13" s="110">
        <v>345011</v>
      </c>
      <c r="B13" s="150" t="s">
        <v>1944</v>
      </c>
      <c r="C13" s="110" t="s">
        <v>1489</v>
      </c>
      <c r="D13" s="110">
        <v>0.14399999999999999</v>
      </c>
      <c r="E13" s="110">
        <v>0.14199999999999999</v>
      </c>
      <c r="F13" s="110" t="s">
        <v>1490</v>
      </c>
      <c r="G13" s="110">
        <v>119</v>
      </c>
      <c r="H13" s="110" t="s">
        <v>1491</v>
      </c>
      <c r="I13" s="110">
        <v>34</v>
      </c>
      <c r="J13" s="110">
        <v>2.5</v>
      </c>
      <c r="K13" s="110">
        <v>1.4</v>
      </c>
      <c r="L13" s="110" t="s">
        <v>1492</v>
      </c>
    </row>
    <row r="14" spans="1:12">
      <c r="A14" s="110">
        <v>346400</v>
      </c>
      <c r="B14" s="149" t="s">
        <v>2020</v>
      </c>
      <c r="C14" s="110" t="s">
        <v>1496</v>
      </c>
      <c r="D14" s="110">
        <v>4.41</v>
      </c>
      <c r="E14" s="110">
        <v>2.38</v>
      </c>
      <c r="F14" s="110" t="s">
        <v>1490</v>
      </c>
      <c r="G14" s="110">
        <v>8.0500000000000007</v>
      </c>
      <c r="H14" s="110" t="s">
        <v>1495</v>
      </c>
      <c r="I14" s="110">
        <v>80.5</v>
      </c>
      <c r="J14" s="110">
        <v>40</v>
      </c>
      <c r="K14" s="110">
        <v>2.5</v>
      </c>
      <c r="L14" s="110" t="s">
        <v>1492</v>
      </c>
    </row>
    <row r="15" spans="1:12">
      <c r="A15" s="110">
        <v>346401</v>
      </c>
      <c r="B15" s="149" t="s">
        <v>2021</v>
      </c>
      <c r="C15" s="110" t="s">
        <v>1496</v>
      </c>
      <c r="D15" s="110">
        <v>4.41</v>
      </c>
      <c r="E15" s="110">
        <v>2.38</v>
      </c>
      <c r="F15" s="110" t="s">
        <v>1490</v>
      </c>
      <c r="G15" s="110">
        <v>8.0500000000000007</v>
      </c>
      <c r="H15" s="110" t="s">
        <v>1495</v>
      </c>
      <c r="I15" s="110">
        <v>80.5</v>
      </c>
      <c r="J15" s="110">
        <v>40</v>
      </c>
      <c r="K15" s="110">
        <v>2.5</v>
      </c>
      <c r="L15" s="110" t="s">
        <v>1492</v>
      </c>
    </row>
    <row r="16" spans="1:12">
      <c r="A16" s="110">
        <v>346402</v>
      </c>
      <c r="B16" s="149" t="s">
        <v>2022</v>
      </c>
      <c r="C16" s="110" t="s">
        <v>1496</v>
      </c>
      <c r="D16" s="110">
        <v>6.53</v>
      </c>
      <c r="E16" s="110">
        <v>2.39</v>
      </c>
      <c r="F16" s="110" t="s">
        <v>1490</v>
      </c>
      <c r="G16" s="110">
        <v>12.074999999999999</v>
      </c>
      <c r="H16" s="110" t="s">
        <v>1495</v>
      </c>
      <c r="I16" s="110">
        <v>80.5</v>
      </c>
      <c r="J16" s="110">
        <v>60</v>
      </c>
      <c r="K16" s="110">
        <v>2.5</v>
      </c>
      <c r="L16" s="110" t="s">
        <v>1492</v>
      </c>
    </row>
    <row r="17" spans="1:12">
      <c r="A17" s="110">
        <v>346403</v>
      </c>
      <c r="B17" s="149" t="s">
        <v>2023</v>
      </c>
      <c r="C17" s="110" t="s">
        <v>1496</v>
      </c>
      <c r="D17" s="110">
        <v>6</v>
      </c>
      <c r="E17" s="110">
        <v>2.4500000000000002</v>
      </c>
      <c r="F17" s="110" t="s">
        <v>1490</v>
      </c>
      <c r="G17" s="110">
        <v>12.074999999999999</v>
      </c>
      <c r="H17" s="110" t="s">
        <v>1495</v>
      </c>
      <c r="I17" s="110">
        <v>80.5</v>
      </c>
      <c r="J17" s="110">
        <v>60</v>
      </c>
      <c r="K17" s="110">
        <v>2.5</v>
      </c>
      <c r="L17" s="110" t="s">
        <v>1492</v>
      </c>
    </row>
    <row r="18" spans="1:12">
      <c r="A18" s="110">
        <v>346404</v>
      </c>
      <c r="B18" s="149" t="s">
        <v>2024</v>
      </c>
      <c r="C18" s="110" t="s">
        <v>1496</v>
      </c>
      <c r="D18" s="110">
        <v>3.62</v>
      </c>
      <c r="E18" s="110">
        <v>1.37</v>
      </c>
      <c r="F18" s="110" t="s">
        <v>1490</v>
      </c>
      <c r="G18" s="110">
        <v>7.8E-2</v>
      </c>
      <c r="H18" s="110" t="s">
        <v>1497</v>
      </c>
      <c r="I18" s="110">
        <v>60</v>
      </c>
      <c r="J18" s="110">
        <v>52</v>
      </c>
      <c r="K18" s="110">
        <v>2.5</v>
      </c>
      <c r="L18" s="110" t="s">
        <v>1492</v>
      </c>
    </row>
    <row r="19" spans="1:12">
      <c r="A19" s="110">
        <v>346405</v>
      </c>
      <c r="B19" s="149" t="s">
        <v>2025</v>
      </c>
      <c r="C19" s="110" t="s">
        <v>1496</v>
      </c>
      <c r="D19" s="110">
        <v>5.97</v>
      </c>
      <c r="E19" s="110">
        <v>2.25</v>
      </c>
      <c r="F19" s="110" t="s">
        <v>1490</v>
      </c>
      <c r="G19" s="110">
        <v>0.21299999999999999</v>
      </c>
      <c r="H19" s="110" t="s">
        <v>1497</v>
      </c>
      <c r="I19" s="110">
        <v>71</v>
      </c>
      <c r="J19" s="110">
        <v>60</v>
      </c>
      <c r="K19" s="110">
        <v>5</v>
      </c>
      <c r="L19" s="110" t="s">
        <v>1492</v>
      </c>
    </row>
    <row r="20" spans="1:12">
      <c r="A20" s="110">
        <v>346406</v>
      </c>
      <c r="B20" s="149" t="s">
        <v>2026</v>
      </c>
      <c r="C20" s="110" t="s">
        <v>1496</v>
      </c>
      <c r="D20" s="110">
        <v>7.97</v>
      </c>
      <c r="E20" s="110">
        <v>2</v>
      </c>
      <c r="F20" s="110" t="s">
        <v>1490</v>
      </c>
      <c r="G20" s="110">
        <v>0.21299999999999999</v>
      </c>
      <c r="H20" s="110" t="s">
        <v>1497</v>
      </c>
      <c r="I20" s="110">
        <v>71</v>
      </c>
      <c r="J20" s="110">
        <v>60</v>
      </c>
      <c r="K20" s="110">
        <v>5</v>
      </c>
      <c r="L20" s="110" t="s">
        <v>1492</v>
      </c>
    </row>
    <row r="21" spans="1:12">
      <c r="A21" s="110">
        <v>346407</v>
      </c>
      <c r="B21" s="149" t="s">
        <v>2027</v>
      </c>
      <c r="C21" s="110" t="s">
        <v>1496</v>
      </c>
      <c r="D21" s="110">
        <v>3.12</v>
      </c>
      <c r="E21" s="110">
        <v>1.76</v>
      </c>
      <c r="F21" s="110" t="s">
        <v>1490</v>
      </c>
      <c r="G21" s="110">
        <v>5.68</v>
      </c>
      <c r="H21" s="110" t="s">
        <v>1495</v>
      </c>
      <c r="I21" s="110">
        <v>71</v>
      </c>
      <c r="J21" s="110">
        <v>32</v>
      </c>
      <c r="K21" s="110">
        <v>2.5</v>
      </c>
      <c r="L21" s="110" t="s">
        <v>1492</v>
      </c>
    </row>
    <row r="22" spans="1:12">
      <c r="A22" s="110">
        <v>346408</v>
      </c>
      <c r="B22" s="149" t="s">
        <v>2028</v>
      </c>
      <c r="C22" s="110" t="s">
        <v>1496</v>
      </c>
      <c r="D22" s="110">
        <v>5.75</v>
      </c>
      <c r="E22" s="110">
        <v>2.17</v>
      </c>
      <c r="F22" s="110" t="s">
        <v>1490</v>
      </c>
      <c r="G22" s="110">
        <v>0.10299999999999999</v>
      </c>
      <c r="H22" s="110" t="s">
        <v>1497</v>
      </c>
      <c r="I22" s="110">
        <v>71</v>
      </c>
      <c r="J22" s="110">
        <v>58</v>
      </c>
      <c r="K22" s="110">
        <v>2.5</v>
      </c>
      <c r="L22" s="110" t="s">
        <v>1492</v>
      </c>
    </row>
    <row r="23" spans="1:12">
      <c r="A23" s="110">
        <v>346409</v>
      </c>
      <c r="B23" s="149" t="s">
        <v>2029</v>
      </c>
      <c r="C23" s="110" t="s">
        <v>1496</v>
      </c>
      <c r="D23" s="110">
        <v>4.96</v>
      </c>
      <c r="E23" s="110">
        <v>2.3199999999999998</v>
      </c>
      <c r="F23" s="110" t="s">
        <v>1490</v>
      </c>
      <c r="G23" s="110">
        <v>5.76</v>
      </c>
      <c r="H23" s="110" t="s">
        <v>1495</v>
      </c>
      <c r="I23" s="110">
        <v>1.6</v>
      </c>
      <c r="J23" s="110">
        <v>15</v>
      </c>
      <c r="K23" s="110">
        <v>240</v>
      </c>
      <c r="L23" s="110" t="s">
        <v>1492</v>
      </c>
    </row>
    <row r="24" spans="1:12">
      <c r="A24" s="110">
        <v>346410</v>
      </c>
      <c r="B24" s="149" t="s">
        <v>2030</v>
      </c>
      <c r="C24" s="110" t="s">
        <v>1496</v>
      </c>
      <c r="D24" s="110">
        <v>13.25</v>
      </c>
      <c r="E24" s="110">
        <v>11.5</v>
      </c>
      <c r="F24" s="110" t="s">
        <v>1490</v>
      </c>
      <c r="G24" s="110">
        <v>2.1000000000000001E-2</v>
      </c>
      <c r="H24" s="110" t="s">
        <v>1494</v>
      </c>
      <c r="I24" s="110">
        <v>139</v>
      </c>
      <c r="J24" s="110">
        <v>60.4</v>
      </c>
      <c r="K24" s="110">
        <v>2.5</v>
      </c>
      <c r="L24" s="110" t="s">
        <v>1492</v>
      </c>
    </row>
    <row r="25" spans="1:12">
      <c r="A25" s="110">
        <v>346411</v>
      </c>
      <c r="B25" s="149" t="s">
        <v>2031</v>
      </c>
      <c r="C25" s="110" t="s">
        <v>1496</v>
      </c>
      <c r="D25" s="110">
        <v>1.8</v>
      </c>
      <c r="E25" s="110">
        <v>1.5</v>
      </c>
      <c r="F25" s="110" t="s">
        <v>1490</v>
      </c>
      <c r="G25" s="110">
        <v>2E-3</v>
      </c>
      <c r="H25" s="110" t="s">
        <v>1494</v>
      </c>
      <c r="I25" s="110">
        <v>70</v>
      </c>
      <c r="J25" s="110">
        <v>14.8</v>
      </c>
      <c r="K25" s="110">
        <v>1.8</v>
      </c>
      <c r="L25" s="110" t="s">
        <v>1492</v>
      </c>
    </row>
    <row r="26" spans="1:12">
      <c r="A26" s="110">
        <v>346412</v>
      </c>
      <c r="B26" s="149" t="s">
        <v>1758</v>
      </c>
      <c r="C26" s="110" t="s">
        <v>1496</v>
      </c>
      <c r="D26" s="110">
        <v>12.2</v>
      </c>
      <c r="E26" s="110">
        <v>1.22</v>
      </c>
      <c r="F26" s="110" t="s">
        <v>1490</v>
      </c>
      <c r="G26" s="110">
        <v>2.3E-2</v>
      </c>
      <c r="H26" s="110" t="s">
        <v>1494</v>
      </c>
      <c r="I26" s="110">
        <v>58</v>
      </c>
      <c r="J26" s="110">
        <v>201</v>
      </c>
      <c r="K26" s="110">
        <v>2</v>
      </c>
      <c r="L26" s="110" t="s">
        <v>1492</v>
      </c>
    </row>
    <row r="27" spans="1:12">
      <c r="A27" s="110">
        <v>346413</v>
      </c>
      <c r="B27" s="149" t="s">
        <v>2032</v>
      </c>
      <c r="C27" s="110" t="s">
        <v>1496</v>
      </c>
      <c r="D27" s="110">
        <v>0.73</v>
      </c>
      <c r="E27" s="110">
        <v>0.7</v>
      </c>
      <c r="F27" s="110" t="s">
        <v>1490</v>
      </c>
      <c r="G27" s="110">
        <v>1E-3</v>
      </c>
      <c r="H27" s="110" t="s">
        <v>1494</v>
      </c>
      <c r="I27" s="110">
        <v>70</v>
      </c>
      <c r="J27" s="110">
        <v>4</v>
      </c>
      <c r="K27" s="110">
        <v>4</v>
      </c>
      <c r="L27" s="110" t="s">
        <v>1492</v>
      </c>
    </row>
    <row r="28" spans="1:12">
      <c r="A28" s="110">
        <v>346414</v>
      </c>
      <c r="B28" s="149" t="s">
        <v>2033</v>
      </c>
      <c r="C28" s="110" t="s">
        <v>1496</v>
      </c>
      <c r="D28" s="110">
        <v>0.95</v>
      </c>
      <c r="E28" s="110">
        <v>0.9</v>
      </c>
      <c r="F28" s="110" t="s">
        <v>1490</v>
      </c>
      <c r="G28" s="110">
        <v>1E-3</v>
      </c>
      <c r="H28" s="110" t="s">
        <v>1494</v>
      </c>
      <c r="I28" s="110">
        <v>60</v>
      </c>
      <c r="J28" s="110">
        <v>9.6</v>
      </c>
      <c r="K28" s="110">
        <v>2.5</v>
      </c>
      <c r="L28" s="110" t="s">
        <v>1492</v>
      </c>
    </row>
    <row r="29" spans="1:12">
      <c r="A29" s="110">
        <v>346415</v>
      </c>
      <c r="B29" s="149" t="s">
        <v>218</v>
      </c>
      <c r="C29" s="110" t="s">
        <v>1496</v>
      </c>
      <c r="D29" s="110">
        <v>4.9400000000000004</v>
      </c>
      <c r="E29" s="110">
        <v>4.9400000000000004</v>
      </c>
      <c r="F29" s="110" t="s">
        <v>1490</v>
      </c>
      <c r="G29" s="110">
        <v>6.0000000000000001E-3</v>
      </c>
      <c r="H29" s="110" t="s">
        <v>1494</v>
      </c>
      <c r="I29" s="110">
        <v>42</v>
      </c>
      <c r="J29" s="110">
        <v>79.8</v>
      </c>
      <c r="K29" s="110">
        <v>1.8</v>
      </c>
      <c r="L29" s="110" t="s">
        <v>1492</v>
      </c>
    </row>
    <row r="30" spans="1:12">
      <c r="A30" s="110">
        <v>346430</v>
      </c>
      <c r="B30" s="149" t="s">
        <v>2034</v>
      </c>
      <c r="C30" s="110" t="s">
        <v>1496</v>
      </c>
      <c r="D30" s="110">
        <v>4.41</v>
      </c>
      <c r="E30" s="110">
        <v>2.38</v>
      </c>
      <c r="F30" s="110" t="s">
        <v>1490</v>
      </c>
      <c r="G30" s="110">
        <v>8.0500000000000007</v>
      </c>
      <c r="H30" s="110" t="s">
        <v>1495</v>
      </c>
      <c r="I30" s="110">
        <v>80.5</v>
      </c>
      <c r="J30" s="110">
        <v>40</v>
      </c>
      <c r="K30" s="110">
        <v>2.5</v>
      </c>
      <c r="L30" s="110" t="s">
        <v>1492</v>
      </c>
    </row>
    <row r="31" spans="1:12">
      <c r="A31" s="110">
        <v>346431</v>
      </c>
      <c r="B31" s="149" t="s">
        <v>1030</v>
      </c>
      <c r="C31" s="110" t="s">
        <v>1496</v>
      </c>
      <c r="D31" s="110">
        <v>4.51</v>
      </c>
      <c r="E31" s="110">
        <v>2.38</v>
      </c>
      <c r="F31" s="110" t="s">
        <v>1490</v>
      </c>
      <c r="G31" s="110">
        <v>8.0500000000000007</v>
      </c>
      <c r="H31" s="110" t="s">
        <v>1495</v>
      </c>
      <c r="I31" s="110">
        <v>80.5</v>
      </c>
      <c r="J31" s="110">
        <v>40</v>
      </c>
      <c r="K31" s="110">
        <v>2.5</v>
      </c>
      <c r="L31" s="110" t="s">
        <v>1492</v>
      </c>
    </row>
    <row r="32" spans="1:12">
      <c r="A32" s="110">
        <v>346432</v>
      </c>
      <c r="B32" s="149" t="s">
        <v>1031</v>
      </c>
      <c r="C32" s="110" t="s">
        <v>1496</v>
      </c>
      <c r="D32" s="110">
        <v>6.53</v>
      </c>
      <c r="E32" s="110">
        <v>2.39</v>
      </c>
      <c r="F32" s="110" t="s">
        <v>1490</v>
      </c>
      <c r="G32" s="110">
        <v>12.074999999999999</v>
      </c>
      <c r="H32" s="110" t="s">
        <v>1495</v>
      </c>
      <c r="I32" s="110">
        <v>80.5</v>
      </c>
      <c r="J32" s="110">
        <v>60</v>
      </c>
      <c r="K32" s="110">
        <v>2.5</v>
      </c>
      <c r="L32" s="110" t="s">
        <v>1492</v>
      </c>
    </row>
    <row r="33" spans="1:12">
      <c r="A33" s="110">
        <v>346433</v>
      </c>
      <c r="B33" s="149" t="s">
        <v>1032</v>
      </c>
      <c r="C33" s="110" t="s">
        <v>1496</v>
      </c>
      <c r="D33" s="110">
        <v>6.63</v>
      </c>
      <c r="E33" s="110">
        <v>2.38</v>
      </c>
      <c r="F33" s="110" t="s">
        <v>1490</v>
      </c>
      <c r="G33" s="110">
        <v>12.074999999999999</v>
      </c>
      <c r="H33" s="110" t="s">
        <v>1495</v>
      </c>
      <c r="I33" s="110">
        <v>80.5</v>
      </c>
      <c r="J33" s="110">
        <v>60</v>
      </c>
      <c r="K33" s="110">
        <v>2.5</v>
      </c>
      <c r="L33" s="110" t="s">
        <v>1492</v>
      </c>
    </row>
    <row r="34" spans="1:12">
      <c r="A34" s="110">
        <v>346434</v>
      </c>
      <c r="B34" s="149" t="s">
        <v>1033</v>
      </c>
      <c r="C34" s="110" t="s">
        <v>1496</v>
      </c>
      <c r="D34" s="110">
        <v>4.0199999999999996</v>
      </c>
      <c r="E34" s="110">
        <v>1.43</v>
      </c>
      <c r="F34" s="110" t="s">
        <v>1490</v>
      </c>
      <c r="G34" s="110">
        <v>7.8E-2</v>
      </c>
      <c r="H34" s="110" t="s">
        <v>1497</v>
      </c>
      <c r="I34" s="110">
        <v>60</v>
      </c>
      <c r="J34" s="110">
        <v>52</v>
      </c>
      <c r="K34" s="110">
        <v>2.5</v>
      </c>
      <c r="L34" s="110" t="s">
        <v>1492</v>
      </c>
    </row>
    <row r="35" spans="1:12">
      <c r="A35" s="110">
        <v>346435</v>
      </c>
      <c r="B35" s="149" t="s">
        <v>1034</v>
      </c>
      <c r="C35" s="110" t="s">
        <v>1496</v>
      </c>
      <c r="D35" s="110">
        <v>6.73</v>
      </c>
      <c r="E35" s="110">
        <v>2.36</v>
      </c>
      <c r="F35" s="110" t="s">
        <v>1490</v>
      </c>
      <c r="G35" s="110">
        <v>10.65</v>
      </c>
      <c r="H35" s="110" t="s">
        <v>1495</v>
      </c>
      <c r="I35" s="110">
        <v>71</v>
      </c>
      <c r="J35" s="110">
        <v>60</v>
      </c>
      <c r="K35" s="110">
        <v>2.5</v>
      </c>
      <c r="L35" s="110" t="s">
        <v>1492</v>
      </c>
    </row>
    <row r="36" spans="1:12">
      <c r="A36" s="110">
        <v>346436</v>
      </c>
      <c r="B36" s="149" t="s">
        <v>1035</v>
      </c>
      <c r="C36" s="110" t="s">
        <v>1496</v>
      </c>
      <c r="D36" s="110">
        <v>8.91</v>
      </c>
      <c r="E36" s="110">
        <v>2.1</v>
      </c>
      <c r="F36" s="110" t="s">
        <v>1490</v>
      </c>
      <c r="G36" s="110">
        <v>10.65</v>
      </c>
      <c r="H36" s="110" t="s">
        <v>1495</v>
      </c>
      <c r="I36" s="110">
        <v>71</v>
      </c>
      <c r="J36" s="110">
        <v>60</v>
      </c>
      <c r="K36" s="110">
        <v>2.5</v>
      </c>
      <c r="L36" s="110" t="s">
        <v>1492</v>
      </c>
    </row>
    <row r="37" spans="1:12">
      <c r="A37" s="110">
        <v>346437</v>
      </c>
      <c r="B37" s="149" t="s">
        <v>1036</v>
      </c>
      <c r="C37" s="110" t="s">
        <v>1496</v>
      </c>
      <c r="D37" s="110">
        <v>3.37</v>
      </c>
      <c r="E37" s="110">
        <v>1.85</v>
      </c>
      <c r="F37" s="110" t="s">
        <v>1490</v>
      </c>
      <c r="G37" s="110">
        <v>6.0000000000000001E-3</v>
      </c>
      <c r="H37" s="110" t="s">
        <v>1494</v>
      </c>
      <c r="I37" s="110">
        <v>71</v>
      </c>
      <c r="J37" s="110">
        <v>32</v>
      </c>
      <c r="K37" s="110">
        <v>2.5</v>
      </c>
      <c r="L37" s="110" t="s">
        <v>1492</v>
      </c>
    </row>
    <row r="38" spans="1:12">
      <c r="A38" s="110">
        <v>346438</v>
      </c>
      <c r="B38" s="149" t="s">
        <v>1037</v>
      </c>
      <c r="C38" s="110" t="s">
        <v>1496</v>
      </c>
      <c r="D38" s="110">
        <v>6.15</v>
      </c>
      <c r="E38" s="110">
        <v>2.2799999999999998</v>
      </c>
      <c r="F38" s="110" t="s">
        <v>1490</v>
      </c>
      <c r="G38" s="110">
        <v>0.10299999999999999</v>
      </c>
      <c r="H38" s="110" t="s">
        <v>1497</v>
      </c>
      <c r="I38" s="110">
        <v>71</v>
      </c>
      <c r="J38" s="110">
        <v>58</v>
      </c>
      <c r="K38" s="110">
        <v>2.5</v>
      </c>
      <c r="L38" s="110" t="s">
        <v>1492</v>
      </c>
    </row>
    <row r="39" spans="1:12">
      <c r="A39" s="110">
        <v>346439</v>
      </c>
      <c r="B39" s="149" t="s">
        <v>1038</v>
      </c>
      <c r="C39" s="110" t="s">
        <v>1496</v>
      </c>
      <c r="D39" s="110">
        <v>4.93</v>
      </c>
      <c r="E39" s="110">
        <v>2.23</v>
      </c>
      <c r="F39" s="110" t="s">
        <v>1490</v>
      </c>
      <c r="G39" s="110">
        <v>5.76</v>
      </c>
      <c r="H39" s="110" t="s">
        <v>1495</v>
      </c>
      <c r="I39" s="110">
        <v>1.6</v>
      </c>
      <c r="J39" s="110">
        <v>15</v>
      </c>
      <c r="K39" s="110">
        <v>240</v>
      </c>
      <c r="L39" s="110" t="s">
        <v>1492</v>
      </c>
    </row>
    <row r="40" spans="1:12">
      <c r="A40" s="110">
        <v>346440</v>
      </c>
      <c r="B40" s="149" t="s">
        <v>219</v>
      </c>
      <c r="C40" s="110" t="s">
        <v>1489</v>
      </c>
      <c r="D40" s="110">
        <v>6.7000000000000004E-2</v>
      </c>
      <c r="E40" s="110">
        <v>6.7000000000000004E-2</v>
      </c>
      <c r="F40" s="110" t="s">
        <v>1490</v>
      </c>
      <c r="G40" s="110">
        <v>0</v>
      </c>
      <c r="H40" s="110" t="s">
        <v>1494</v>
      </c>
      <c r="I40" s="110">
        <v>28</v>
      </c>
      <c r="J40" s="110">
        <v>3</v>
      </c>
      <c r="K40" s="110">
        <v>3</v>
      </c>
      <c r="L40" s="110" t="s">
        <v>1492</v>
      </c>
    </row>
    <row r="41" spans="1:12">
      <c r="A41" s="110">
        <v>346441</v>
      </c>
      <c r="B41" s="149" t="s">
        <v>1039</v>
      </c>
      <c r="C41" s="110" t="s">
        <v>1496</v>
      </c>
      <c r="D41" s="110">
        <v>12.3</v>
      </c>
      <c r="E41" s="110">
        <v>1.29</v>
      </c>
      <c r="F41" s="110" t="s">
        <v>1490</v>
      </c>
      <c r="G41" s="110">
        <v>2.1000000000000001E-2</v>
      </c>
      <c r="H41" s="110" t="s">
        <v>1494</v>
      </c>
      <c r="I41" s="110">
        <v>139</v>
      </c>
      <c r="J41" s="110">
        <v>60.4</v>
      </c>
      <c r="K41" s="110">
        <v>2.5</v>
      </c>
      <c r="L41" s="110" t="s">
        <v>1492</v>
      </c>
    </row>
    <row r="42" spans="1:12">
      <c r="A42" s="110">
        <v>346442</v>
      </c>
      <c r="B42" s="149" t="s">
        <v>1040</v>
      </c>
      <c r="C42" s="110" t="s">
        <v>1496</v>
      </c>
      <c r="D42" s="110">
        <v>1.84</v>
      </c>
      <c r="E42" s="110">
        <v>0.76</v>
      </c>
      <c r="F42" s="110" t="s">
        <v>1490</v>
      </c>
      <c r="G42" s="110">
        <v>1.865</v>
      </c>
      <c r="H42" s="110" t="s">
        <v>1495</v>
      </c>
      <c r="I42" s="110">
        <v>70</v>
      </c>
      <c r="J42" s="110">
        <v>14.8</v>
      </c>
      <c r="K42" s="110">
        <v>1.8</v>
      </c>
      <c r="L42" s="110" t="s">
        <v>1492</v>
      </c>
    </row>
    <row r="43" spans="1:12">
      <c r="A43" s="110">
        <v>346443</v>
      </c>
      <c r="B43" s="149" t="s">
        <v>1244</v>
      </c>
      <c r="C43" s="110" t="s">
        <v>1496</v>
      </c>
      <c r="D43" s="110">
        <v>12.2</v>
      </c>
      <c r="E43" s="110">
        <v>1.22</v>
      </c>
      <c r="F43" s="110" t="s">
        <v>1490</v>
      </c>
      <c r="G43" s="110">
        <v>2.4E-2</v>
      </c>
      <c r="H43" s="110" t="s">
        <v>1494</v>
      </c>
      <c r="I43" s="110">
        <v>200</v>
      </c>
      <c r="J43" s="110">
        <v>60</v>
      </c>
      <c r="K43" s="110">
        <v>2</v>
      </c>
      <c r="L43" s="110" t="s">
        <v>1492</v>
      </c>
    </row>
    <row r="44" spans="1:12">
      <c r="A44" s="110">
        <v>346444</v>
      </c>
      <c r="B44" s="149" t="s">
        <v>1256</v>
      </c>
      <c r="C44" s="110" t="s">
        <v>1496</v>
      </c>
      <c r="D44" s="110">
        <v>0.74399999999999999</v>
      </c>
      <c r="E44" s="110">
        <v>0.74399999999999999</v>
      </c>
      <c r="F44" s="110" t="s">
        <v>1490</v>
      </c>
      <c r="G44" s="110">
        <v>1E-3</v>
      </c>
      <c r="H44" s="110" t="s">
        <v>1494</v>
      </c>
      <c r="I44" s="110">
        <v>70</v>
      </c>
      <c r="J44" s="110">
        <v>4</v>
      </c>
      <c r="K44" s="110">
        <v>4</v>
      </c>
      <c r="L44" s="110" t="s">
        <v>1492</v>
      </c>
    </row>
    <row r="45" spans="1:12">
      <c r="A45" s="110">
        <v>346445</v>
      </c>
      <c r="B45" s="149" t="s">
        <v>1257</v>
      </c>
      <c r="C45" s="110" t="s">
        <v>1496</v>
      </c>
      <c r="D45" s="110">
        <v>0.6</v>
      </c>
      <c r="E45" s="110">
        <v>0.6</v>
      </c>
      <c r="F45" s="110" t="s">
        <v>1490</v>
      </c>
      <c r="G45" s="110">
        <v>1E-3</v>
      </c>
      <c r="H45" s="110" t="s">
        <v>1494</v>
      </c>
      <c r="I45" s="110">
        <v>60</v>
      </c>
      <c r="J45" s="110">
        <v>9.6</v>
      </c>
      <c r="K45" s="110">
        <v>2.5</v>
      </c>
      <c r="L45" s="110" t="s">
        <v>1492</v>
      </c>
    </row>
    <row r="46" spans="1:12">
      <c r="A46" s="110">
        <v>346446</v>
      </c>
      <c r="B46" s="149" t="s">
        <v>220</v>
      </c>
      <c r="C46" s="110" t="s">
        <v>1496</v>
      </c>
      <c r="D46" s="110">
        <v>4.9400000000000004</v>
      </c>
      <c r="E46" s="110">
        <v>4.9400000000000004</v>
      </c>
      <c r="F46" s="110" t="s">
        <v>1490</v>
      </c>
      <c r="G46" s="110">
        <v>6.0000000000000001E-3</v>
      </c>
      <c r="H46" s="110" t="s">
        <v>1494</v>
      </c>
      <c r="I46" s="110">
        <v>42</v>
      </c>
      <c r="J46" s="110">
        <v>79.8</v>
      </c>
      <c r="K46" s="110">
        <v>1.8</v>
      </c>
      <c r="L46" s="110" t="s">
        <v>1492</v>
      </c>
    </row>
    <row r="47" spans="1:12">
      <c r="A47" s="110">
        <v>346450</v>
      </c>
      <c r="B47" s="149" t="s">
        <v>1258</v>
      </c>
      <c r="C47" s="110" t="s">
        <v>1496</v>
      </c>
      <c r="D47" s="110">
        <v>4.8600000000000003</v>
      </c>
      <c r="E47" s="110">
        <v>2.02</v>
      </c>
      <c r="F47" s="110" t="s">
        <v>1490</v>
      </c>
      <c r="G47" s="110">
        <v>8.0500000000000007</v>
      </c>
      <c r="H47" s="110" t="s">
        <v>1495</v>
      </c>
      <c r="I47" s="110">
        <v>80.5</v>
      </c>
      <c r="J47" s="110">
        <v>40</v>
      </c>
      <c r="K47" s="110">
        <v>2.5</v>
      </c>
      <c r="L47" s="110" t="s">
        <v>1492</v>
      </c>
    </row>
    <row r="48" spans="1:12">
      <c r="A48" s="110">
        <v>346451</v>
      </c>
      <c r="B48" s="149" t="s">
        <v>1259</v>
      </c>
      <c r="C48" s="110" t="s">
        <v>1496</v>
      </c>
      <c r="D48" s="110">
        <v>5.12</v>
      </c>
      <c r="E48" s="110">
        <v>2.02</v>
      </c>
      <c r="F48" s="110" t="s">
        <v>1490</v>
      </c>
      <c r="G48" s="110">
        <v>8.0500000000000007</v>
      </c>
      <c r="H48" s="110" t="s">
        <v>1495</v>
      </c>
      <c r="I48" s="110">
        <v>80.5</v>
      </c>
      <c r="J48" s="110">
        <v>40</v>
      </c>
      <c r="K48" s="110">
        <v>2.5</v>
      </c>
      <c r="L48" s="110" t="s">
        <v>1492</v>
      </c>
    </row>
    <row r="49" spans="1:12">
      <c r="A49" s="110">
        <v>346452</v>
      </c>
      <c r="B49" s="149" t="s">
        <v>1260</v>
      </c>
      <c r="C49" s="110" t="s">
        <v>1496</v>
      </c>
      <c r="D49" s="110">
        <v>7.02</v>
      </c>
      <c r="E49" s="110">
        <v>2.0299999999999998</v>
      </c>
      <c r="F49" s="110" t="s">
        <v>1490</v>
      </c>
      <c r="G49" s="110">
        <v>12.074999999999999</v>
      </c>
      <c r="H49" s="110" t="s">
        <v>1495</v>
      </c>
      <c r="I49" s="110">
        <v>80.5</v>
      </c>
      <c r="J49" s="110">
        <v>60</v>
      </c>
      <c r="K49" s="110">
        <v>2.5</v>
      </c>
      <c r="L49" s="110" t="s">
        <v>1492</v>
      </c>
    </row>
    <row r="50" spans="1:12">
      <c r="A50" s="110">
        <v>346453</v>
      </c>
      <c r="B50" s="149" t="s">
        <v>1261</v>
      </c>
      <c r="C50" s="110" t="s">
        <v>1496</v>
      </c>
      <c r="D50" s="110">
        <v>7.36</v>
      </c>
      <c r="E50" s="110">
        <v>2.02</v>
      </c>
      <c r="F50" s="110" t="s">
        <v>1490</v>
      </c>
      <c r="G50" s="110">
        <v>12.074999999999999</v>
      </c>
      <c r="H50" s="110" t="s">
        <v>1495</v>
      </c>
      <c r="I50" s="110">
        <v>80.5</v>
      </c>
      <c r="J50" s="110">
        <v>60</v>
      </c>
      <c r="K50" s="110">
        <v>2.5</v>
      </c>
      <c r="L50" s="110" t="s">
        <v>1492</v>
      </c>
    </row>
    <row r="51" spans="1:12">
      <c r="A51" s="110">
        <v>346454</v>
      </c>
      <c r="B51" s="149" t="s">
        <v>1262</v>
      </c>
      <c r="C51" s="110" t="s">
        <v>1496</v>
      </c>
      <c r="D51" s="110">
        <v>12.9</v>
      </c>
      <c r="E51" s="110">
        <v>1.88</v>
      </c>
      <c r="F51" s="110" t="s">
        <v>1490</v>
      </c>
      <c r="G51" s="110">
        <v>2.1000000000000001E-2</v>
      </c>
      <c r="H51" s="110" t="s">
        <v>1494</v>
      </c>
      <c r="I51" s="110">
        <v>60</v>
      </c>
      <c r="J51" s="110">
        <v>140</v>
      </c>
      <c r="K51" s="110">
        <v>2.5</v>
      </c>
      <c r="L51" s="110" t="s">
        <v>1492</v>
      </c>
    </row>
    <row r="52" spans="1:12">
      <c r="A52" s="110">
        <v>346455</v>
      </c>
      <c r="B52" s="149" t="s">
        <v>1263</v>
      </c>
      <c r="C52" s="110" t="s">
        <v>1496</v>
      </c>
      <c r="D52" s="110">
        <v>4.4400000000000004</v>
      </c>
      <c r="E52" s="110">
        <v>1.22</v>
      </c>
      <c r="F52" s="110" t="s">
        <v>1490</v>
      </c>
      <c r="G52" s="110">
        <v>7.8E-2</v>
      </c>
      <c r="H52" s="110" t="s">
        <v>1497</v>
      </c>
      <c r="I52" s="110">
        <v>60</v>
      </c>
      <c r="J52" s="110">
        <v>52</v>
      </c>
      <c r="K52" s="110">
        <v>2.5</v>
      </c>
      <c r="L52" s="110" t="s">
        <v>1492</v>
      </c>
    </row>
    <row r="53" spans="1:12">
      <c r="A53" s="110">
        <v>346456</v>
      </c>
      <c r="B53" s="149" t="s">
        <v>1264</v>
      </c>
      <c r="C53" s="110" t="s">
        <v>1496</v>
      </c>
      <c r="D53" s="110">
        <v>7.65</v>
      </c>
      <c r="E53" s="110">
        <v>2.0099999999999998</v>
      </c>
      <c r="F53" s="110" t="s">
        <v>1490</v>
      </c>
      <c r="G53" s="110">
        <v>10.65</v>
      </c>
      <c r="H53" s="110" t="s">
        <v>1495</v>
      </c>
      <c r="I53" s="110">
        <v>71</v>
      </c>
      <c r="J53" s="110">
        <v>60</v>
      </c>
      <c r="K53" s="110">
        <v>2.5</v>
      </c>
      <c r="L53" s="110" t="s">
        <v>1492</v>
      </c>
    </row>
    <row r="54" spans="1:12">
      <c r="A54" s="110">
        <v>346457</v>
      </c>
      <c r="B54" s="149" t="s">
        <v>1265</v>
      </c>
      <c r="C54" s="110" t="s">
        <v>1496</v>
      </c>
      <c r="D54" s="110">
        <v>9.75</v>
      </c>
      <c r="E54" s="110">
        <v>1.43</v>
      </c>
      <c r="F54" s="110" t="s">
        <v>1490</v>
      </c>
      <c r="G54" s="110">
        <v>10.65</v>
      </c>
      <c r="H54" s="110" t="s">
        <v>1495</v>
      </c>
      <c r="I54" s="110">
        <v>71</v>
      </c>
      <c r="J54" s="110">
        <v>60</v>
      </c>
      <c r="K54" s="110">
        <v>2.5</v>
      </c>
      <c r="L54" s="110" t="s">
        <v>1492</v>
      </c>
    </row>
    <row r="55" spans="1:12">
      <c r="A55" s="110">
        <v>346458</v>
      </c>
      <c r="B55" s="149" t="s">
        <v>1266</v>
      </c>
      <c r="C55" s="110" t="s">
        <v>1496</v>
      </c>
      <c r="D55" s="110">
        <v>3.7</v>
      </c>
      <c r="E55" s="110">
        <v>1.57</v>
      </c>
      <c r="F55" s="110" t="s">
        <v>1490</v>
      </c>
      <c r="G55" s="110">
        <v>5.68</v>
      </c>
      <c r="H55" s="110" t="s">
        <v>1495</v>
      </c>
      <c r="I55" s="110">
        <v>71</v>
      </c>
      <c r="J55" s="110">
        <v>32</v>
      </c>
      <c r="K55" s="110">
        <v>2.5</v>
      </c>
      <c r="L55" s="110" t="s">
        <v>1492</v>
      </c>
    </row>
    <row r="56" spans="1:12">
      <c r="A56" s="110">
        <v>346459</v>
      </c>
      <c r="B56" s="149" t="s">
        <v>1267</v>
      </c>
      <c r="C56" s="110" t="s">
        <v>1496</v>
      </c>
      <c r="D56" s="110">
        <v>6.55</v>
      </c>
      <c r="E56" s="110">
        <v>1.93</v>
      </c>
      <c r="F56" s="110" t="s">
        <v>1490</v>
      </c>
      <c r="G56" s="110">
        <v>0.10299999999999999</v>
      </c>
      <c r="H56" s="110" t="s">
        <v>1497</v>
      </c>
      <c r="I56" s="110">
        <v>71</v>
      </c>
      <c r="J56" s="110">
        <v>58</v>
      </c>
      <c r="K56" s="110">
        <v>2.5</v>
      </c>
      <c r="L56" s="110" t="s">
        <v>1492</v>
      </c>
    </row>
    <row r="57" spans="1:12">
      <c r="A57" s="110">
        <v>346460</v>
      </c>
      <c r="B57" s="149" t="s">
        <v>1498</v>
      </c>
      <c r="C57" s="110" t="s">
        <v>1496</v>
      </c>
      <c r="D57" s="110">
        <v>3.9</v>
      </c>
      <c r="E57" s="110">
        <v>1.26</v>
      </c>
      <c r="F57" s="110" t="s">
        <v>1490</v>
      </c>
      <c r="G57" s="110">
        <v>5.3999999999999999E-2</v>
      </c>
      <c r="H57" s="110" t="s">
        <v>1497</v>
      </c>
      <c r="I57" s="110">
        <v>1.5</v>
      </c>
      <c r="J57" s="110">
        <v>15</v>
      </c>
      <c r="K57" s="110">
        <v>240</v>
      </c>
      <c r="L57" s="110" t="s">
        <v>1492</v>
      </c>
    </row>
    <row r="58" spans="1:12">
      <c r="A58" s="110">
        <v>346461</v>
      </c>
      <c r="B58" s="149" t="s">
        <v>1797</v>
      </c>
      <c r="C58" s="110" t="s">
        <v>1496</v>
      </c>
      <c r="D58" s="110">
        <v>1.78</v>
      </c>
      <c r="E58" s="110">
        <v>0.76</v>
      </c>
      <c r="F58" s="110" t="s">
        <v>1490</v>
      </c>
      <c r="G58" s="110">
        <v>2E-3</v>
      </c>
      <c r="H58" s="110" t="s">
        <v>1494</v>
      </c>
      <c r="I58" s="110">
        <v>70</v>
      </c>
      <c r="J58" s="110">
        <v>14.8</v>
      </c>
      <c r="K58" s="110">
        <v>1.8</v>
      </c>
      <c r="L58" s="110" t="s">
        <v>1492</v>
      </c>
    </row>
    <row r="59" spans="1:12">
      <c r="A59" s="110">
        <v>346462</v>
      </c>
      <c r="B59" s="149" t="s">
        <v>1798</v>
      </c>
      <c r="C59" s="110" t="s">
        <v>1496</v>
      </c>
      <c r="D59" s="110">
        <v>12.2</v>
      </c>
      <c r="E59" s="110">
        <v>1.22</v>
      </c>
      <c r="F59" s="110" t="s">
        <v>1490</v>
      </c>
      <c r="G59" s="110">
        <v>2.4E-2</v>
      </c>
      <c r="H59" s="110" t="s">
        <v>1494</v>
      </c>
      <c r="I59" s="110">
        <v>200</v>
      </c>
      <c r="J59" s="110">
        <v>60</v>
      </c>
      <c r="K59" s="110">
        <v>2</v>
      </c>
      <c r="L59" s="110" t="s">
        <v>1492</v>
      </c>
    </row>
    <row r="60" spans="1:12">
      <c r="A60" s="110">
        <v>346463</v>
      </c>
      <c r="B60" s="149" t="s">
        <v>1799</v>
      </c>
      <c r="C60" s="110" t="s">
        <v>1496</v>
      </c>
      <c r="D60" s="110">
        <v>0.71</v>
      </c>
      <c r="E60" s="110">
        <v>0.71</v>
      </c>
      <c r="F60" s="110" t="s">
        <v>1490</v>
      </c>
      <c r="G60" s="110">
        <v>1E-3</v>
      </c>
      <c r="H60" s="110" t="s">
        <v>1494</v>
      </c>
      <c r="I60" s="110">
        <v>70</v>
      </c>
      <c r="J60" s="110">
        <v>4</v>
      </c>
      <c r="K60" s="110">
        <v>4</v>
      </c>
      <c r="L60" s="110" t="s">
        <v>1492</v>
      </c>
    </row>
    <row r="61" spans="1:12">
      <c r="A61" s="110">
        <v>346464</v>
      </c>
      <c r="B61" s="149" t="s">
        <v>1800</v>
      </c>
      <c r="C61" s="110" t="s">
        <v>1496</v>
      </c>
      <c r="D61" s="110">
        <v>0.95</v>
      </c>
      <c r="E61" s="110">
        <v>0.9</v>
      </c>
      <c r="F61" s="110" t="s">
        <v>1490</v>
      </c>
      <c r="G61" s="110">
        <v>1E-3</v>
      </c>
      <c r="H61" s="110" t="s">
        <v>1494</v>
      </c>
      <c r="I61" s="110">
        <v>59.8</v>
      </c>
      <c r="J61" s="110">
        <v>9.1999999999999993</v>
      </c>
      <c r="K61" s="110">
        <v>1.8</v>
      </c>
      <c r="L61" s="110" t="s">
        <v>1492</v>
      </c>
    </row>
    <row r="62" spans="1:12">
      <c r="A62" s="110">
        <v>346465</v>
      </c>
      <c r="B62" s="149" t="s">
        <v>221</v>
      </c>
      <c r="C62" s="110" t="s">
        <v>1496</v>
      </c>
      <c r="D62" s="110">
        <v>4.9400000000000004</v>
      </c>
      <c r="E62" s="110">
        <v>4.9400000000000004</v>
      </c>
      <c r="F62" s="110" t="s">
        <v>1490</v>
      </c>
      <c r="G62" s="110">
        <v>6.0000000000000001E-3</v>
      </c>
      <c r="H62" s="110" t="s">
        <v>1494</v>
      </c>
      <c r="I62" s="110">
        <v>42</v>
      </c>
      <c r="J62" s="110">
        <v>79.8</v>
      </c>
      <c r="K62" s="110">
        <v>1.8</v>
      </c>
      <c r="L62" s="110" t="s">
        <v>1492</v>
      </c>
    </row>
    <row r="63" spans="1:12">
      <c r="A63" s="110">
        <v>346470</v>
      </c>
      <c r="B63" s="149" t="s">
        <v>1801</v>
      </c>
      <c r="C63" s="110" t="s">
        <v>1496</v>
      </c>
      <c r="D63" s="110">
        <v>4.5999999999999996</v>
      </c>
      <c r="E63" s="110">
        <v>2.02</v>
      </c>
      <c r="F63" s="110" t="s">
        <v>1490</v>
      </c>
      <c r="G63" s="110">
        <v>7.0000000000000001E-3</v>
      </c>
      <c r="H63" s="110" t="s">
        <v>1494</v>
      </c>
      <c r="I63" s="110">
        <v>70</v>
      </c>
      <c r="J63" s="110">
        <v>40.299999999999997</v>
      </c>
      <c r="K63" s="110">
        <v>2.5</v>
      </c>
      <c r="L63" s="110" t="s">
        <v>1492</v>
      </c>
    </row>
    <row r="64" spans="1:12">
      <c r="A64" s="110">
        <v>346471</v>
      </c>
      <c r="B64" s="149" t="s">
        <v>1802</v>
      </c>
      <c r="C64" s="110" t="s">
        <v>1496</v>
      </c>
      <c r="D64" s="110">
        <v>4.76</v>
      </c>
      <c r="E64" s="110">
        <v>2.02</v>
      </c>
      <c r="F64" s="110" t="s">
        <v>1490</v>
      </c>
      <c r="G64" s="110">
        <v>8.0000000000000002E-3</v>
      </c>
      <c r="H64" s="110" t="s">
        <v>1494</v>
      </c>
      <c r="I64" s="110">
        <v>79</v>
      </c>
      <c r="J64" s="110">
        <v>40.299999999999997</v>
      </c>
      <c r="K64" s="110">
        <v>2.5</v>
      </c>
      <c r="L64" s="110" t="s">
        <v>1492</v>
      </c>
    </row>
    <row r="65" spans="1:12">
      <c r="A65" s="110">
        <v>346472</v>
      </c>
      <c r="B65" s="149" t="s">
        <v>1803</v>
      </c>
      <c r="C65" s="110" t="s">
        <v>1496</v>
      </c>
      <c r="D65" s="110">
        <v>6.8</v>
      </c>
      <c r="E65" s="110">
        <v>2.0299999999999998</v>
      </c>
      <c r="F65" s="110" t="s">
        <v>1490</v>
      </c>
      <c r="G65" s="110">
        <v>1.0999999999999999E-2</v>
      </c>
      <c r="H65" s="110" t="s">
        <v>1494</v>
      </c>
      <c r="I65" s="110">
        <v>70</v>
      </c>
      <c r="J65" s="110">
        <v>60.4</v>
      </c>
      <c r="K65" s="110">
        <v>2.5</v>
      </c>
      <c r="L65" s="110" t="s">
        <v>1492</v>
      </c>
    </row>
    <row r="66" spans="1:12">
      <c r="A66" s="110">
        <v>346473</v>
      </c>
      <c r="B66" s="149" t="s">
        <v>446</v>
      </c>
      <c r="C66" s="110" t="s">
        <v>1496</v>
      </c>
      <c r="D66" s="110">
        <v>7</v>
      </c>
      <c r="E66" s="110">
        <v>6</v>
      </c>
      <c r="F66" s="110" t="s">
        <v>1490</v>
      </c>
      <c r="G66" s="110">
        <v>1.2E-2</v>
      </c>
      <c r="H66" s="110" t="s">
        <v>1494</v>
      </c>
      <c r="I66" s="110">
        <v>79</v>
      </c>
      <c r="J66" s="110">
        <v>60.4</v>
      </c>
      <c r="K66" s="110">
        <v>2.5</v>
      </c>
      <c r="L66" s="110" t="s">
        <v>1492</v>
      </c>
    </row>
    <row r="67" spans="1:12">
      <c r="A67" s="110">
        <v>346474</v>
      </c>
      <c r="B67" s="149" t="s">
        <v>1805</v>
      </c>
      <c r="C67" s="110" t="s">
        <v>1496</v>
      </c>
      <c r="D67" s="110">
        <v>4.2</v>
      </c>
      <c r="E67" s="110">
        <v>1.22</v>
      </c>
      <c r="F67" s="110" t="s">
        <v>1490</v>
      </c>
      <c r="G67" s="110">
        <v>6.0000000000000001E-3</v>
      </c>
      <c r="H67" s="110" t="s">
        <v>1494</v>
      </c>
      <c r="I67" s="110">
        <v>42</v>
      </c>
      <c r="J67" s="110">
        <v>60.4</v>
      </c>
      <c r="K67" s="110">
        <v>2.5</v>
      </c>
      <c r="L67" s="110" t="s">
        <v>1492</v>
      </c>
    </row>
    <row r="68" spans="1:12">
      <c r="A68" s="110">
        <v>346475</v>
      </c>
      <c r="B68" s="149" t="s">
        <v>1921</v>
      </c>
      <c r="C68" s="110" t="s">
        <v>1496</v>
      </c>
      <c r="D68" s="110">
        <v>7.2</v>
      </c>
      <c r="E68" s="110">
        <v>2.0099999999999998</v>
      </c>
      <c r="F68" s="110" t="s">
        <v>1490</v>
      </c>
      <c r="G68" s="110">
        <v>1.2E-2</v>
      </c>
      <c r="H68" s="110" t="s">
        <v>1494</v>
      </c>
      <c r="I68" s="110">
        <v>79</v>
      </c>
      <c r="J68" s="110">
        <v>60.4</v>
      </c>
      <c r="K68" s="110">
        <v>2.5</v>
      </c>
      <c r="L68" s="110" t="s">
        <v>1492</v>
      </c>
    </row>
    <row r="69" spans="1:12">
      <c r="A69" s="110">
        <v>346476</v>
      </c>
      <c r="B69" s="149" t="s">
        <v>1922</v>
      </c>
      <c r="C69" s="110" t="s">
        <v>1496</v>
      </c>
      <c r="D69" s="110">
        <v>9.3000000000000007</v>
      </c>
      <c r="E69" s="110">
        <v>1.43</v>
      </c>
      <c r="F69" s="110" t="s">
        <v>1490</v>
      </c>
      <c r="G69" s="110">
        <v>2.1999999999999999E-2</v>
      </c>
      <c r="H69" s="110" t="s">
        <v>1494</v>
      </c>
      <c r="I69" s="110">
        <v>70</v>
      </c>
      <c r="J69" s="110">
        <v>80</v>
      </c>
      <c r="K69" s="110">
        <v>4</v>
      </c>
      <c r="L69" s="110" t="s">
        <v>1492</v>
      </c>
    </row>
    <row r="70" spans="1:12">
      <c r="A70" s="110">
        <v>346477</v>
      </c>
      <c r="B70" s="149" t="s">
        <v>1923</v>
      </c>
      <c r="C70" s="110" t="s">
        <v>1496</v>
      </c>
      <c r="D70" s="110">
        <v>2.4500000000000002</v>
      </c>
      <c r="E70" s="110">
        <v>1.57</v>
      </c>
      <c r="F70" s="110" t="s">
        <v>1490</v>
      </c>
      <c r="G70" s="110">
        <v>5.0000000000000001E-3</v>
      </c>
      <c r="H70" s="110" t="s">
        <v>1494</v>
      </c>
      <c r="I70" s="110">
        <v>70</v>
      </c>
      <c r="J70" s="110">
        <v>31</v>
      </c>
      <c r="K70" s="110">
        <v>2.5</v>
      </c>
      <c r="L70" s="110" t="s">
        <v>1492</v>
      </c>
    </row>
    <row r="71" spans="1:12">
      <c r="A71" s="110">
        <v>346478</v>
      </c>
      <c r="B71" s="149" t="s">
        <v>1924</v>
      </c>
      <c r="C71" s="110" t="s">
        <v>1496</v>
      </c>
      <c r="D71" s="110">
        <v>5.75</v>
      </c>
      <c r="E71" s="110">
        <v>1.93</v>
      </c>
      <c r="F71" s="110" t="s">
        <v>1490</v>
      </c>
      <c r="G71" s="110">
        <v>1.0999999999999999E-2</v>
      </c>
      <c r="H71" s="110" t="s">
        <v>1494</v>
      </c>
      <c r="I71" s="110">
        <v>70</v>
      </c>
      <c r="J71" s="110">
        <v>60.4</v>
      </c>
      <c r="K71" s="110">
        <v>2.5</v>
      </c>
      <c r="L71" s="110" t="s">
        <v>1492</v>
      </c>
    </row>
    <row r="72" spans="1:12">
      <c r="A72" s="110">
        <v>346479</v>
      </c>
      <c r="B72" s="149" t="s">
        <v>1925</v>
      </c>
      <c r="C72" s="110" t="s">
        <v>1496</v>
      </c>
      <c r="D72" s="110">
        <v>12.6</v>
      </c>
      <c r="E72" s="110">
        <v>1.1499999999999999</v>
      </c>
      <c r="F72" s="110" t="s">
        <v>1490</v>
      </c>
      <c r="G72" s="110">
        <v>0.02</v>
      </c>
      <c r="H72" s="110" t="s">
        <v>1494</v>
      </c>
      <c r="I72" s="110">
        <v>130</v>
      </c>
      <c r="J72" s="110">
        <v>60.4</v>
      </c>
      <c r="K72" s="110">
        <v>2.5</v>
      </c>
      <c r="L72" s="110" t="s">
        <v>1492</v>
      </c>
    </row>
    <row r="73" spans="1:12">
      <c r="A73" s="110">
        <v>346480</v>
      </c>
      <c r="B73" s="149" t="s">
        <v>1926</v>
      </c>
      <c r="C73" s="110" t="s">
        <v>1496</v>
      </c>
      <c r="D73" s="110">
        <v>1.84</v>
      </c>
      <c r="E73" s="110">
        <v>0.76</v>
      </c>
      <c r="F73" s="110" t="s">
        <v>1490</v>
      </c>
      <c r="G73" s="110">
        <v>3.0000000000000001E-3</v>
      </c>
      <c r="H73" s="110" t="s">
        <v>1494</v>
      </c>
      <c r="I73" s="110">
        <v>70</v>
      </c>
      <c r="J73" s="110">
        <v>15.4</v>
      </c>
      <c r="K73" s="110">
        <v>2.5</v>
      </c>
      <c r="L73" s="110" t="s">
        <v>1492</v>
      </c>
    </row>
    <row r="74" spans="1:12">
      <c r="A74" s="110">
        <v>346481</v>
      </c>
      <c r="B74" s="149" t="s">
        <v>1927</v>
      </c>
      <c r="C74" s="110" t="s">
        <v>1496</v>
      </c>
      <c r="D74" s="110">
        <v>13</v>
      </c>
      <c r="E74" s="110">
        <v>1.3</v>
      </c>
      <c r="F74" s="110" t="s">
        <v>1490</v>
      </c>
      <c r="G74" s="110">
        <v>0.03</v>
      </c>
      <c r="H74" s="110" t="s">
        <v>1494</v>
      </c>
      <c r="I74" s="110">
        <v>200.4</v>
      </c>
      <c r="J74" s="110">
        <v>60.4</v>
      </c>
      <c r="K74" s="110">
        <v>2.5</v>
      </c>
      <c r="L74" s="110" t="s">
        <v>1492</v>
      </c>
    </row>
    <row r="75" spans="1:12">
      <c r="A75" s="110">
        <v>346482</v>
      </c>
      <c r="B75" s="149" t="s">
        <v>1928</v>
      </c>
      <c r="C75" s="110" t="s">
        <v>1496</v>
      </c>
      <c r="D75" s="110">
        <v>0.73299999999999998</v>
      </c>
      <c r="E75" s="110">
        <v>0.7</v>
      </c>
      <c r="F75" s="110" t="s">
        <v>1490</v>
      </c>
      <c r="G75" s="110">
        <v>1E-3</v>
      </c>
      <c r="H75" s="110" t="s">
        <v>1494</v>
      </c>
      <c r="I75" s="110">
        <v>70</v>
      </c>
      <c r="J75" s="110">
        <v>4</v>
      </c>
      <c r="K75" s="110">
        <v>4</v>
      </c>
      <c r="L75" s="110" t="s">
        <v>1492</v>
      </c>
    </row>
    <row r="76" spans="1:12">
      <c r="A76" s="110">
        <v>346483</v>
      </c>
      <c r="B76" s="149" t="s">
        <v>1929</v>
      </c>
      <c r="C76" s="110" t="s">
        <v>1496</v>
      </c>
      <c r="D76" s="110">
        <v>0.9</v>
      </c>
      <c r="E76" s="110">
        <v>0.9</v>
      </c>
      <c r="F76" s="110" t="s">
        <v>1490</v>
      </c>
      <c r="G76" s="110">
        <v>1E-3</v>
      </c>
      <c r="H76" s="110" t="s">
        <v>1494</v>
      </c>
      <c r="I76" s="110">
        <v>60.8</v>
      </c>
      <c r="J76" s="110">
        <v>9.1999999999999993</v>
      </c>
      <c r="K76" s="110">
        <v>2.5</v>
      </c>
      <c r="L76" s="110" t="s">
        <v>1492</v>
      </c>
    </row>
    <row r="77" spans="1:12">
      <c r="A77" s="110">
        <v>346484</v>
      </c>
      <c r="B77" s="149" t="s">
        <v>1227</v>
      </c>
      <c r="C77" s="110" t="s">
        <v>1496</v>
      </c>
      <c r="D77" s="110">
        <v>4.5999999999999996</v>
      </c>
      <c r="E77" s="110">
        <v>1.93</v>
      </c>
      <c r="F77" s="110" t="s">
        <v>1490</v>
      </c>
      <c r="G77" s="110">
        <v>8.9999999999999993E-3</v>
      </c>
      <c r="H77" s="110" t="s">
        <v>1494</v>
      </c>
      <c r="I77" s="110">
        <v>240</v>
      </c>
      <c r="J77" s="110">
        <v>15</v>
      </c>
      <c r="K77" s="110">
        <v>2.5</v>
      </c>
      <c r="L77" s="110" t="s">
        <v>1492</v>
      </c>
    </row>
    <row r="78" spans="1:12">
      <c r="A78" s="110">
        <v>346485</v>
      </c>
      <c r="B78" s="149" t="s">
        <v>222</v>
      </c>
      <c r="C78" s="110" t="s">
        <v>1489</v>
      </c>
      <c r="D78" s="110">
        <v>0.155</v>
      </c>
      <c r="E78" s="110">
        <v>0.15</v>
      </c>
      <c r="F78" s="110" t="s">
        <v>1490</v>
      </c>
      <c r="G78" s="110">
        <v>0</v>
      </c>
      <c r="H78" s="110" t="s">
        <v>1494</v>
      </c>
      <c r="I78" s="110">
        <v>18</v>
      </c>
      <c r="J78" s="110">
        <v>2.5</v>
      </c>
      <c r="K78" s="110">
        <v>1.6</v>
      </c>
      <c r="L78" s="110" t="s">
        <v>1492</v>
      </c>
    </row>
    <row r="79" spans="1:12">
      <c r="A79" s="110">
        <v>346486</v>
      </c>
      <c r="B79" s="149" t="s">
        <v>329</v>
      </c>
      <c r="C79" s="110" t="s">
        <v>1496</v>
      </c>
      <c r="D79" s="110">
        <v>4.87</v>
      </c>
      <c r="E79" s="110">
        <v>4.87</v>
      </c>
      <c r="F79" s="110" t="s">
        <v>1490</v>
      </c>
      <c r="G79" s="110">
        <v>6.0000000000000001E-3</v>
      </c>
      <c r="H79" s="110" t="s">
        <v>1494</v>
      </c>
      <c r="I79" s="110">
        <v>42</v>
      </c>
      <c r="J79" s="110">
        <v>79.8</v>
      </c>
      <c r="K79" s="110">
        <v>1.8</v>
      </c>
      <c r="L79" s="110" t="s">
        <v>1492</v>
      </c>
    </row>
    <row r="80" spans="1:12">
      <c r="A80" s="110">
        <v>346501</v>
      </c>
      <c r="B80" s="150" t="s">
        <v>1398</v>
      </c>
      <c r="C80" s="110" t="s">
        <v>1496</v>
      </c>
      <c r="D80" s="110">
        <v>3.95</v>
      </c>
      <c r="E80" s="110">
        <v>1.82</v>
      </c>
      <c r="F80" s="110" t="s">
        <v>1490</v>
      </c>
      <c r="G80" s="110">
        <v>8.0500000000000007</v>
      </c>
      <c r="H80" s="110" t="s">
        <v>1495</v>
      </c>
      <c r="I80" s="110">
        <v>80.5</v>
      </c>
      <c r="J80" s="110">
        <v>40</v>
      </c>
      <c r="K80" s="110">
        <v>2.5</v>
      </c>
      <c r="L80" s="110" t="s">
        <v>1492</v>
      </c>
    </row>
    <row r="81" spans="1:12">
      <c r="A81" s="110">
        <v>346502</v>
      </c>
      <c r="B81" s="150" t="s">
        <v>1399</v>
      </c>
      <c r="C81" s="110" t="s">
        <v>1496</v>
      </c>
      <c r="D81" s="110">
        <v>4</v>
      </c>
      <c r="E81" s="110">
        <v>1.78</v>
      </c>
      <c r="F81" s="110" t="s">
        <v>1490</v>
      </c>
      <c r="G81" s="110">
        <v>1.4E-2</v>
      </c>
      <c r="H81" s="110" t="s">
        <v>1494</v>
      </c>
      <c r="I81" s="110">
        <v>70</v>
      </c>
      <c r="J81" s="110">
        <v>40</v>
      </c>
      <c r="K81" s="110">
        <v>5</v>
      </c>
      <c r="L81" s="110" t="s">
        <v>1492</v>
      </c>
    </row>
    <row r="82" spans="1:12">
      <c r="A82" s="110">
        <v>346503</v>
      </c>
      <c r="B82" s="150" t="s">
        <v>527</v>
      </c>
      <c r="C82" s="110" t="s">
        <v>1496</v>
      </c>
      <c r="D82" s="110">
        <v>3.95</v>
      </c>
      <c r="E82" s="110">
        <v>1.82</v>
      </c>
      <c r="F82" s="110" t="s">
        <v>1490</v>
      </c>
      <c r="G82" s="110">
        <v>8.0500000000000007</v>
      </c>
      <c r="H82" s="110" t="s">
        <v>1495</v>
      </c>
      <c r="I82" s="110">
        <v>80.5</v>
      </c>
      <c r="J82" s="110">
        <v>40</v>
      </c>
      <c r="K82" s="110">
        <v>2.5</v>
      </c>
      <c r="L82" s="110" t="s">
        <v>1492</v>
      </c>
    </row>
    <row r="83" spans="1:12">
      <c r="A83" s="110">
        <v>346504</v>
      </c>
      <c r="B83" s="150" t="s">
        <v>528</v>
      </c>
      <c r="C83" s="110" t="s">
        <v>1496</v>
      </c>
      <c r="D83" s="110">
        <v>3.6</v>
      </c>
      <c r="E83" s="110">
        <v>1.66</v>
      </c>
      <c r="F83" s="110" t="s">
        <v>1490</v>
      </c>
      <c r="G83" s="110">
        <v>7.8E-2</v>
      </c>
      <c r="H83" s="110" t="s">
        <v>1497</v>
      </c>
      <c r="I83" s="110">
        <v>60</v>
      </c>
      <c r="J83" s="110">
        <v>52</v>
      </c>
      <c r="K83" s="110">
        <v>2.5</v>
      </c>
      <c r="L83" s="110" t="s">
        <v>1492</v>
      </c>
    </row>
    <row r="84" spans="1:12">
      <c r="A84" s="110">
        <v>346505</v>
      </c>
      <c r="B84" s="150" t="s">
        <v>529</v>
      </c>
      <c r="C84" s="110" t="s">
        <v>1496</v>
      </c>
      <c r="D84" s="110">
        <v>5.85</v>
      </c>
      <c r="E84" s="110">
        <v>2.9</v>
      </c>
      <c r="F84" s="110" t="s">
        <v>1490</v>
      </c>
      <c r="G84" s="110">
        <v>12.074999999999999</v>
      </c>
      <c r="H84" s="110" t="s">
        <v>1495</v>
      </c>
      <c r="I84" s="110">
        <v>80.5</v>
      </c>
      <c r="J84" s="110">
        <v>60</v>
      </c>
      <c r="K84" s="110">
        <v>2.5</v>
      </c>
      <c r="L84" s="110" t="s">
        <v>1492</v>
      </c>
    </row>
    <row r="85" spans="1:12">
      <c r="A85" s="110">
        <v>346506</v>
      </c>
      <c r="B85" s="150" t="s">
        <v>530</v>
      </c>
      <c r="C85" s="110" t="s">
        <v>1496</v>
      </c>
      <c r="D85" s="110">
        <v>5.9</v>
      </c>
      <c r="E85" s="110">
        <v>2.71</v>
      </c>
      <c r="F85" s="110" t="s">
        <v>1490</v>
      </c>
      <c r="G85" s="110">
        <v>12.074999999999999</v>
      </c>
      <c r="H85" s="110" t="s">
        <v>1495</v>
      </c>
      <c r="I85" s="110">
        <v>80.5</v>
      </c>
      <c r="J85" s="110">
        <v>60</v>
      </c>
      <c r="K85" s="110">
        <v>2.5</v>
      </c>
      <c r="L85" s="110" t="s">
        <v>1492</v>
      </c>
    </row>
    <row r="86" spans="1:12">
      <c r="A86" s="110">
        <v>346507</v>
      </c>
      <c r="B86" s="150" t="s">
        <v>531</v>
      </c>
      <c r="C86" s="110" t="s">
        <v>1496</v>
      </c>
      <c r="D86" s="110">
        <v>6.05</v>
      </c>
      <c r="E86" s="110">
        <v>2.78</v>
      </c>
      <c r="F86" s="110" t="s">
        <v>1490</v>
      </c>
      <c r="G86" s="110">
        <v>12.074999999999999</v>
      </c>
      <c r="H86" s="110" t="s">
        <v>1495</v>
      </c>
      <c r="I86" s="110">
        <v>80.5</v>
      </c>
      <c r="J86" s="110">
        <v>60</v>
      </c>
      <c r="K86" s="110">
        <v>2.5</v>
      </c>
      <c r="L86" s="110" t="s">
        <v>1492</v>
      </c>
    </row>
    <row r="87" spans="1:12">
      <c r="A87" s="110">
        <v>346508</v>
      </c>
      <c r="B87" s="150" t="s">
        <v>532</v>
      </c>
      <c r="C87" s="110" t="s">
        <v>1496</v>
      </c>
      <c r="D87" s="110">
        <v>2.96</v>
      </c>
      <c r="E87" s="110">
        <v>1.33</v>
      </c>
      <c r="F87" s="110" t="s">
        <v>1490</v>
      </c>
      <c r="G87" s="110">
        <v>5.68</v>
      </c>
      <c r="H87" s="110" t="s">
        <v>1495</v>
      </c>
      <c r="I87" s="110">
        <v>71</v>
      </c>
      <c r="J87" s="110">
        <v>32</v>
      </c>
      <c r="K87" s="110">
        <v>2.5</v>
      </c>
      <c r="L87" s="110" t="s">
        <v>1492</v>
      </c>
    </row>
    <row r="88" spans="1:12">
      <c r="A88" s="110">
        <v>346509</v>
      </c>
      <c r="B88" s="150" t="s">
        <v>533</v>
      </c>
      <c r="C88" s="110" t="s">
        <v>1496</v>
      </c>
      <c r="D88" s="110">
        <v>5.57</v>
      </c>
      <c r="E88" s="110">
        <v>2.54</v>
      </c>
      <c r="F88" s="110" t="s">
        <v>1490</v>
      </c>
      <c r="G88" s="110">
        <v>0.10199999999999999</v>
      </c>
      <c r="H88" s="110" t="s">
        <v>1497</v>
      </c>
      <c r="I88" s="110">
        <v>71</v>
      </c>
      <c r="J88" s="110">
        <v>57.5</v>
      </c>
      <c r="K88" s="110">
        <v>2.5</v>
      </c>
      <c r="L88" s="110" t="s">
        <v>1492</v>
      </c>
    </row>
    <row r="89" spans="1:12">
      <c r="A89" s="110">
        <v>346511</v>
      </c>
      <c r="B89" s="150" t="s">
        <v>534</v>
      </c>
      <c r="C89" s="110" t="s">
        <v>1496</v>
      </c>
      <c r="D89" s="110">
        <v>4.3</v>
      </c>
      <c r="E89" s="110">
        <v>4.3</v>
      </c>
      <c r="F89" s="110" t="s">
        <v>1490</v>
      </c>
      <c r="G89" s="110">
        <v>21.66</v>
      </c>
      <c r="H89" s="110" t="s">
        <v>1495</v>
      </c>
      <c r="I89" s="110">
        <v>9.5</v>
      </c>
      <c r="J89" s="110">
        <v>9.5</v>
      </c>
      <c r="K89" s="110">
        <v>240</v>
      </c>
      <c r="L89" s="110" t="s">
        <v>1492</v>
      </c>
    </row>
    <row r="90" spans="1:12">
      <c r="A90" s="110">
        <v>346512</v>
      </c>
      <c r="B90" s="150" t="s">
        <v>535</v>
      </c>
      <c r="C90" s="110" t="s">
        <v>1496</v>
      </c>
      <c r="D90" s="110">
        <v>5.58</v>
      </c>
      <c r="E90" s="110">
        <v>0.54</v>
      </c>
      <c r="F90" s="110" t="s">
        <v>1490</v>
      </c>
      <c r="G90" s="110">
        <v>5.76</v>
      </c>
      <c r="H90" s="110" t="s">
        <v>1495</v>
      </c>
      <c r="I90" s="110">
        <v>1.6</v>
      </c>
      <c r="J90" s="110">
        <v>15</v>
      </c>
      <c r="K90" s="110">
        <v>240</v>
      </c>
      <c r="L90" s="110" t="s">
        <v>1492</v>
      </c>
    </row>
    <row r="91" spans="1:12">
      <c r="A91" s="110">
        <v>346513</v>
      </c>
      <c r="B91" s="150" t="s">
        <v>536</v>
      </c>
      <c r="C91" s="110" t="s">
        <v>1496</v>
      </c>
      <c r="D91" s="110">
        <v>1.5</v>
      </c>
      <c r="E91" s="110">
        <v>0.63</v>
      </c>
      <c r="F91" s="110" t="s">
        <v>1490</v>
      </c>
      <c r="G91" s="110">
        <v>2.6909999999999998</v>
      </c>
      <c r="H91" s="110" t="s">
        <v>1495</v>
      </c>
      <c r="I91" s="110">
        <v>78</v>
      </c>
      <c r="J91" s="110">
        <v>15</v>
      </c>
      <c r="K91" s="110">
        <v>2.2999999999999998</v>
      </c>
      <c r="L91" s="110" t="s">
        <v>1492</v>
      </c>
    </row>
    <row r="92" spans="1:12">
      <c r="A92" s="110">
        <v>346514</v>
      </c>
      <c r="B92" s="150" t="s">
        <v>537</v>
      </c>
      <c r="C92" s="110" t="s">
        <v>1496</v>
      </c>
      <c r="D92" s="110">
        <v>8.07</v>
      </c>
      <c r="E92" s="110">
        <v>3.71</v>
      </c>
      <c r="F92" s="110" t="s">
        <v>1490</v>
      </c>
      <c r="G92" s="110">
        <v>1.2E-2</v>
      </c>
      <c r="H92" s="110" t="s">
        <v>1494</v>
      </c>
      <c r="I92" s="110">
        <v>78</v>
      </c>
      <c r="J92" s="110">
        <v>80</v>
      </c>
      <c r="K92" s="110">
        <v>2</v>
      </c>
      <c r="L92" s="110" t="s">
        <v>1492</v>
      </c>
    </row>
    <row r="93" spans="1:12">
      <c r="A93" s="110">
        <v>346515</v>
      </c>
      <c r="B93" s="150" t="s">
        <v>538</v>
      </c>
      <c r="C93" s="110" t="s">
        <v>1496</v>
      </c>
      <c r="D93" s="110">
        <v>10.6</v>
      </c>
      <c r="E93" s="110">
        <v>5</v>
      </c>
      <c r="F93" s="110" t="s">
        <v>1490</v>
      </c>
      <c r="G93" s="110">
        <v>2.1000000000000001E-2</v>
      </c>
      <c r="H93" s="110" t="s">
        <v>1494</v>
      </c>
      <c r="I93" s="110">
        <v>140</v>
      </c>
      <c r="J93" s="110">
        <v>60</v>
      </c>
      <c r="K93" s="110">
        <v>2.5</v>
      </c>
      <c r="L93" s="110" t="s">
        <v>1492</v>
      </c>
    </row>
    <row r="94" spans="1:12">
      <c r="A94" s="110">
        <v>346516</v>
      </c>
      <c r="B94" s="150" t="s">
        <v>539</v>
      </c>
      <c r="C94" s="110" t="s">
        <v>1496</v>
      </c>
      <c r="D94" s="110">
        <v>8.43</v>
      </c>
      <c r="E94" s="110">
        <v>7.93</v>
      </c>
      <c r="F94" s="110" t="s">
        <v>1490</v>
      </c>
      <c r="G94" s="110">
        <v>1.0999999999999999E-2</v>
      </c>
      <c r="H94" s="110" t="s">
        <v>1494</v>
      </c>
      <c r="I94" s="110">
        <v>200</v>
      </c>
      <c r="J94" s="110">
        <v>57</v>
      </c>
      <c r="K94" s="110">
        <v>1</v>
      </c>
      <c r="L94" s="110" t="s">
        <v>1492</v>
      </c>
    </row>
    <row r="95" spans="1:12">
      <c r="A95" s="110">
        <v>346517</v>
      </c>
      <c r="B95" s="150" t="s">
        <v>540</v>
      </c>
      <c r="C95" s="110" t="s">
        <v>1496</v>
      </c>
      <c r="D95" s="110">
        <v>0.54</v>
      </c>
      <c r="E95" s="110">
        <v>0.23</v>
      </c>
      <c r="F95" s="110" t="s">
        <v>1490</v>
      </c>
      <c r="G95" s="110">
        <v>1E-3</v>
      </c>
      <c r="H95" s="110" t="s">
        <v>1494</v>
      </c>
      <c r="I95" s="110">
        <v>4</v>
      </c>
      <c r="J95" s="110">
        <v>70</v>
      </c>
      <c r="K95" s="110">
        <v>2</v>
      </c>
      <c r="L95" s="110" t="s">
        <v>1492</v>
      </c>
    </row>
    <row r="96" spans="1:12">
      <c r="A96" s="110">
        <v>346518</v>
      </c>
      <c r="B96" s="150" t="s">
        <v>1449</v>
      </c>
      <c r="C96" s="110" t="s">
        <v>1496</v>
      </c>
      <c r="D96" s="110">
        <v>0.66</v>
      </c>
      <c r="E96" s="110">
        <v>0.46</v>
      </c>
      <c r="F96" s="110" t="s">
        <v>1490</v>
      </c>
      <c r="G96" s="110">
        <v>3.0000000000000001E-3</v>
      </c>
      <c r="H96" s="110" t="s">
        <v>1494</v>
      </c>
      <c r="I96" s="110">
        <v>78</v>
      </c>
      <c r="J96" s="110">
        <v>15</v>
      </c>
      <c r="K96" s="110">
        <v>2.2999999999999998</v>
      </c>
      <c r="L96" s="110" t="s">
        <v>1492</v>
      </c>
    </row>
    <row r="97" spans="1:12">
      <c r="A97" s="110">
        <v>346519</v>
      </c>
      <c r="B97" s="149" t="s">
        <v>1449</v>
      </c>
      <c r="C97" s="110" t="s">
        <v>1496</v>
      </c>
      <c r="D97" s="110">
        <v>3.55</v>
      </c>
      <c r="E97" s="110">
        <v>3.24</v>
      </c>
      <c r="F97" s="110" t="s">
        <v>1490</v>
      </c>
      <c r="G97" s="110">
        <v>8.0000000000000002E-3</v>
      </c>
      <c r="H97" s="110" t="s">
        <v>1494</v>
      </c>
      <c r="I97" s="110">
        <v>50</v>
      </c>
      <c r="J97" s="110">
        <v>60</v>
      </c>
      <c r="K97" s="110">
        <v>2.5</v>
      </c>
      <c r="L97" s="110" t="s">
        <v>1492</v>
      </c>
    </row>
    <row r="98" spans="1:12">
      <c r="A98" s="110">
        <v>346570</v>
      </c>
      <c r="B98" s="149" t="s">
        <v>330</v>
      </c>
      <c r="C98" s="110" t="s">
        <v>1496</v>
      </c>
      <c r="D98" s="110">
        <v>4.5599999999999996</v>
      </c>
      <c r="E98" s="110">
        <v>4.16</v>
      </c>
      <c r="F98" s="110" t="s">
        <v>1490</v>
      </c>
      <c r="G98" s="110">
        <v>7.0000000000000001E-3</v>
      </c>
      <c r="H98" s="110" t="s">
        <v>1494</v>
      </c>
      <c r="I98" s="110">
        <v>74.099999999999994</v>
      </c>
      <c r="J98" s="110">
        <v>40.4</v>
      </c>
      <c r="K98" s="110">
        <v>2.4</v>
      </c>
      <c r="L98" s="110" t="s">
        <v>1492</v>
      </c>
    </row>
    <row r="99" spans="1:12">
      <c r="A99" s="110">
        <v>346571</v>
      </c>
      <c r="B99" s="149" t="s">
        <v>1221</v>
      </c>
      <c r="C99" s="110" t="s">
        <v>1496</v>
      </c>
      <c r="D99" s="110">
        <v>4.54</v>
      </c>
      <c r="E99" s="110">
        <v>4.1399999999999997</v>
      </c>
      <c r="F99" s="110" t="s">
        <v>1490</v>
      </c>
      <c r="G99" s="110">
        <v>7.0000000000000001E-3</v>
      </c>
      <c r="H99" s="110" t="s">
        <v>1494</v>
      </c>
      <c r="I99" s="110">
        <v>74.099999999999994</v>
      </c>
      <c r="J99" s="110">
        <v>40.4</v>
      </c>
      <c r="K99" s="110">
        <v>2.4</v>
      </c>
      <c r="L99" s="110" t="s">
        <v>1492</v>
      </c>
    </row>
    <row r="100" spans="1:12">
      <c r="A100" s="110">
        <v>346572</v>
      </c>
      <c r="B100" s="149" t="s">
        <v>1222</v>
      </c>
      <c r="C100" s="110" t="s">
        <v>1496</v>
      </c>
      <c r="D100" s="110">
        <v>6.65</v>
      </c>
      <c r="E100" s="110">
        <v>6.25</v>
      </c>
      <c r="F100" s="110" t="s">
        <v>1490</v>
      </c>
      <c r="G100" s="110">
        <v>1.0999999999999999E-2</v>
      </c>
      <c r="H100" s="110" t="s">
        <v>1494</v>
      </c>
      <c r="I100" s="110">
        <v>74.099999999999994</v>
      </c>
      <c r="J100" s="110">
        <v>60.4</v>
      </c>
      <c r="K100" s="110">
        <v>2.4</v>
      </c>
      <c r="L100" s="110" t="s">
        <v>1492</v>
      </c>
    </row>
    <row r="101" spans="1:12">
      <c r="A101" s="110">
        <v>346573</v>
      </c>
      <c r="B101" s="149" t="s">
        <v>1223</v>
      </c>
      <c r="C101" s="110" t="s">
        <v>1496</v>
      </c>
      <c r="D101" s="110">
        <v>6.63</v>
      </c>
      <c r="E101" s="110">
        <v>6.23</v>
      </c>
      <c r="F101" s="110" t="s">
        <v>1490</v>
      </c>
      <c r="G101" s="110">
        <v>1.0999999999999999E-2</v>
      </c>
      <c r="H101" s="110" t="s">
        <v>1494</v>
      </c>
      <c r="I101" s="110">
        <v>74.099999999999994</v>
      </c>
      <c r="J101" s="110">
        <v>60.4</v>
      </c>
      <c r="K101" s="110">
        <v>2.4</v>
      </c>
      <c r="L101" s="110" t="s">
        <v>1492</v>
      </c>
    </row>
    <row r="102" spans="1:12">
      <c r="A102" s="110">
        <v>346574</v>
      </c>
      <c r="B102" s="149" t="s">
        <v>1224</v>
      </c>
      <c r="C102" s="110" t="s">
        <v>1496</v>
      </c>
      <c r="D102" s="110">
        <v>4.1500000000000004</v>
      </c>
      <c r="E102" s="110">
        <v>3.75</v>
      </c>
      <c r="F102" s="110" t="s">
        <v>1490</v>
      </c>
      <c r="G102" s="110">
        <v>6.0000000000000001E-3</v>
      </c>
      <c r="H102" s="110" t="s">
        <v>1494</v>
      </c>
      <c r="I102" s="110">
        <v>60.4</v>
      </c>
      <c r="J102" s="110">
        <v>44.1</v>
      </c>
      <c r="K102" s="110">
        <v>2.4</v>
      </c>
      <c r="L102" s="110" t="s">
        <v>1492</v>
      </c>
    </row>
    <row r="103" spans="1:12">
      <c r="A103" s="110">
        <v>346575</v>
      </c>
      <c r="B103" s="149" t="s">
        <v>1225</v>
      </c>
      <c r="C103" s="110" t="s">
        <v>1496</v>
      </c>
      <c r="D103" s="110">
        <v>6.8</v>
      </c>
      <c r="E103" s="110">
        <v>6.2</v>
      </c>
      <c r="F103" s="110" t="s">
        <v>1490</v>
      </c>
      <c r="G103" s="110">
        <v>1.0999999999999999E-2</v>
      </c>
      <c r="H103" s="110" t="s">
        <v>1494</v>
      </c>
      <c r="I103" s="110">
        <v>74.099999999999994</v>
      </c>
      <c r="J103" s="110">
        <v>60.4</v>
      </c>
      <c r="K103" s="110">
        <v>2.4</v>
      </c>
      <c r="L103" s="110" t="s">
        <v>1492</v>
      </c>
    </row>
    <row r="104" spans="1:12">
      <c r="A104" s="110">
        <v>346576</v>
      </c>
      <c r="B104" s="149" t="s">
        <v>1226</v>
      </c>
      <c r="C104" s="110" t="s">
        <v>1496</v>
      </c>
      <c r="D104" s="110">
        <v>8.77</v>
      </c>
      <c r="E104" s="110">
        <v>8.27</v>
      </c>
      <c r="F104" s="110" t="s">
        <v>1490</v>
      </c>
      <c r="G104" s="110">
        <v>1.4E-2</v>
      </c>
      <c r="H104" s="110" t="s">
        <v>1494</v>
      </c>
      <c r="I104" s="110">
        <v>74.099999999999994</v>
      </c>
      <c r="J104" s="110">
        <v>80.400000000000006</v>
      </c>
      <c r="K104" s="110">
        <v>2.4</v>
      </c>
      <c r="L104" s="110" t="s">
        <v>1492</v>
      </c>
    </row>
    <row r="105" spans="1:12">
      <c r="A105" s="110">
        <v>346577</v>
      </c>
      <c r="B105" s="149" t="s">
        <v>2014</v>
      </c>
      <c r="C105" s="110" t="s">
        <v>1496</v>
      </c>
      <c r="D105" s="110">
        <v>2.36</v>
      </c>
      <c r="E105" s="110">
        <v>2.16</v>
      </c>
      <c r="F105" s="110" t="s">
        <v>1490</v>
      </c>
      <c r="G105" s="110">
        <v>4.0000000000000001E-3</v>
      </c>
      <c r="H105" s="110" t="s">
        <v>1494</v>
      </c>
      <c r="I105" s="110">
        <v>70.400000000000006</v>
      </c>
      <c r="J105" s="110">
        <v>31.4</v>
      </c>
      <c r="K105" s="110">
        <v>1.6</v>
      </c>
      <c r="L105" s="110" t="s">
        <v>1492</v>
      </c>
    </row>
    <row r="106" spans="1:12">
      <c r="A106" s="110">
        <v>346578</v>
      </c>
      <c r="B106" s="149" t="s">
        <v>2015</v>
      </c>
      <c r="C106" s="110" t="s">
        <v>1496</v>
      </c>
      <c r="D106" s="110">
        <v>4.37</v>
      </c>
      <c r="E106" s="110">
        <v>3.97</v>
      </c>
      <c r="F106" s="110" t="s">
        <v>1490</v>
      </c>
      <c r="G106" s="110">
        <v>7.0000000000000001E-3</v>
      </c>
      <c r="H106" s="110" t="s">
        <v>1494</v>
      </c>
      <c r="I106" s="110">
        <v>70.599999999999994</v>
      </c>
      <c r="J106" s="110">
        <v>57.6</v>
      </c>
      <c r="K106" s="110">
        <v>1.8</v>
      </c>
      <c r="L106" s="110" t="s">
        <v>1492</v>
      </c>
    </row>
    <row r="107" spans="1:12">
      <c r="A107" s="110">
        <v>346579</v>
      </c>
      <c r="B107" s="149" t="s">
        <v>2016</v>
      </c>
      <c r="C107" s="110" t="s">
        <v>1496</v>
      </c>
      <c r="D107" s="110">
        <v>5.41</v>
      </c>
      <c r="E107" s="110">
        <v>5.01</v>
      </c>
      <c r="F107" s="110" t="s">
        <v>1490</v>
      </c>
      <c r="G107" s="110">
        <v>0.01</v>
      </c>
      <c r="H107" s="110" t="s">
        <v>1494</v>
      </c>
      <c r="I107" s="110">
        <v>89.4</v>
      </c>
      <c r="J107" s="110">
        <v>46.1</v>
      </c>
      <c r="K107" s="110">
        <v>2.4</v>
      </c>
      <c r="L107" s="110" t="s">
        <v>1492</v>
      </c>
    </row>
    <row r="108" spans="1:12">
      <c r="A108" s="110">
        <v>346580</v>
      </c>
      <c r="B108" s="149" t="s">
        <v>2017</v>
      </c>
      <c r="C108" s="110" t="s">
        <v>1496</v>
      </c>
      <c r="D108" s="110">
        <v>12.01</v>
      </c>
      <c r="E108" s="110">
        <v>11.61</v>
      </c>
      <c r="F108" s="110" t="s">
        <v>1490</v>
      </c>
      <c r="G108" s="110">
        <v>1.9E-2</v>
      </c>
      <c r="H108" s="110" t="s">
        <v>1494</v>
      </c>
      <c r="I108" s="110">
        <v>60.4</v>
      </c>
      <c r="J108" s="110">
        <v>134.1</v>
      </c>
      <c r="K108" s="110">
        <v>2.4</v>
      </c>
      <c r="L108" s="110" t="s">
        <v>1492</v>
      </c>
    </row>
    <row r="109" spans="1:12">
      <c r="A109" s="110">
        <v>346581</v>
      </c>
      <c r="B109" s="149" t="s">
        <v>2018</v>
      </c>
      <c r="C109" s="110" t="s">
        <v>1496</v>
      </c>
      <c r="D109" s="110">
        <v>1.75</v>
      </c>
      <c r="E109" s="110">
        <v>1.55</v>
      </c>
      <c r="F109" s="110" t="s">
        <v>1490</v>
      </c>
      <c r="G109" s="110">
        <v>3.0000000000000001E-3</v>
      </c>
      <c r="H109" s="110" t="s">
        <v>1494</v>
      </c>
      <c r="I109" s="110">
        <v>74.099999999999994</v>
      </c>
      <c r="J109" s="110">
        <v>16.100000000000001</v>
      </c>
      <c r="K109" s="110">
        <v>2.4</v>
      </c>
      <c r="L109" s="110" t="s">
        <v>1492</v>
      </c>
    </row>
    <row r="110" spans="1:12">
      <c r="A110" s="110">
        <v>346582</v>
      </c>
      <c r="B110" s="149" t="s">
        <v>2019</v>
      </c>
      <c r="C110" s="110" t="s">
        <v>1496</v>
      </c>
      <c r="D110" s="110">
        <v>12.58</v>
      </c>
      <c r="E110" s="110">
        <v>11.38</v>
      </c>
      <c r="F110" s="110" t="s">
        <v>1490</v>
      </c>
      <c r="G110" s="110">
        <v>2.1000000000000001E-2</v>
      </c>
      <c r="H110" s="110" t="s">
        <v>1494</v>
      </c>
      <c r="I110" s="110">
        <v>57.6</v>
      </c>
      <c r="J110" s="110">
        <v>201</v>
      </c>
      <c r="K110" s="110">
        <v>1.8</v>
      </c>
      <c r="L110" s="110" t="s">
        <v>1492</v>
      </c>
    </row>
    <row r="111" spans="1:12">
      <c r="A111" s="110">
        <v>346583</v>
      </c>
      <c r="B111" s="149" t="s">
        <v>1972</v>
      </c>
      <c r="C111" s="110" t="s">
        <v>1496</v>
      </c>
      <c r="D111" s="110">
        <v>1.03</v>
      </c>
      <c r="E111" s="110">
        <v>0.93</v>
      </c>
      <c r="F111" s="110" t="s">
        <v>1490</v>
      </c>
      <c r="G111" s="110">
        <v>1E-3</v>
      </c>
      <c r="H111" s="110" t="s">
        <v>1494</v>
      </c>
      <c r="I111" s="110">
        <v>70.599999999999994</v>
      </c>
      <c r="J111" s="110">
        <v>4.5999999999999996</v>
      </c>
      <c r="K111" s="110">
        <v>4.5999999999999996</v>
      </c>
      <c r="L111" s="110" t="s">
        <v>1492</v>
      </c>
    </row>
    <row r="112" spans="1:12">
      <c r="A112" s="110">
        <v>346584</v>
      </c>
      <c r="B112" s="149" t="s">
        <v>1973</v>
      </c>
      <c r="C112" s="110" t="s">
        <v>1496</v>
      </c>
      <c r="D112" s="110">
        <v>1.02</v>
      </c>
      <c r="E112" s="110">
        <v>0.82</v>
      </c>
      <c r="F112" s="110" t="s">
        <v>1490</v>
      </c>
      <c r="G112" s="110">
        <v>1E-3</v>
      </c>
      <c r="H112" s="110" t="s">
        <v>1494</v>
      </c>
      <c r="I112" s="110">
        <v>60.4</v>
      </c>
      <c r="J112" s="110">
        <v>9.8000000000000007</v>
      </c>
      <c r="K112" s="110">
        <v>2.4</v>
      </c>
      <c r="L112" s="110" t="s">
        <v>1492</v>
      </c>
    </row>
    <row r="113" spans="1:12">
      <c r="A113" s="110">
        <v>346585</v>
      </c>
      <c r="B113" s="149" t="s">
        <v>1974</v>
      </c>
      <c r="C113" s="110" t="s">
        <v>1496</v>
      </c>
      <c r="D113" s="110">
        <v>4.75</v>
      </c>
      <c r="E113" s="110">
        <v>4.6500000000000004</v>
      </c>
      <c r="F113" s="110" t="s">
        <v>1490</v>
      </c>
      <c r="G113" s="110">
        <v>6.0000000000000001E-3</v>
      </c>
      <c r="H113" s="110" t="s">
        <v>1494</v>
      </c>
      <c r="I113" s="110">
        <v>1.6</v>
      </c>
      <c r="J113" s="110">
        <v>15.6</v>
      </c>
      <c r="K113" s="110">
        <v>241.6</v>
      </c>
      <c r="L113" s="110" t="s">
        <v>1492</v>
      </c>
    </row>
    <row r="114" spans="1:12">
      <c r="A114" s="110">
        <v>346640</v>
      </c>
      <c r="B114" s="149" t="s">
        <v>1946</v>
      </c>
      <c r="C114" s="110" t="s">
        <v>1499</v>
      </c>
      <c r="D114" s="110">
        <v>4.04</v>
      </c>
      <c r="E114" s="110">
        <v>3.96</v>
      </c>
      <c r="F114" s="110" t="s">
        <v>1490</v>
      </c>
      <c r="G114" s="110">
        <v>6.3E-2</v>
      </c>
      <c r="H114" s="110" t="s">
        <v>1497</v>
      </c>
      <c r="I114" s="110">
        <v>70.5</v>
      </c>
      <c r="J114" s="110">
        <v>40.299999999999997</v>
      </c>
      <c r="K114" s="110">
        <v>2.2000000000000002</v>
      </c>
      <c r="L114" s="110" t="s">
        <v>1492</v>
      </c>
    </row>
    <row r="115" spans="1:12">
      <c r="A115" s="110">
        <v>346641</v>
      </c>
      <c r="B115" s="149" t="s">
        <v>1947</v>
      </c>
      <c r="C115" s="110" t="s">
        <v>1499</v>
      </c>
      <c r="D115" s="110">
        <v>4.04</v>
      </c>
      <c r="E115" s="110">
        <v>3.96</v>
      </c>
      <c r="F115" s="110" t="s">
        <v>1490</v>
      </c>
      <c r="G115" s="110">
        <v>6.2510000000000003</v>
      </c>
      <c r="H115" s="110" t="s">
        <v>1495</v>
      </c>
      <c r="I115" s="110">
        <v>70.5</v>
      </c>
      <c r="J115" s="110">
        <v>40.299999999999997</v>
      </c>
      <c r="K115" s="110">
        <v>2.2000000000000002</v>
      </c>
      <c r="L115" s="110" t="s">
        <v>1492</v>
      </c>
    </row>
    <row r="116" spans="1:12">
      <c r="A116" s="110">
        <v>346642</v>
      </c>
      <c r="B116" s="149" t="s">
        <v>1948</v>
      </c>
      <c r="C116" s="110" t="s">
        <v>1499</v>
      </c>
      <c r="D116" s="110">
        <v>6.53</v>
      </c>
      <c r="E116" s="110">
        <v>5.94</v>
      </c>
      <c r="F116" s="110" t="s">
        <v>1490</v>
      </c>
      <c r="G116" s="110">
        <v>9.3529999999999998</v>
      </c>
      <c r="H116" s="110" t="s">
        <v>1495</v>
      </c>
      <c r="I116" s="110">
        <v>70.5</v>
      </c>
      <c r="J116" s="110">
        <v>60.3</v>
      </c>
      <c r="K116" s="110">
        <v>2.2000000000000002</v>
      </c>
      <c r="L116" s="110" t="s">
        <v>1492</v>
      </c>
    </row>
    <row r="117" spans="1:12">
      <c r="A117" s="110">
        <v>346643</v>
      </c>
      <c r="B117" s="149" t="s">
        <v>1949</v>
      </c>
      <c r="C117" s="110" t="s">
        <v>1499</v>
      </c>
      <c r="D117" s="110">
        <v>6.06</v>
      </c>
      <c r="E117" s="110">
        <v>5.94</v>
      </c>
      <c r="F117" s="110" t="s">
        <v>1490</v>
      </c>
      <c r="G117" s="110">
        <v>9.3529999999999998</v>
      </c>
      <c r="H117" s="110" t="s">
        <v>1495</v>
      </c>
      <c r="I117" s="110">
        <v>70.5</v>
      </c>
      <c r="J117" s="110">
        <v>60.3</v>
      </c>
      <c r="K117" s="110">
        <v>2.2000000000000002</v>
      </c>
      <c r="L117" s="110" t="s">
        <v>1492</v>
      </c>
    </row>
    <row r="118" spans="1:12">
      <c r="A118" s="110">
        <v>346644</v>
      </c>
      <c r="B118" s="149" t="s">
        <v>1950</v>
      </c>
      <c r="C118" s="110" t="s">
        <v>1499</v>
      </c>
      <c r="D118" s="110">
        <v>3.5</v>
      </c>
      <c r="E118" s="110">
        <v>3.43</v>
      </c>
      <c r="F118" s="110" t="s">
        <v>1490</v>
      </c>
      <c r="G118" s="110">
        <v>5.6379999999999999</v>
      </c>
      <c r="H118" s="110" t="s">
        <v>1495</v>
      </c>
      <c r="I118" s="110">
        <v>60.3</v>
      </c>
      <c r="J118" s="110">
        <v>42.5</v>
      </c>
      <c r="K118" s="110">
        <v>2.2000000000000002</v>
      </c>
      <c r="L118" s="110" t="s">
        <v>1492</v>
      </c>
    </row>
    <row r="119" spans="1:12">
      <c r="A119" s="110">
        <v>346645</v>
      </c>
      <c r="B119" s="149" t="s">
        <v>1951</v>
      </c>
      <c r="C119" s="110" t="s">
        <v>1499</v>
      </c>
      <c r="D119" s="110">
        <v>6.6</v>
      </c>
      <c r="E119" s="110">
        <v>5.9</v>
      </c>
      <c r="F119" s="110" t="s">
        <v>1490</v>
      </c>
      <c r="G119" s="110">
        <v>9.3529999999999998</v>
      </c>
      <c r="H119" s="110" t="s">
        <v>1495</v>
      </c>
      <c r="I119" s="110">
        <v>70.5</v>
      </c>
      <c r="J119" s="110">
        <v>60.3</v>
      </c>
      <c r="K119" s="110">
        <v>2.2000000000000002</v>
      </c>
      <c r="L119" s="110" t="s">
        <v>1492</v>
      </c>
    </row>
    <row r="120" spans="1:12">
      <c r="A120" s="110">
        <v>346646</v>
      </c>
      <c r="B120" s="149" t="s">
        <v>1952</v>
      </c>
      <c r="C120" s="110" t="s">
        <v>1499</v>
      </c>
      <c r="D120" s="110">
        <v>8.0299999999999994</v>
      </c>
      <c r="E120" s="110">
        <v>7.87</v>
      </c>
      <c r="F120" s="110" t="s">
        <v>1490</v>
      </c>
      <c r="G120" s="110">
        <v>0.127</v>
      </c>
      <c r="H120" s="110" t="s">
        <v>1497</v>
      </c>
      <c r="I120" s="110">
        <v>80.3</v>
      </c>
      <c r="J120" s="110">
        <v>41.6</v>
      </c>
      <c r="K120" s="110">
        <v>3.8</v>
      </c>
      <c r="L120" s="110" t="s">
        <v>1492</v>
      </c>
    </row>
    <row r="121" spans="1:12">
      <c r="A121" s="110">
        <v>346647</v>
      </c>
      <c r="B121" s="149" t="s">
        <v>1953</v>
      </c>
      <c r="C121" s="110" t="s">
        <v>1499</v>
      </c>
      <c r="D121" s="110">
        <v>2.0699999999999998</v>
      </c>
      <c r="E121" s="110">
        <v>2.0299999999999998</v>
      </c>
      <c r="F121" s="110" t="s">
        <v>1490</v>
      </c>
      <c r="G121" s="110">
        <v>3.5529999999999999</v>
      </c>
      <c r="H121" s="110" t="s">
        <v>1495</v>
      </c>
      <c r="I121" s="110">
        <v>70.5</v>
      </c>
      <c r="J121" s="110">
        <v>31.5</v>
      </c>
      <c r="K121" s="110">
        <v>1.6</v>
      </c>
      <c r="L121" s="110" t="s">
        <v>1492</v>
      </c>
    </row>
    <row r="122" spans="1:12">
      <c r="A122" s="110">
        <v>346648</v>
      </c>
      <c r="B122" s="149" t="s">
        <v>1954</v>
      </c>
      <c r="C122" s="110" t="s">
        <v>1499</v>
      </c>
      <c r="D122" s="110">
        <v>3.81</v>
      </c>
      <c r="E122" s="110">
        <v>3.73</v>
      </c>
      <c r="F122" s="110" t="s">
        <v>1490</v>
      </c>
      <c r="G122" s="110">
        <v>6.4859999999999998</v>
      </c>
      <c r="H122" s="110" t="s">
        <v>1495</v>
      </c>
      <c r="I122" s="110">
        <v>70.5</v>
      </c>
      <c r="J122" s="110">
        <v>57.5</v>
      </c>
      <c r="K122" s="110">
        <v>1.6</v>
      </c>
      <c r="L122" s="110" t="s">
        <v>1492</v>
      </c>
    </row>
    <row r="123" spans="1:12">
      <c r="A123" s="110">
        <v>346649</v>
      </c>
      <c r="B123" s="149" t="s">
        <v>1955</v>
      </c>
      <c r="C123" s="110" t="s">
        <v>1499</v>
      </c>
      <c r="D123" s="110">
        <v>4.84</v>
      </c>
      <c r="E123" s="110">
        <v>4.75</v>
      </c>
      <c r="F123" s="110" t="s">
        <v>1490</v>
      </c>
      <c r="G123" s="110">
        <v>8.0000000000000002E-3</v>
      </c>
      <c r="H123" s="110" t="s">
        <v>1494</v>
      </c>
      <c r="I123" s="110">
        <v>80.3</v>
      </c>
      <c r="J123" s="110">
        <v>42.5</v>
      </c>
      <c r="K123" s="110">
        <v>2.2000000000000002</v>
      </c>
      <c r="L123" s="110" t="s">
        <v>1492</v>
      </c>
    </row>
    <row r="124" spans="1:12">
      <c r="A124" s="110">
        <v>346650</v>
      </c>
      <c r="B124" s="149" t="s">
        <v>377</v>
      </c>
      <c r="C124" s="110" t="s">
        <v>1499</v>
      </c>
      <c r="D124" s="110">
        <v>10.95</v>
      </c>
      <c r="E124" s="110">
        <v>10.73</v>
      </c>
      <c r="F124" s="110" t="s">
        <v>1490</v>
      </c>
      <c r="G124" s="110">
        <v>0.02</v>
      </c>
      <c r="H124" s="110" t="s">
        <v>1494</v>
      </c>
      <c r="I124" s="110">
        <v>60.3</v>
      </c>
      <c r="J124" s="110">
        <v>130.5</v>
      </c>
      <c r="K124" s="110">
        <v>2.5</v>
      </c>
      <c r="L124" s="110" t="s">
        <v>1492</v>
      </c>
    </row>
    <row r="125" spans="1:12">
      <c r="A125" s="110">
        <v>346651</v>
      </c>
      <c r="B125" s="149" t="s">
        <v>378</v>
      </c>
      <c r="C125" s="110" t="s">
        <v>1499</v>
      </c>
      <c r="D125" s="110">
        <v>1.51</v>
      </c>
      <c r="E125" s="110">
        <v>1.48</v>
      </c>
      <c r="F125" s="110" t="s">
        <v>1490</v>
      </c>
      <c r="G125" s="110">
        <v>2E-3</v>
      </c>
      <c r="H125" s="110" t="s">
        <v>1494</v>
      </c>
      <c r="I125" s="110">
        <v>70.5</v>
      </c>
      <c r="J125" s="110">
        <v>15.3</v>
      </c>
      <c r="K125" s="110">
        <v>2.2000000000000002</v>
      </c>
      <c r="L125" s="110" t="s">
        <v>1492</v>
      </c>
    </row>
    <row r="126" spans="1:12">
      <c r="A126" s="110">
        <v>346652</v>
      </c>
      <c r="B126" s="149" t="s">
        <v>379</v>
      </c>
      <c r="C126" s="110" t="s">
        <v>1499</v>
      </c>
      <c r="D126" s="110">
        <v>10.94</v>
      </c>
      <c r="E126" s="110">
        <v>10.72</v>
      </c>
      <c r="F126" s="110" t="s">
        <v>1490</v>
      </c>
      <c r="G126" s="110">
        <v>0.185</v>
      </c>
      <c r="H126" s="110" t="s">
        <v>1497</v>
      </c>
      <c r="I126" s="110">
        <v>57.5</v>
      </c>
      <c r="J126" s="110">
        <v>201</v>
      </c>
      <c r="K126" s="110">
        <v>1.6</v>
      </c>
      <c r="L126" s="110" t="s">
        <v>1492</v>
      </c>
    </row>
    <row r="127" spans="1:12">
      <c r="A127" s="110">
        <v>346653</v>
      </c>
      <c r="B127" s="149" t="s">
        <v>380</v>
      </c>
      <c r="C127" s="110" t="s">
        <v>1499</v>
      </c>
      <c r="D127" s="110">
        <v>0.8</v>
      </c>
      <c r="E127" s="110">
        <v>0.7</v>
      </c>
      <c r="F127" s="110" t="s">
        <v>1490</v>
      </c>
      <c r="G127" s="110">
        <v>1E-3</v>
      </c>
      <c r="H127" s="110" t="s">
        <v>1494</v>
      </c>
      <c r="I127" s="110">
        <v>70.5</v>
      </c>
      <c r="J127" s="110">
        <v>4.5</v>
      </c>
      <c r="K127" s="110">
        <v>4.5</v>
      </c>
      <c r="L127" s="110" t="s">
        <v>1492</v>
      </c>
    </row>
    <row r="128" spans="1:12">
      <c r="A128" s="110">
        <v>346654</v>
      </c>
      <c r="B128" s="149" t="s">
        <v>381</v>
      </c>
      <c r="C128" s="110" t="s">
        <v>1499</v>
      </c>
      <c r="D128" s="110">
        <v>0.95</v>
      </c>
      <c r="E128" s="110">
        <v>0.9</v>
      </c>
      <c r="F128" s="110" t="s">
        <v>1490</v>
      </c>
      <c r="G128" s="110">
        <v>1E-3</v>
      </c>
      <c r="H128" s="110" t="s">
        <v>1494</v>
      </c>
      <c r="I128" s="110">
        <v>60.3</v>
      </c>
      <c r="J128" s="110">
        <v>9.6999999999999993</v>
      </c>
      <c r="K128" s="110">
        <v>2.5</v>
      </c>
      <c r="L128" s="110" t="s">
        <v>1492</v>
      </c>
    </row>
    <row r="129" spans="1:12">
      <c r="A129" s="110">
        <v>346655</v>
      </c>
      <c r="B129" s="149" t="s">
        <v>382</v>
      </c>
      <c r="C129" s="110" t="s">
        <v>1499</v>
      </c>
      <c r="D129" s="110">
        <v>4.9000000000000004</v>
      </c>
      <c r="E129" s="110">
        <v>4.5999999999999996</v>
      </c>
      <c r="F129" s="110" t="s">
        <v>1490</v>
      </c>
      <c r="G129" s="110">
        <v>6.0000000000000001E-3</v>
      </c>
      <c r="H129" s="110" t="s">
        <v>1494</v>
      </c>
      <c r="I129" s="110">
        <v>1.6</v>
      </c>
      <c r="J129" s="110">
        <v>15</v>
      </c>
      <c r="K129" s="110">
        <v>240</v>
      </c>
      <c r="L129" s="110" t="s">
        <v>1492</v>
      </c>
    </row>
    <row r="130" spans="1:12">
      <c r="A130" s="110">
        <v>346760</v>
      </c>
      <c r="B130" s="150" t="s">
        <v>1761</v>
      </c>
      <c r="C130" s="110" t="s">
        <v>1496</v>
      </c>
      <c r="D130" s="110">
        <v>3.83</v>
      </c>
      <c r="E130" s="110">
        <v>3.52</v>
      </c>
      <c r="F130" s="110" t="s">
        <v>1490</v>
      </c>
      <c r="G130" s="110">
        <v>8.0000000000000002E-3</v>
      </c>
      <c r="H130" s="110" t="s">
        <v>1494</v>
      </c>
      <c r="I130" s="110">
        <v>80</v>
      </c>
      <c r="J130" s="110">
        <v>40.5</v>
      </c>
      <c r="K130" s="110">
        <v>2.5</v>
      </c>
      <c r="L130" s="110" t="s">
        <v>1492</v>
      </c>
    </row>
    <row r="131" spans="1:12">
      <c r="A131" s="110">
        <v>346761</v>
      </c>
      <c r="B131" s="150" t="s">
        <v>1762</v>
      </c>
      <c r="C131" s="110" t="s">
        <v>1496</v>
      </c>
      <c r="D131" s="110">
        <v>3.83</v>
      </c>
      <c r="E131" s="110">
        <v>3.52</v>
      </c>
      <c r="F131" s="110" t="s">
        <v>1490</v>
      </c>
      <c r="G131" s="110">
        <v>8.0000000000000002E-3</v>
      </c>
      <c r="H131" s="110" t="s">
        <v>1494</v>
      </c>
      <c r="I131" s="110">
        <v>80</v>
      </c>
      <c r="J131" s="110">
        <v>40.5</v>
      </c>
      <c r="K131" s="110">
        <v>2.5</v>
      </c>
      <c r="L131" s="110" t="s">
        <v>1492</v>
      </c>
    </row>
    <row r="132" spans="1:12">
      <c r="A132" s="110">
        <v>346762</v>
      </c>
      <c r="B132" s="150" t="s">
        <v>1763</v>
      </c>
      <c r="C132" s="110" t="s">
        <v>1496</v>
      </c>
      <c r="D132" s="110">
        <v>5.74</v>
      </c>
      <c r="E132" s="110">
        <v>5.24</v>
      </c>
      <c r="F132" s="110" t="s">
        <v>1490</v>
      </c>
      <c r="G132" s="110">
        <v>1.2E-2</v>
      </c>
      <c r="H132" s="110" t="s">
        <v>1494</v>
      </c>
      <c r="I132" s="110">
        <v>80</v>
      </c>
      <c r="J132" s="110">
        <v>60.5</v>
      </c>
      <c r="K132" s="110">
        <v>2.5</v>
      </c>
      <c r="L132" s="110" t="s">
        <v>1492</v>
      </c>
    </row>
    <row r="133" spans="1:12">
      <c r="A133" s="110">
        <v>346763</v>
      </c>
      <c r="B133" s="150" t="s">
        <v>1764</v>
      </c>
      <c r="C133" s="110" t="s">
        <v>1496</v>
      </c>
      <c r="D133" s="110">
        <v>5.81</v>
      </c>
      <c r="E133" s="110">
        <v>5.31</v>
      </c>
      <c r="F133" s="110" t="s">
        <v>1490</v>
      </c>
      <c r="G133" s="110">
        <v>1.2E-2</v>
      </c>
      <c r="H133" s="110" t="s">
        <v>1494</v>
      </c>
      <c r="I133" s="110">
        <v>80</v>
      </c>
      <c r="J133" s="110">
        <v>60.5</v>
      </c>
      <c r="K133" s="110">
        <v>2.5</v>
      </c>
      <c r="L133" s="110" t="s">
        <v>1492</v>
      </c>
    </row>
    <row r="134" spans="1:12">
      <c r="A134" s="110">
        <v>346764</v>
      </c>
      <c r="B134" s="150" t="s">
        <v>1765</v>
      </c>
      <c r="C134" s="110" t="s">
        <v>1496</v>
      </c>
      <c r="D134" s="110">
        <v>3.5</v>
      </c>
      <c r="E134" s="110">
        <v>3.2</v>
      </c>
      <c r="F134" s="110" t="s">
        <v>1490</v>
      </c>
      <c r="G134" s="110">
        <v>7.0000000000000001E-3</v>
      </c>
      <c r="H134" s="110" t="s">
        <v>1494</v>
      </c>
      <c r="I134" s="110">
        <v>70</v>
      </c>
      <c r="J134" s="110">
        <v>42.5</v>
      </c>
      <c r="K134" s="110">
        <v>2.5</v>
      </c>
      <c r="L134" s="110" t="s">
        <v>1492</v>
      </c>
    </row>
    <row r="135" spans="1:12">
      <c r="A135" s="110">
        <v>346765</v>
      </c>
      <c r="B135" s="150" t="s">
        <v>1766</v>
      </c>
      <c r="C135" s="110" t="s">
        <v>1496</v>
      </c>
      <c r="D135" s="110">
        <v>5.9</v>
      </c>
      <c r="E135" s="110">
        <v>5.4</v>
      </c>
      <c r="F135" s="110" t="s">
        <v>1490</v>
      </c>
      <c r="G135" s="110">
        <v>1.2E-2</v>
      </c>
      <c r="H135" s="110" t="s">
        <v>1494</v>
      </c>
      <c r="I135" s="110">
        <v>80</v>
      </c>
      <c r="J135" s="110">
        <v>60.5</v>
      </c>
      <c r="K135" s="110">
        <v>2.5</v>
      </c>
      <c r="L135" s="110" t="s">
        <v>1492</v>
      </c>
    </row>
    <row r="136" spans="1:12">
      <c r="A136" s="110">
        <v>346766</v>
      </c>
      <c r="B136" s="150" t="s">
        <v>1767</v>
      </c>
      <c r="C136" s="110" t="s">
        <v>1496</v>
      </c>
      <c r="D136" s="110">
        <v>7.7</v>
      </c>
      <c r="E136" s="110">
        <v>7.1</v>
      </c>
      <c r="F136" s="110" t="s">
        <v>1490</v>
      </c>
      <c r="G136" s="110">
        <v>1.6E-2</v>
      </c>
      <c r="H136" s="110" t="s">
        <v>1494</v>
      </c>
      <c r="I136" s="110">
        <v>78.5</v>
      </c>
      <c r="J136" s="110">
        <v>80</v>
      </c>
      <c r="K136" s="110">
        <v>2.5</v>
      </c>
      <c r="L136" s="110" t="s">
        <v>1492</v>
      </c>
    </row>
    <row r="137" spans="1:12">
      <c r="A137" s="110">
        <v>346767</v>
      </c>
      <c r="B137" s="150" t="s">
        <v>1768</v>
      </c>
      <c r="C137" s="110" t="s">
        <v>1496</v>
      </c>
      <c r="D137" s="110">
        <v>3.33</v>
      </c>
      <c r="E137" s="110">
        <v>3</v>
      </c>
      <c r="F137" s="110" t="s">
        <v>1490</v>
      </c>
      <c r="G137" s="110">
        <v>6.0000000000000001E-3</v>
      </c>
      <c r="H137" s="110" t="s">
        <v>1494</v>
      </c>
      <c r="I137" s="110">
        <v>80</v>
      </c>
      <c r="J137" s="110">
        <v>32</v>
      </c>
      <c r="K137" s="110">
        <v>2.5</v>
      </c>
      <c r="L137" s="110" t="s">
        <v>1492</v>
      </c>
    </row>
    <row r="138" spans="1:12">
      <c r="A138" s="110">
        <v>346768</v>
      </c>
      <c r="B138" s="150" t="s">
        <v>1769</v>
      </c>
      <c r="C138" s="110" t="s">
        <v>1496</v>
      </c>
      <c r="D138" s="110">
        <v>5.5</v>
      </c>
      <c r="E138" s="110">
        <v>4.9000000000000004</v>
      </c>
      <c r="F138" s="110" t="s">
        <v>1490</v>
      </c>
      <c r="G138" s="110">
        <v>1.2E-2</v>
      </c>
      <c r="H138" s="110" t="s">
        <v>1494</v>
      </c>
      <c r="I138" s="110">
        <v>80</v>
      </c>
      <c r="J138" s="110">
        <v>58</v>
      </c>
      <c r="K138" s="110">
        <v>2.5</v>
      </c>
      <c r="L138" s="110" t="s">
        <v>1492</v>
      </c>
    </row>
    <row r="139" spans="1:12">
      <c r="A139" s="110">
        <v>346769</v>
      </c>
      <c r="B139" s="150" t="s">
        <v>1770</v>
      </c>
      <c r="C139" s="110" t="s">
        <v>1496</v>
      </c>
      <c r="D139" s="110">
        <v>3.5</v>
      </c>
      <c r="E139" s="110">
        <v>3.2</v>
      </c>
      <c r="F139" s="110" t="s">
        <v>1490</v>
      </c>
      <c r="G139" s="110">
        <v>0.01</v>
      </c>
      <c r="H139" s="110" t="s">
        <v>1494</v>
      </c>
      <c r="I139" s="110">
        <v>82</v>
      </c>
      <c r="J139" s="110">
        <v>50</v>
      </c>
      <c r="K139" s="110">
        <v>2.5</v>
      </c>
      <c r="L139" s="110" t="s">
        <v>1492</v>
      </c>
    </row>
    <row r="140" spans="1:12">
      <c r="A140" s="110">
        <v>346770</v>
      </c>
      <c r="B140" s="150" t="s">
        <v>1771</v>
      </c>
      <c r="C140" s="110" t="s">
        <v>1496</v>
      </c>
      <c r="D140" s="110">
        <v>10.199999999999999</v>
      </c>
      <c r="E140" s="110">
        <v>9.6999999999999993</v>
      </c>
      <c r="F140" s="110" t="s">
        <v>1490</v>
      </c>
      <c r="G140" s="110">
        <v>2.1000000000000001E-2</v>
      </c>
      <c r="H140" s="110" t="s">
        <v>1494</v>
      </c>
      <c r="I140" s="110">
        <v>139</v>
      </c>
      <c r="J140" s="110">
        <v>60.5</v>
      </c>
      <c r="K140" s="110">
        <v>2.5</v>
      </c>
      <c r="L140" s="110" t="s">
        <v>1492</v>
      </c>
    </row>
    <row r="141" spans="1:12">
      <c r="A141" s="110">
        <v>346771</v>
      </c>
      <c r="B141" s="150" t="s">
        <v>1772</v>
      </c>
      <c r="C141" s="110" t="s">
        <v>1496</v>
      </c>
      <c r="D141" s="110">
        <v>1.7</v>
      </c>
      <c r="E141" s="110">
        <v>1.4</v>
      </c>
      <c r="F141" s="110" t="s">
        <v>1490</v>
      </c>
      <c r="G141" s="110">
        <v>3.0000000000000001E-3</v>
      </c>
      <c r="H141" s="110" t="s">
        <v>1494</v>
      </c>
      <c r="I141" s="110">
        <v>80</v>
      </c>
      <c r="J141" s="110">
        <v>15.5</v>
      </c>
      <c r="K141" s="110">
        <v>2.5</v>
      </c>
      <c r="L141" s="110" t="s">
        <v>1492</v>
      </c>
    </row>
    <row r="142" spans="1:12">
      <c r="A142" s="110">
        <v>346772</v>
      </c>
      <c r="B142" s="149" t="s">
        <v>1773</v>
      </c>
      <c r="C142" s="110" t="s">
        <v>1500</v>
      </c>
      <c r="D142" s="110">
        <v>3.3</v>
      </c>
      <c r="E142" s="110">
        <v>3</v>
      </c>
      <c r="F142" s="110" t="s">
        <v>1490</v>
      </c>
      <c r="G142" s="110">
        <v>2.9000000000000001E-2</v>
      </c>
      <c r="H142" s="110" t="s">
        <v>1494</v>
      </c>
      <c r="I142" s="110">
        <v>58</v>
      </c>
      <c r="J142" s="110">
        <v>200</v>
      </c>
      <c r="K142" s="110">
        <v>2.5</v>
      </c>
      <c r="L142" s="110" t="s">
        <v>1492</v>
      </c>
    </row>
    <row r="143" spans="1:12">
      <c r="A143" s="110">
        <v>346773</v>
      </c>
      <c r="B143" s="150" t="s">
        <v>1774</v>
      </c>
      <c r="C143" s="110" t="s">
        <v>1496</v>
      </c>
      <c r="D143" s="110">
        <v>0.89</v>
      </c>
      <c r="E143" s="110">
        <v>0.69</v>
      </c>
      <c r="F143" s="110" t="s">
        <v>1490</v>
      </c>
      <c r="G143" s="110">
        <v>8.0000000000000002E-3</v>
      </c>
      <c r="H143" s="110" t="s">
        <v>1494</v>
      </c>
      <c r="I143" s="110">
        <v>71.5</v>
      </c>
      <c r="J143" s="110">
        <v>22.5</v>
      </c>
      <c r="K143" s="110">
        <v>5</v>
      </c>
      <c r="L143" s="110" t="s">
        <v>1492</v>
      </c>
    </row>
    <row r="144" spans="1:12">
      <c r="A144" s="110">
        <v>346774</v>
      </c>
      <c r="B144" s="150" t="s">
        <v>1775</v>
      </c>
      <c r="C144" s="110" t="s">
        <v>1496</v>
      </c>
      <c r="D144" s="110">
        <v>0.9</v>
      </c>
      <c r="E144" s="110">
        <v>0.7</v>
      </c>
      <c r="F144" s="110" t="s">
        <v>1490</v>
      </c>
      <c r="G144" s="110">
        <v>2E-3</v>
      </c>
      <c r="H144" s="110" t="s">
        <v>1494</v>
      </c>
      <c r="I144" s="110">
        <v>70</v>
      </c>
      <c r="J144" s="110">
        <v>13</v>
      </c>
      <c r="K144" s="110">
        <v>2.5</v>
      </c>
      <c r="L144" s="110" t="s">
        <v>1492</v>
      </c>
    </row>
    <row r="145" spans="1:12">
      <c r="A145" s="110">
        <v>346775</v>
      </c>
      <c r="B145" s="149" t="s">
        <v>1776</v>
      </c>
      <c r="C145" s="110" t="s">
        <v>1500</v>
      </c>
      <c r="D145" s="110">
        <v>5.0999999999999996</v>
      </c>
      <c r="E145" s="110">
        <v>4.4000000000000004</v>
      </c>
      <c r="F145" s="110" t="s">
        <v>1490</v>
      </c>
      <c r="G145" s="110">
        <v>7.0000000000000001E-3</v>
      </c>
      <c r="H145" s="110" t="s">
        <v>1494</v>
      </c>
      <c r="I145" s="110">
        <v>245</v>
      </c>
      <c r="J145" s="110">
        <v>15</v>
      </c>
      <c r="K145" s="110">
        <v>1.9</v>
      </c>
      <c r="L145" s="110" t="s">
        <v>1492</v>
      </c>
    </row>
    <row r="146" spans="1:12">
      <c r="A146" s="110">
        <v>346780</v>
      </c>
      <c r="B146" s="149" t="s">
        <v>1501</v>
      </c>
      <c r="C146" s="110" t="s">
        <v>1496</v>
      </c>
      <c r="D146" s="110">
        <v>3.83</v>
      </c>
      <c r="E146" s="110">
        <v>3.52</v>
      </c>
      <c r="F146" s="110" t="s">
        <v>1490</v>
      </c>
      <c r="G146" s="110">
        <v>8.0000000000000002E-3</v>
      </c>
      <c r="H146" s="110" t="s">
        <v>1494</v>
      </c>
      <c r="I146" s="110">
        <v>80</v>
      </c>
      <c r="J146" s="110">
        <v>40.5</v>
      </c>
      <c r="K146" s="110">
        <v>2.5</v>
      </c>
      <c r="L146" s="110" t="s">
        <v>1492</v>
      </c>
    </row>
    <row r="147" spans="1:12">
      <c r="A147" s="110">
        <v>346781</v>
      </c>
      <c r="B147" s="149" t="s">
        <v>1502</v>
      </c>
      <c r="C147" s="110" t="s">
        <v>1496</v>
      </c>
      <c r="D147" s="110">
        <v>3.83</v>
      </c>
      <c r="E147" s="110">
        <v>3.52</v>
      </c>
      <c r="F147" s="110" t="s">
        <v>1490</v>
      </c>
      <c r="G147" s="110">
        <v>8.0000000000000002E-3</v>
      </c>
      <c r="H147" s="110" t="s">
        <v>1494</v>
      </c>
      <c r="I147" s="110">
        <v>80</v>
      </c>
      <c r="J147" s="110">
        <v>40.5</v>
      </c>
      <c r="K147" s="110">
        <v>2.5</v>
      </c>
      <c r="L147" s="110" t="s">
        <v>1492</v>
      </c>
    </row>
    <row r="148" spans="1:12">
      <c r="A148" s="110">
        <v>346782</v>
      </c>
      <c r="B148" s="149" t="s">
        <v>1503</v>
      </c>
      <c r="C148" s="110" t="s">
        <v>1496</v>
      </c>
      <c r="D148" s="110">
        <v>5.81</v>
      </c>
      <c r="E148" s="110">
        <v>5.31</v>
      </c>
      <c r="F148" s="110" t="s">
        <v>1490</v>
      </c>
      <c r="G148" s="110">
        <v>1.2E-2</v>
      </c>
      <c r="H148" s="110" t="s">
        <v>1494</v>
      </c>
      <c r="I148" s="110">
        <v>80</v>
      </c>
      <c r="J148" s="110">
        <v>60.5</v>
      </c>
      <c r="K148" s="110">
        <v>2.5</v>
      </c>
      <c r="L148" s="110" t="s">
        <v>1492</v>
      </c>
    </row>
    <row r="149" spans="1:12">
      <c r="A149" s="110">
        <v>346783</v>
      </c>
      <c r="B149" s="149" t="s">
        <v>1504</v>
      </c>
      <c r="C149" s="110" t="s">
        <v>1496</v>
      </c>
      <c r="D149" s="110">
        <v>5.81</v>
      </c>
      <c r="E149" s="110">
        <v>5.31</v>
      </c>
      <c r="F149" s="110" t="s">
        <v>1490</v>
      </c>
      <c r="G149" s="110">
        <v>1.2E-2</v>
      </c>
      <c r="H149" s="110" t="s">
        <v>1494</v>
      </c>
      <c r="I149" s="110">
        <v>80</v>
      </c>
      <c r="J149" s="110">
        <v>60.5</v>
      </c>
      <c r="K149" s="110">
        <v>2.5</v>
      </c>
      <c r="L149" s="110" t="s">
        <v>1492</v>
      </c>
    </row>
    <row r="150" spans="1:12">
      <c r="A150" s="110">
        <v>346784</v>
      </c>
      <c r="B150" s="149" t="s">
        <v>1505</v>
      </c>
      <c r="C150" s="110" t="s">
        <v>1496</v>
      </c>
      <c r="D150" s="110">
        <v>3.55</v>
      </c>
      <c r="E150" s="110">
        <v>3.24</v>
      </c>
      <c r="F150" s="110" t="s">
        <v>1490</v>
      </c>
      <c r="G150" s="110">
        <v>7.0000000000000001E-3</v>
      </c>
      <c r="H150" s="110" t="s">
        <v>1494</v>
      </c>
      <c r="I150" s="110">
        <v>70</v>
      </c>
      <c r="J150" s="110">
        <v>42.5</v>
      </c>
      <c r="K150" s="110">
        <v>2.5</v>
      </c>
      <c r="L150" s="110" t="s">
        <v>1492</v>
      </c>
    </row>
    <row r="151" spans="1:12">
      <c r="A151" s="110">
        <v>346785</v>
      </c>
      <c r="B151" s="149" t="s">
        <v>1506</v>
      </c>
      <c r="C151" s="110" t="s">
        <v>1496</v>
      </c>
      <c r="D151" s="110">
        <v>5.88</v>
      </c>
      <c r="E151" s="110">
        <v>5.38</v>
      </c>
      <c r="F151" s="110" t="s">
        <v>1490</v>
      </c>
      <c r="G151" s="110">
        <v>1.2E-2</v>
      </c>
      <c r="H151" s="110" t="s">
        <v>1494</v>
      </c>
      <c r="I151" s="110">
        <v>80</v>
      </c>
      <c r="J151" s="110">
        <v>60.5</v>
      </c>
      <c r="K151" s="110">
        <v>2.5</v>
      </c>
      <c r="L151" s="110" t="s">
        <v>1492</v>
      </c>
    </row>
    <row r="152" spans="1:12">
      <c r="A152" s="110">
        <v>346786</v>
      </c>
      <c r="B152" s="149" t="s">
        <v>1507</v>
      </c>
      <c r="C152" s="110" t="s">
        <v>1496</v>
      </c>
      <c r="D152" s="110">
        <v>7.75</v>
      </c>
      <c r="E152" s="110">
        <v>7.1</v>
      </c>
      <c r="F152" s="110" t="s">
        <v>1490</v>
      </c>
      <c r="G152" s="110">
        <v>1.6E-2</v>
      </c>
      <c r="H152" s="110" t="s">
        <v>1494</v>
      </c>
      <c r="I152" s="110">
        <v>78.5</v>
      </c>
      <c r="J152" s="110">
        <v>80</v>
      </c>
      <c r="K152" s="110">
        <v>2.5</v>
      </c>
      <c r="L152" s="110" t="s">
        <v>1492</v>
      </c>
    </row>
    <row r="153" spans="1:12">
      <c r="A153" s="110">
        <v>346787</v>
      </c>
      <c r="B153" s="149" t="s">
        <v>1508</v>
      </c>
      <c r="C153" s="110" t="s">
        <v>1496</v>
      </c>
      <c r="D153" s="110">
        <v>3.33</v>
      </c>
      <c r="E153" s="110">
        <v>3.02</v>
      </c>
      <c r="F153" s="110" t="s">
        <v>1490</v>
      </c>
      <c r="G153" s="110">
        <v>6.0000000000000001E-3</v>
      </c>
      <c r="H153" s="110" t="s">
        <v>1494</v>
      </c>
      <c r="I153" s="110">
        <v>80</v>
      </c>
      <c r="J153" s="110">
        <v>32</v>
      </c>
      <c r="K153" s="110">
        <v>2.5</v>
      </c>
      <c r="L153" s="110" t="s">
        <v>1492</v>
      </c>
    </row>
    <row r="154" spans="1:12">
      <c r="A154" s="110">
        <v>346788</v>
      </c>
      <c r="B154" s="149" t="s">
        <v>1509</v>
      </c>
      <c r="C154" s="110" t="s">
        <v>1496</v>
      </c>
      <c r="D154" s="110">
        <v>5.47</v>
      </c>
      <c r="E154" s="110">
        <v>4.91</v>
      </c>
      <c r="F154" s="110" t="s">
        <v>1490</v>
      </c>
      <c r="G154" s="110">
        <v>1.2E-2</v>
      </c>
      <c r="H154" s="110" t="s">
        <v>1494</v>
      </c>
      <c r="I154" s="110">
        <v>80</v>
      </c>
      <c r="J154" s="110">
        <v>58</v>
      </c>
      <c r="K154" s="110">
        <v>2.5</v>
      </c>
      <c r="L154" s="110" t="s">
        <v>1492</v>
      </c>
    </row>
    <row r="155" spans="1:12">
      <c r="A155" s="110">
        <v>346789</v>
      </c>
      <c r="B155" s="149" t="s">
        <v>1510</v>
      </c>
      <c r="C155" s="110" t="s">
        <v>1496</v>
      </c>
      <c r="D155" s="110">
        <v>4.55</v>
      </c>
      <c r="E155" s="110">
        <v>4.24</v>
      </c>
      <c r="F155" s="110" t="s">
        <v>1490</v>
      </c>
      <c r="G155" s="110">
        <v>8.9999999999999993E-3</v>
      </c>
      <c r="H155" s="110" t="s">
        <v>1494</v>
      </c>
      <c r="I155" s="110">
        <v>80</v>
      </c>
      <c r="J155" s="110">
        <v>42.5</v>
      </c>
      <c r="K155" s="110">
        <v>2.5</v>
      </c>
      <c r="L155" s="110" t="s">
        <v>1492</v>
      </c>
    </row>
    <row r="156" spans="1:12">
      <c r="A156" s="110">
        <v>346790</v>
      </c>
      <c r="B156" s="149" t="s">
        <v>383</v>
      </c>
      <c r="C156" s="110" t="s">
        <v>1496</v>
      </c>
      <c r="D156" s="110">
        <v>10.23</v>
      </c>
      <c r="E156" s="110">
        <v>9.67</v>
      </c>
      <c r="F156" s="110" t="s">
        <v>1490</v>
      </c>
      <c r="G156" s="110">
        <v>2.1000000000000001E-2</v>
      </c>
      <c r="H156" s="110" t="s">
        <v>1494</v>
      </c>
      <c r="I156" s="110">
        <v>60.5</v>
      </c>
      <c r="J156" s="110">
        <v>139</v>
      </c>
      <c r="K156" s="110">
        <v>2.5</v>
      </c>
      <c r="L156" s="110" t="s">
        <v>1492</v>
      </c>
    </row>
    <row r="157" spans="1:12">
      <c r="A157" s="110">
        <v>346791</v>
      </c>
      <c r="B157" s="149" t="s">
        <v>384</v>
      </c>
      <c r="C157" s="110" t="s">
        <v>1496</v>
      </c>
      <c r="D157" s="110">
        <v>1.67</v>
      </c>
      <c r="E157" s="110">
        <v>1.36</v>
      </c>
      <c r="F157" s="110" t="s">
        <v>1490</v>
      </c>
      <c r="G157" s="110">
        <v>3.0000000000000001E-3</v>
      </c>
      <c r="H157" s="110" t="s">
        <v>1494</v>
      </c>
      <c r="I157" s="110">
        <v>80</v>
      </c>
      <c r="J157" s="110">
        <v>15.5</v>
      </c>
      <c r="K157" s="110">
        <v>2.5</v>
      </c>
      <c r="L157" s="110" t="s">
        <v>1492</v>
      </c>
    </row>
    <row r="158" spans="1:12">
      <c r="A158" s="110">
        <v>346792</v>
      </c>
      <c r="B158" s="149" t="s">
        <v>385</v>
      </c>
      <c r="C158" s="110" t="s">
        <v>1496</v>
      </c>
      <c r="D158" s="110">
        <v>3.33</v>
      </c>
      <c r="E158" s="110">
        <v>3.02</v>
      </c>
      <c r="F158" s="110" t="s">
        <v>1490</v>
      </c>
      <c r="G158" s="110">
        <v>1.2E-2</v>
      </c>
      <c r="H158" s="110" t="s">
        <v>1494</v>
      </c>
      <c r="I158" s="110">
        <v>60</v>
      </c>
      <c r="J158" s="110">
        <v>200.4</v>
      </c>
      <c r="K158" s="110">
        <v>1</v>
      </c>
      <c r="L158" s="110" t="s">
        <v>1492</v>
      </c>
    </row>
    <row r="159" spans="1:12">
      <c r="A159" s="110">
        <v>346793</v>
      </c>
      <c r="B159" s="149" t="s">
        <v>1689</v>
      </c>
      <c r="C159" s="110" t="s">
        <v>1496</v>
      </c>
      <c r="D159" s="110">
        <v>0.89</v>
      </c>
      <c r="E159" s="110">
        <v>0.69</v>
      </c>
      <c r="F159" s="110" t="s">
        <v>1490</v>
      </c>
      <c r="G159" s="110">
        <v>2E-3</v>
      </c>
      <c r="H159" s="110" t="s">
        <v>1494</v>
      </c>
      <c r="I159" s="110">
        <v>71.5</v>
      </c>
      <c r="J159" s="110">
        <v>5</v>
      </c>
      <c r="K159" s="110">
        <v>5</v>
      </c>
      <c r="L159" s="110" t="s">
        <v>1492</v>
      </c>
    </row>
    <row r="160" spans="1:12">
      <c r="A160" s="110">
        <v>346794</v>
      </c>
      <c r="B160" s="149" t="s">
        <v>386</v>
      </c>
      <c r="C160" s="110" t="s">
        <v>1496</v>
      </c>
      <c r="D160" s="110">
        <v>0.88</v>
      </c>
      <c r="E160" s="110">
        <v>0.68</v>
      </c>
      <c r="F160" s="110" t="s">
        <v>1490</v>
      </c>
      <c r="G160" s="110">
        <v>2E-3</v>
      </c>
      <c r="H160" s="110" t="s">
        <v>1494</v>
      </c>
      <c r="I160" s="110">
        <v>70</v>
      </c>
      <c r="J160" s="110">
        <v>13</v>
      </c>
      <c r="K160" s="110">
        <v>2.5</v>
      </c>
      <c r="L160" s="110" t="s">
        <v>1492</v>
      </c>
    </row>
    <row r="161" spans="1:12">
      <c r="A161" s="110">
        <v>346795</v>
      </c>
      <c r="B161" s="149" t="s">
        <v>1690</v>
      </c>
      <c r="C161" s="110" t="s">
        <v>1496</v>
      </c>
      <c r="D161" s="110">
        <v>5.13</v>
      </c>
      <c r="E161" s="110">
        <v>4.43</v>
      </c>
      <c r="F161" s="110" t="s">
        <v>1490</v>
      </c>
      <c r="G161" s="110">
        <v>7.0000000000000001E-3</v>
      </c>
      <c r="H161" s="110" t="s">
        <v>1494</v>
      </c>
      <c r="I161" s="110">
        <v>1.9</v>
      </c>
      <c r="J161" s="110">
        <v>15</v>
      </c>
      <c r="K161" s="110">
        <v>240</v>
      </c>
      <c r="L161" s="110" t="s">
        <v>1492</v>
      </c>
    </row>
    <row r="162" spans="1:12">
      <c r="A162" s="110">
        <v>346800</v>
      </c>
      <c r="B162" s="149" t="s">
        <v>1981</v>
      </c>
      <c r="C162" s="110" t="s">
        <v>1499</v>
      </c>
      <c r="D162" s="110">
        <v>3.81</v>
      </c>
      <c r="E162" s="110">
        <v>3.41</v>
      </c>
      <c r="F162" s="110" t="s">
        <v>1490</v>
      </c>
      <c r="G162" s="110">
        <v>7.0000000000000001E-3</v>
      </c>
      <c r="H162" s="110" t="s">
        <v>1494</v>
      </c>
      <c r="I162" s="110">
        <v>74.099999999999994</v>
      </c>
      <c r="J162" s="110">
        <v>40.4</v>
      </c>
      <c r="K162" s="110">
        <v>2.4</v>
      </c>
      <c r="L162" s="110" t="s">
        <v>1492</v>
      </c>
    </row>
    <row r="163" spans="1:12">
      <c r="A163" s="110">
        <v>346801</v>
      </c>
      <c r="B163" s="149" t="s">
        <v>1982</v>
      </c>
      <c r="C163" s="110" t="s">
        <v>1499</v>
      </c>
      <c r="D163" s="110">
        <v>3.8</v>
      </c>
      <c r="E163" s="110">
        <v>3.4</v>
      </c>
      <c r="F163" s="110" t="s">
        <v>1490</v>
      </c>
      <c r="G163" s="110">
        <v>7.0000000000000001E-3</v>
      </c>
      <c r="H163" s="110" t="s">
        <v>1494</v>
      </c>
      <c r="I163" s="110">
        <v>74.099999999999994</v>
      </c>
      <c r="J163" s="110">
        <v>40.4</v>
      </c>
      <c r="K163" s="110">
        <v>2.4</v>
      </c>
      <c r="L163" s="110" t="s">
        <v>1492</v>
      </c>
    </row>
    <row r="164" spans="1:12">
      <c r="A164" s="110">
        <v>346802</v>
      </c>
      <c r="B164" s="149" t="s">
        <v>1983</v>
      </c>
      <c r="C164" s="110" t="s">
        <v>1499</v>
      </c>
      <c r="D164" s="110">
        <v>5.52</v>
      </c>
      <c r="E164" s="110">
        <v>5.12</v>
      </c>
      <c r="F164" s="110" t="s">
        <v>1490</v>
      </c>
      <c r="G164" s="110">
        <v>1.0999999999999999E-2</v>
      </c>
      <c r="H164" s="110" t="s">
        <v>1494</v>
      </c>
      <c r="I164" s="110">
        <v>74.099999999999994</v>
      </c>
      <c r="J164" s="110">
        <v>60.4</v>
      </c>
      <c r="K164" s="110">
        <v>2.4</v>
      </c>
      <c r="L164" s="110" t="s">
        <v>1492</v>
      </c>
    </row>
    <row r="165" spans="1:12">
      <c r="A165" s="110">
        <v>346803</v>
      </c>
      <c r="B165" s="149" t="s">
        <v>1984</v>
      </c>
      <c r="C165" s="110" t="s">
        <v>1499</v>
      </c>
      <c r="D165" s="110">
        <v>5.5</v>
      </c>
      <c r="E165" s="110">
        <v>5.0999999999999996</v>
      </c>
      <c r="F165" s="110" t="s">
        <v>1490</v>
      </c>
      <c r="G165" s="110">
        <v>10.742000000000001</v>
      </c>
      <c r="H165" s="110" t="s">
        <v>1494</v>
      </c>
      <c r="I165" s="110">
        <v>74.099999999999994</v>
      </c>
      <c r="J165" s="110">
        <v>60.4</v>
      </c>
      <c r="K165" s="110">
        <v>2.4</v>
      </c>
      <c r="L165" s="110" t="s">
        <v>1492</v>
      </c>
    </row>
    <row r="166" spans="1:12">
      <c r="A166" s="110">
        <v>346804</v>
      </c>
      <c r="B166" s="149" t="s">
        <v>1985</v>
      </c>
      <c r="C166" s="110" t="s">
        <v>1499</v>
      </c>
      <c r="D166" s="110">
        <v>3.47</v>
      </c>
      <c r="E166" s="110">
        <v>3.07</v>
      </c>
      <c r="F166" s="110" t="s">
        <v>1490</v>
      </c>
      <c r="G166" s="110">
        <v>6.3929999999999998</v>
      </c>
      <c r="H166" s="110" t="s">
        <v>1494</v>
      </c>
      <c r="I166" s="110">
        <v>60.4</v>
      </c>
      <c r="J166" s="110">
        <v>44.1</v>
      </c>
      <c r="K166" s="110">
        <v>2.4</v>
      </c>
      <c r="L166" s="110" t="s">
        <v>1492</v>
      </c>
    </row>
    <row r="167" spans="1:12">
      <c r="A167" s="110">
        <v>346805</v>
      </c>
      <c r="B167" s="149" t="s">
        <v>1986</v>
      </c>
      <c r="C167" s="110" t="s">
        <v>1499</v>
      </c>
      <c r="D167" s="110">
        <v>5.68</v>
      </c>
      <c r="E167" s="110">
        <v>5.08</v>
      </c>
      <c r="F167" s="110" t="s">
        <v>1490</v>
      </c>
      <c r="G167" s="110">
        <v>10.742000000000001</v>
      </c>
      <c r="H167" s="110" t="s">
        <v>1494</v>
      </c>
      <c r="I167" s="110">
        <v>74.099999999999994</v>
      </c>
      <c r="J167" s="110">
        <v>60.4</v>
      </c>
      <c r="K167" s="110">
        <v>2.4</v>
      </c>
      <c r="L167" s="110" t="s">
        <v>1492</v>
      </c>
    </row>
    <row r="168" spans="1:12">
      <c r="A168" s="110">
        <v>346806</v>
      </c>
      <c r="B168" s="149" t="s">
        <v>1987</v>
      </c>
      <c r="C168" s="110" t="s">
        <v>1499</v>
      </c>
      <c r="D168" s="110">
        <v>7.28</v>
      </c>
      <c r="E168" s="110">
        <v>6.78</v>
      </c>
      <c r="F168" s="110" t="s">
        <v>1490</v>
      </c>
      <c r="G168" s="110">
        <v>14.352</v>
      </c>
      <c r="H168" s="110" t="s">
        <v>1494</v>
      </c>
      <c r="I168" s="110">
        <v>74.099999999999994</v>
      </c>
      <c r="J168" s="110">
        <v>80.7</v>
      </c>
      <c r="K168" s="110">
        <v>2.4</v>
      </c>
      <c r="L168" s="110" t="s">
        <v>1492</v>
      </c>
    </row>
    <row r="169" spans="1:12">
      <c r="A169" s="110">
        <v>346807</v>
      </c>
      <c r="B169" s="149" t="s">
        <v>1988</v>
      </c>
      <c r="C169" s="110" t="s">
        <v>1499</v>
      </c>
      <c r="D169" s="110">
        <v>1.97</v>
      </c>
      <c r="E169" s="110">
        <v>1.77</v>
      </c>
      <c r="F169" s="110" t="s">
        <v>1490</v>
      </c>
      <c r="G169" s="110">
        <v>3.5369999999999999</v>
      </c>
      <c r="H169" s="110" t="s">
        <v>1494</v>
      </c>
      <c r="I169" s="110">
        <v>70.400000000000006</v>
      </c>
      <c r="J169" s="110">
        <v>31.4</v>
      </c>
      <c r="K169" s="110">
        <v>1.6</v>
      </c>
      <c r="L169" s="110" t="s">
        <v>1492</v>
      </c>
    </row>
    <row r="170" spans="1:12">
      <c r="A170" s="110">
        <v>346808</v>
      </c>
      <c r="B170" s="149" t="s">
        <v>1989</v>
      </c>
      <c r="C170" s="110" t="s">
        <v>1499</v>
      </c>
      <c r="D170" s="110">
        <v>3.66</v>
      </c>
      <c r="E170" s="110">
        <v>3.26</v>
      </c>
      <c r="F170" s="110" t="s">
        <v>1490</v>
      </c>
      <c r="G170" s="110">
        <v>7.32</v>
      </c>
      <c r="H170" s="110" t="s">
        <v>1494</v>
      </c>
      <c r="I170" s="110">
        <v>70.599999999999994</v>
      </c>
      <c r="J170" s="110">
        <v>57.6</v>
      </c>
      <c r="K170" s="110">
        <v>1.8</v>
      </c>
      <c r="L170" s="110" t="s">
        <v>1492</v>
      </c>
    </row>
    <row r="171" spans="1:12">
      <c r="A171" s="110">
        <v>346809</v>
      </c>
      <c r="B171" s="149" t="s">
        <v>1990</v>
      </c>
      <c r="C171" s="110" t="s">
        <v>1499</v>
      </c>
      <c r="D171" s="110">
        <v>4.5</v>
      </c>
      <c r="E171" s="110">
        <v>4.0999999999999996</v>
      </c>
      <c r="F171" s="110" t="s">
        <v>1490</v>
      </c>
      <c r="G171" s="110">
        <v>9.9000000000000005E-2</v>
      </c>
      <c r="H171" s="110" t="s">
        <v>1494</v>
      </c>
      <c r="I171" s="110">
        <v>89.4</v>
      </c>
      <c r="J171" s="110">
        <v>46.1</v>
      </c>
      <c r="K171" s="110">
        <v>2.4</v>
      </c>
      <c r="L171" s="110" t="s">
        <v>1492</v>
      </c>
    </row>
    <row r="172" spans="1:12">
      <c r="A172" s="110">
        <v>346810</v>
      </c>
      <c r="B172" s="149" t="s">
        <v>1991</v>
      </c>
      <c r="C172" s="110" t="s">
        <v>1499</v>
      </c>
      <c r="D172" s="110">
        <v>9.92</v>
      </c>
      <c r="E172" s="110">
        <v>9.52</v>
      </c>
      <c r="F172" s="110" t="s">
        <v>1490</v>
      </c>
      <c r="G172" s="110">
        <v>19.439</v>
      </c>
      <c r="H172" s="110" t="s">
        <v>1494</v>
      </c>
      <c r="I172" s="110">
        <v>60.4</v>
      </c>
      <c r="J172" s="110">
        <v>134.1</v>
      </c>
      <c r="K172" s="110">
        <v>2.4</v>
      </c>
      <c r="L172" s="110" t="s">
        <v>1492</v>
      </c>
    </row>
    <row r="173" spans="1:12">
      <c r="A173" s="110">
        <v>346811</v>
      </c>
      <c r="B173" s="149" t="s">
        <v>1992</v>
      </c>
      <c r="C173" s="110" t="s">
        <v>1499</v>
      </c>
      <c r="D173" s="110">
        <v>1.47</v>
      </c>
      <c r="E173" s="110">
        <v>1.27</v>
      </c>
      <c r="F173" s="110" t="s">
        <v>1490</v>
      </c>
      <c r="G173" s="110">
        <v>2.863</v>
      </c>
      <c r="H173" s="110" t="s">
        <v>1494</v>
      </c>
      <c r="I173" s="110">
        <v>74.099999999999994</v>
      </c>
      <c r="J173" s="110">
        <v>16.100000000000001</v>
      </c>
      <c r="K173" s="110">
        <v>2.4</v>
      </c>
      <c r="L173" s="110" t="s">
        <v>1492</v>
      </c>
    </row>
    <row r="174" spans="1:12">
      <c r="A174" s="110">
        <v>346812</v>
      </c>
      <c r="B174" s="149" t="s">
        <v>1993</v>
      </c>
      <c r="C174" s="110" t="s">
        <v>1499</v>
      </c>
      <c r="D174" s="110">
        <v>10.52</v>
      </c>
      <c r="E174" s="110">
        <v>9.32</v>
      </c>
      <c r="F174" s="110" t="s">
        <v>1490</v>
      </c>
      <c r="G174" s="110">
        <v>20.84</v>
      </c>
      <c r="H174" s="110" t="s">
        <v>1494</v>
      </c>
      <c r="I174" s="110">
        <v>57.6</v>
      </c>
      <c r="J174" s="110">
        <v>201</v>
      </c>
      <c r="K174" s="110">
        <v>1.8</v>
      </c>
      <c r="L174" s="110" t="s">
        <v>1492</v>
      </c>
    </row>
    <row r="175" spans="1:12">
      <c r="A175" s="110">
        <v>346813</v>
      </c>
      <c r="B175" s="149" t="s">
        <v>1994</v>
      </c>
      <c r="C175" s="110" t="s">
        <v>1499</v>
      </c>
      <c r="D175" s="110">
        <v>0.86</v>
      </c>
      <c r="E175" s="110">
        <v>0.76</v>
      </c>
      <c r="F175" s="110" t="s">
        <v>1490</v>
      </c>
      <c r="G175" s="110">
        <v>1.494</v>
      </c>
      <c r="H175" s="110" t="s">
        <v>1494</v>
      </c>
      <c r="I175" s="110">
        <v>70.599999999999994</v>
      </c>
      <c r="J175" s="110">
        <v>4.5999999999999996</v>
      </c>
      <c r="K175" s="110">
        <v>4.5999999999999996</v>
      </c>
      <c r="L175" s="110" t="s">
        <v>1492</v>
      </c>
    </row>
    <row r="176" spans="1:12">
      <c r="A176" s="110">
        <v>346814</v>
      </c>
      <c r="B176" s="149" t="s">
        <v>1995</v>
      </c>
      <c r="C176" s="110" t="s">
        <v>1499</v>
      </c>
      <c r="D176" s="110">
        <v>0.87</v>
      </c>
      <c r="E176" s="110">
        <v>0.67</v>
      </c>
      <c r="F176" s="110" t="s">
        <v>1490</v>
      </c>
      <c r="G176" s="110">
        <v>1.421</v>
      </c>
      <c r="H176" s="110" t="s">
        <v>1494</v>
      </c>
      <c r="I176" s="110">
        <v>9.8000000000000007</v>
      </c>
      <c r="J176" s="110">
        <v>60.4</v>
      </c>
      <c r="K176" s="110">
        <v>2.4</v>
      </c>
      <c r="L176" s="110" t="s">
        <v>1492</v>
      </c>
    </row>
    <row r="177" spans="1:12">
      <c r="A177" s="110">
        <v>346815</v>
      </c>
      <c r="B177" s="149" t="s">
        <v>1996</v>
      </c>
      <c r="C177" s="110" t="s">
        <v>1499</v>
      </c>
      <c r="D177" s="110">
        <v>3.91</v>
      </c>
      <c r="E177" s="110">
        <v>3.81</v>
      </c>
      <c r="F177" s="110" t="s">
        <v>1490</v>
      </c>
      <c r="G177" s="110">
        <v>6.03</v>
      </c>
      <c r="H177" s="110" t="s">
        <v>1494</v>
      </c>
      <c r="I177" s="110">
        <v>15.6</v>
      </c>
      <c r="J177" s="110">
        <v>241.6</v>
      </c>
      <c r="K177" s="110">
        <v>1.6</v>
      </c>
      <c r="L177" s="110" t="s">
        <v>1492</v>
      </c>
    </row>
    <row r="178" spans="1:12">
      <c r="A178" s="110">
        <v>346841</v>
      </c>
      <c r="B178" s="149" t="s">
        <v>1722</v>
      </c>
      <c r="C178" s="110" t="s">
        <v>1496</v>
      </c>
      <c r="D178" s="110">
        <v>5.117</v>
      </c>
      <c r="E178" s="110">
        <v>4.8739999999999997</v>
      </c>
      <c r="F178" s="110" t="s">
        <v>1490</v>
      </c>
      <c r="G178" s="110">
        <v>8.9999999999999993E-3</v>
      </c>
      <c r="H178" s="110" t="s">
        <v>1494</v>
      </c>
      <c r="I178" s="110">
        <v>79</v>
      </c>
      <c r="J178" s="110">
        <v>40.4</v>
      </c>
      <c r="K178" s="110">
        <v>2.8</v>
      </c>
      <c r="L178" s="110" t="s">
        <v>1492</v>
      </c>
    </row>
    <row r="179" spans="1:12">
      <c r="A179" s="110">
        <v>346842</v>
      </c>
      <c r="B179" s="149" t="s">
        <v>1723</v>
      </c>
      <c r="C179" s="110" t="s">
        <v>1496</v>
      </c>
      <c r="D179" s="110">
        <v>4.944</v>
      </c>
      <c r="E179" s="110">
        <v>4.7009999999999996</v>
      </c>
      <c r="F179" s="110" t="s">
        <v>1490</v>
      </c>
      <c r="G179" s="110">
        <v>8.9999999999999993E-3</v>
      </c>
      <c r="H179" s="110" t="s">
        <v>1494</v>
      </c>
      <c r="I179" s="110">
        <v>79</v>
      </c>
      <c r="J179" s="110">
        <v>40.4</v>
      </c>
      <c r="K179" s="110">
        <v>2.8</v>
      </c>
      <c r="L179" s="110" t="s">
        <v>1492</v>
      </c>
    </row>
    <row r="180" spans="1:12">
      <c r="A180" s="110">
        <v>346843</v>
      </c>
      <c r="B180" s="149" t="s">
        <v>1724</v>
      </c>
      <c r="C180" s="110" t="s">
        <v>1496</v>
      </c>
      <c r="D180" s="110">
        <v>7.6829999999999998</v>
      </c>
      <c r="E180" s="110">
        <v>7.3239999999999998</v>
      </c>
      <c r="F180" s="110" t="s">
        <v>1490</v>
      </c>
      <c r="G180" s="110">
        <v>1.2999999999999999E-2</v>
      </c>
      <c r="H180" s="110" t="s">
        <v>1494</v>
      </c>
      <c r="I180" s="110">
        <v>79</v>
      </c>
      <c r="J180" s="110">
        <v>60.4</v>
      </c>
      <c r="K180" s="110">
        <v>2.8</v>
      </c>
      <c r="L180" s="110" t="s">
        <v>1492</v>
      </c>
    </row>
    <row r="181" spans="1:12">
      <c r="A181" s="110">
        <v>346844</v>
      </c>
      <c r="B181" s="149" t="s">
        <v>1725</v>
      </c>
      <c r="C181" s="110" t="s">
        <v>1496</v>
      </c>
      <c r="D181" s="110">
        <v>7.423</v>
      </c>
      <c r="E181" s="110">
        <v>7.0629999999999997</v>
      </c>
      <c r="F181" s="110" t="s">
        <v>1490</v>
      </c>
      <c r="G181" s="110">
        <v>1.2999999999999999E-2</v>
      </c>
      <c r="H181" s="110" t="s">
        <v>1494</v>
      </c>
      <c r="I181" s="110">
        <v>79</v>
      </c>
      <c r="J181" s="110">
        <v>60.4</v>
      </c>
      <c r="K181" s="110">
        <v>2.8</v>
      </c>
      <c r="L181" s="110" t="s">
        <v>1492</v>
      </c>
    </row>
    <row r="182" spans="1:12">
      <c r="A182" s="110">
        <v>346845</v>
      </c>
      <c r="B182" s="149" t="s">
        <v>1726</v>
      </c>
      <c r="C182" s="110" t="s">
        <v>1496</v>
      </c>
      <c r="D182" s="110">
        <v>4.5410000000000004</v>
      </c>
      <c r="E182" s="110">
        <v>4.3029999999999999</v>
      </c>
      <c r="F182" s="110" t="s">
        <v>1490</v>
      </c>
      <c r="G182" s="110">
        <v>8.9999999999999993E-3</v>
      </c>
      <c r="H182" s="110" t="s">
        <v>1494</v>
      </c>
      <c r="I182" s="110">
        <v>60.4</v>
      </c>
      <c r="J182" s="110">
        <v>51</v>
      </c>
      <c r="K182" s="110">
        <v>2.8</v>
      </c>
      <c r="L182" s="110" t="s">
        <v>1492</v>
      </c>
    </row>
    <row r="183" spans="1:12">
      <c r="A183" s="110">
        <v>346846</v>
      </c>
      <c r="B183" s="149" t="s">
        <v>1727</v>
      </c>
      <c r="C183" s="110" t="s">
        <v>1496</v>
      </c>
      <c r="D183" s="110">
        <v>7.16</v>
      </c>
      <c r="E183" s="110">
        <v>6.8029999999999999</v>
      </c>
      <c r="F183" s="110" t="s">
        <v>1490</v>
      </c>
      <c r="G183" s="110">
        <v>1.2999999999999999E-2</v>
      </c>
      <c r="H183" s="110" t="s">
        <v>1494</v>
      </c>
      <c r="I183" s="110">
        <v>78.400000000000006</v>
      </c>
      <c r="J183" s="110">
        <v>60.4</v>
      </c>
      <c r="K183" s="110">
        <v>2.8</v>
      </c>
      <c r="L183" s="110" t="s">
        <v>1492</v>
      </c>
    </row>
    <row r="184" spans="1:12">
      <c r="A184" s="110">
        <v>346847</v>
      </c>
      <c r="B184" s="149" t="s">
        <v>1728</v>
      </c>
      <c r="C184" s="110" t="s">
        <v>1496</v>
      </c>
      <c r="D184" s="110">
        <v>9.5510000000000002</v>
      </c>
      <c r="E184" s="110">
        <v>9.0779999999999994</v>
      </c>
      <c r="F184" s="110" t="s">
        <v>1490</v>
      </c>
      <c r="G184" s="110">
        <v>1.7999999999999999E-2</v>
      </c>
      <c r="H184" s="110" t="s">
        <v>1494</v>
      </c>
      <c r="I184" s="110">
        <v>78.400000000000006</v>
      </c>
      <c r="J184" s="110">
        <v>80.400000000000006</v>
      </c>
      <c r="K184" s="110">
        <v>2.8</v>
      </c>
      <c r="L184" s="110" t="s">
        <v>1492</v>
      </c>
    </row>
    <row r="185" spans="1:12">
      <c r="A185" s="110">
        <v>346848</v>
      </c>
      <c r="B185" s="149" t="s">
        <v>1729</v>
      </c>
      <c r="C185" s="110" t="s">
        <v>1496</v>
      </c>
      <c r="D185" s="110">
        <v>2.3180000000000001</v>
      </c>
      <c r="E185" s="110">
        <v>2.1349999999999998</v>
      </c>
      <c r="F185" s="110" t="s">
        <v>1490</v>
      </c>
      <c r="G185" s="110">
        <v>4.0000000000000001E-3</v>
      </c>
      <c r="H185" s="110" t="s">
        <v>1494</v>
      </c>
      <c r="I185" s="110">
        <v>79</v>
      </c>
      <c r="J185" s="110">
        <v>31.6</v>
      </c>
      <c r="K185" s="110">
        <v>1.8</v>
      </c>
      <c r="L185" s="110" t="s">
        <v>1492</v>
      </c>
    </row>
    <row r="186" spans="1:12">
      <c r="A186" s="110">
        <v>346849</v>
      </c>
      <c r="B186" s="149" t="s">
        <v>1730</v>
      </c>
      <c r="C186" s="110" t="s">
        <v>1496</v>
      </c>
      <c r="D186" s="110">
        <v>4.2569999999999997</v>
      </c>
      <c r="E186" s="110">
        <v>3.9260000000000002</v>
      </c>
      <c r="F186" s="110" t="s">
        <v>1490</v>
      </c>
      <c r="G186" s="110">
        <v>8.0000000000000002E-3</v>
      </c>
      <c r="H186" s="110" t="s">
        <v>1494</v>
      </c>
      <c r="I186" s="110">
        <v>79</v>
      </c>
      <c r="J186" s="110">
        <v>57.6</v>
      </c>
      <c r="K186" s="110">
        <v>1.8</v>
      </c>
      <c r="L186" s="110" t="s">
        <v>1492</v>
      </c>
    </row>
    <row r="187" spans="1:12">
      <c r="A187" s="110">
        <v>346850</v>
      </c>
      <c r="B187" s="149" t="s">
        <v>1731</v>
      </c>
      <c r="C187" s="110" t="s">
        <v>1496</v>
      </c>
      <c r="D187" s="110">
        <v>14.417</v>
      </c>
      <c r="E187" s="110">
        <v>13.795999999999999</v>
      </c>
      <c r="F187" s="110" t="s">
        <v>1490</v>
      </c>
      <c r="G187" s="110">
        <v>2.4E-2</v>
      </c>
      <c r="H187" s="110" t="s">
        <v>1494</v>
      </c>
      <c r="I187" s="110">
        <v>139</v>
      </c>
      <c r="J187" s="110">
        <v>60.4</v>
      </c>
      <c r="K187" s="110">
        <v>2.8</v>
      </c>
      <c r="L187" s="110" t="s">
        <v>1492</v>
      </c>
    </row>
    <row r="188" spans="1:12">
      <c r="A188" s="110">
        <v>346851</v>
      </c>
      <c r="B188" s="149" t="s">
        <v>1079</v>
      </c>
      <c r="C188" s="110" t="s">
        <v>1496</v>
      </c>
      <c r="D188" s="110">
        <v>1.91</v>
      </c>
      <c r="E188" s="110">
        <v>1.8129999999999999</v>
      </c>
      <c r="F188" s="110" t="s">
        <v>1490</v>
      </c>
      <c r="G188" s="110">
        <v>3.0000000000000001E-3</v>
      </c>
      <c r="H188" s="110" t="s">
        <v>1494</v>
      </c>
      <c r="I188" s="110">
        <v>79</v>
      </c>
      <c r="J188" s="110">
        <v>15.4</v>
      </c>
      <c r="K188" s="110">
        <v>2.8</v>
      </c>
      <c r="L188" s="110" t="s">
        <v>1492</v>
      </c>
    </row>
    <row r="189" spans="1:12">
      <c r="A189" s="110">
        <v>346852</v>
      </c>
      <c r="B189" s="149" t="s">
        <v>1080</v>
      </c>
      <c r="C189" s="110" t="s">
        <v>1496</v>
      </c>
      <c r="D189" s="110">
        <v>12.102</v>
      </c>
      <c r="E189" s="110">
        <v>11.24</v>
      </c>
      <c r="F189" s="110" t="s">
        <v>1490</v>
      </c>
      <c r="G189" s="110">
        <v>2.1999999999999999E-2</v>
      </c>
      <c r="H189" s="110" t="s">
        <v>1494</v>
      </c>
      <c r="I189" s="110">
        <v>209.4</v>
      </c>
      <c r="J189" s="110">
        <v>57.6</v>
      </c>
      <c r="K189" s="110">
        <v>1.8</v>
      </c>
      <c r="L189" s="110" t="s">
        <v>1492</v>
      </c>
    </row>
    <row r="190" spans="1:12">
      <c r="A190" s="110">
        <v>346853</v>
      </c>
      <c r="B190" s="149" t="s">
        <v>593</v>
      </c>
      <c r="C190" s="110" t="s">
        <v>1496</v>
      </c>
      <c r="D190" s="110">
        <v>0.73299999999999998</v>
      </c>
      <c r="E190" s="110">
        <v>0.68899999999999995</v>
      </c>
      <c r="F190" s="110" t="s">
        <v>1490</v>
      </c>
      <c r="G190" s="110">
        <v>2E-3</v>
      </c>
      <c r="H190" s="110" t="s">
        <v>1494</v>
      </c>
      <c r="I190" s="110">
        <v>79</v>
      </c>
      <c r="J190" s="110">
        <v>4.5999999999999996</v>
      </c>
      <c r="K190" s="110">
        <v>4.8</v>
      </c>
      <c r="L190" s="110" t="s">
        <v>1492</v>
      </c>
    </row>
    <row r="191" spans="1:12">
      <c r="A191" s="110">
        <v>346854</v>
      </c>
      <c r="B191" s="149" t="s">
        <v>594</v>
      </c>
      <c r="C191" s="110" t="s">
        <v>1496</v>
      </c>
      <c r="D191" s="110">
        <v>1.0920000000000001</v>
      </c>
      <c r="E191" s="110">
        <v>0.996</v>
      </c>
      <c r="F191" s="110" t="s">
        <v>1490</v>
      </c>
      <c r="G191" s="110">
        <v>2E-3</v>
      </c>
      <c r="H191" s="110" t="s">
        <v>1494</v>
      </c>
      <c r="I191" s="110">
        <v>60.6</v>
      </c>
      <c r="J191" s="110">
        <v>10.199999999999999</v>
      </c>
      <c r="K191" s="110">
        <v>2.8</v>
      </c>
      <c r="L191" s="110" t="s">
        <v>1492</v>
      </c>
    </row>
    <row r="192" spans="1:12">
      <c r="A192" s="110">
        <v>346855</v>
      </c>
      <c r="B192" s="149" t="s">
        <v>595</v>
      </c>
      <c r="C192" s="110" t="s">
        <v>1496</v>
      </c>
      <c r="D192" s="110">
        <v>4.8209999999999997</v>
      </c>
      <c r="E192" s="110">
        <v>4.7229999999999999</v>
      </c>
      <c r="F192" s="110" t="s">
        <v>1490</v>
      </c>
      <c r="G192" s="110">
        <v>7.0000000000000001E-3</v>
      </c>
      <c r="H192" s="110" t="s">
        <v>1494</v>
      </c>
      <c r="I192" s="110">
        <v>241</v>
      </c>
      <c r="J192" s="110">
        <v>15.1</v>
      </c>
      <c r="K192" s="110">
        <v>2</v>
      </c>
      <c r="L192" s="110" t="s">
        <v>1492</v>
      </c>
    </row>
    <row r="193" spans="1:12">
      <c r="A193" s="110">
        <v>346858</v>
      </c>
      <c r="B193" s="149" t="s">
        <v>1997</v>
      </c>
      <c r="C193" s="110" t="s">
        <v>1496</v>
      </c>
      <c r="D193" s="110">
        <v>6.6</v>
      </c>
      <c r="E193" s="110">
        <v>6.2</v>
      </c>
      <c r="F193" s="110" t="s">
        <v>1490</v>
      </c>
      <c r="G193" s="110">
        <v>1.0999999999999999E-2</v>
      </c>
      <c r="H193" s="110" t="s">
        <v>1494</v>
      </c>
      <c r="I193" s="110">
        <v>88.6</v>
      </c>
      <c r="J193" s="110">
        <v>42.8</v>
      </c>
      <c r="K193" s="110">
        <v>2.8</v>
      </c>
      <c r="L193" s="110" t="s">
        <v>1492</v>
      </c>
    </row>
    <row r="194" spans="1:12">
      <c r="A194" s="110">
        <v>346920</v>
      </c>
      <c r="B194" s="149" t="s">
        <v>597</v>
      </c>
      <c r="C194" s="110" t="s">
        <v>1496</v>
      </c>
      <c r="D194" s="110">
        <v>5.117</v>
      </c>
      <c r="E194" s="110">
        <v>4.8739999999999997</v>
      </c>
      <c r="F194" s="110" t="s">
        <v>1490</v>
      </c>
      <c r="G194" s="110">
        <v>8.9999999999999993E-3</v>
      </c>
      <c r="H194" s="110" t="s">
        <v>1494</v>
      </c>
      <c r="I194" s="110">
        <v>79</v>
      </c>
      <c r="J194" s="110">
        <v>40.4</v>
      </c>
      <c r="K194" s="110">
        <v>2.8</v>
      </c>
      <c r="L194" s="110" t="s">
        <v>1492</v>
      </c>
    </row>
    <row r="195" spans="1:12">
      <c r="A195" s="110">
        <v>346921</v>
      </c>
      <c r="B195" s="149" t="s">
        <v>598</v>
      </c>
      <c r="C195" s="110" t="s">
        <v>1496</v>
      </c>
      <c r="D195" s="110">
        <v>4.944</v>
      </c>
      <c r="E195" s="110">
        <v>4.7009999999999996</v>
      </c>
      <c r="F195" s="110" t="s">
        <v>1490</v>
      </c>
      <c r="G195" s="110">
        <v>8.9999999999999993E-3</v>
      </c>
      <c r="H195" s="110" t="s">
        <v>1494</v>
      </c>
      <c r="I195" s="110">
        <v>79</v>
      </c>
      <c r="J195" s="110">
        <v>40.4</v>
      </c>
      <c r="K195" s="110">
        <v>2.8</v>
      </c>
      <c r="L195" s="110" t="s">
        <v>1492</v>
      </c>
    </row>
    <row r="196" spans="1:12">
      <c r="A196" s="110">
        <v>346922</v>
      </c>
      <c r="B196" s="149" t="s">
        <v>599</v>
      </c>
      <c r="C196" s="110" t="s">
        <v>1496</v>
      </c>
      <c r="D196" s="110">
        <v>7.6829999999999998</v>
      </c>
      <c r="E196" s="110">
        <v>7.3239999999999998</v>
      </c>
      <c r="F196" s="110" t="s">
        <v>1490</v>
      </c>
      <c r="G196" s="110">
        <v>1.2999999999999999E-2</v>
      </c>
      <c r="H196" s="110" t="s">
        <v>1494</v>
      </c>
      <c r="I196" s="110">
        <v>79</v>
      </c>
      <c r="J196" s="110">
        <v>60.4</v>
      </c>
      <c r="K196" s="110">
        <v>2.8</v>
      </c>
      <c r="L196" s="110" t="s">
        <v>1492</v>
      </c>
    </row>
    <row r="197" spans="1:12">
      <c r="A197" s="110">
        <v>346923</v>
      </c>
      <c r="B197" s="149" t="s">
        <v>600</v>
      </c>
      <c r="C197" s="110" t="s">
        <v>1496</v>
      </c>
      <c r="D197" s="110">
        <v>7.423</v>
      </c>
      <c r="E197" s="110">
        <v>7.0629999999999997</v>
      </c>
      <c r="F197" s="110" t="s">
        <v>1490</v>
      </c>
      <c r="G197" s="110">
        <v>1.2999999999999999E-2</v>
      </c>
      <c r="H197" s="110" t="s">
        <v>1494</v>
      </c>
      <c r="I197" s="110">
        <v>79</v>
      </c>
      <c r="J197" s="110">
        <v>60.4</v>
      </c>
      <c r="K197" s="110">
        <v>2.8</v>
      </c>
      <c r="L197" s="110" t="s">
        <v>1492</v>
      </c>
    </row>
    <row r="198" spans="1:12">
      <c r="A198" s="110">
        <v>346924</v>
      </c>
      <c r="B198" s="149" t="s">
        <v>601</v>
      </c>
      <c r="C198" s="110" t="s">
        <v>1496</v>
      </c>
      <c r="D198" s="110">
        <v>4.5410000000000004</v>
      </c>
      <c r="E198" s="110">
        <v>4.3029999999999999</v>
      </c>
      <c r="F198" s="110" t="s">
        <v>1490</v>
      </c>
      <c r="G198" s="110">
        <v>8.9999999999999993E-3</v>
      </c>
      <c r="H198" s="110" t="s">
        <v>1494</v>
      </c>
      <c r="I198" s="110">
        <v>60.4</v>
      </c>
      <c r="J198" s="110">
        <v>51</v>
      </c>
      <c r="K198" s="110">
        <v>2.8</v>
      </c>
      <c r="L198" s="110" t="s">
        <v>1492</v>
      </c>
    </row>
    <row r="199" spans="1:12">
      <c r="A199" s="110">
        <v>346925</v>
      </c>
      <c r="B199" s="149" t="s">
        <v>602</v>
      </c>
      <c r="C199" s="110" t="s">
        <v>1496</v>
      </c>
      <c r="D199" s="110">
        <v>7.16</v>
      </c>
      <c r="E199" s="110">
        <v>6.8029999999999999</v>
      </c>
      <c r="F199" s="110" t="s">
        <v>1490</v>
      </c>
      <c r="G199" s="110">
        <v>1.2999999999999999E-2</v>
      </c>
      <c r="H199" s="110" t="s">
        <v>1494</v>
      </c>
      <c r="I199" s="110">
        <v>78.400000000000006</v>
      </c>
      <c r="J199" s="110">
        <v>60.4</v>
      </c>
      <c r="K199" s="110">
        <v>2.8</v>
      </c>
      <c r="L199" s="110" t="s">
        <v>1492</v>
      </c>
    </row>
    <row r="200" spans="1:12">
      <c r="A200" s="110">
        <v>346926</v>
      </c>
      <c r="B200" s="149" t="s">
        <v>603</v>
      </c>
      <c r="C200" s="110" t="s">
        <v>1496</v>
      </c>
      <c r="D200" s="110">
        <v>9.5510000000000002</v>
      </c>
      <c r="E200" s="110">
        <v>9.0779999999999994</v>
      </c>
      <c r="F200" s="110" t="s">
        <v>1490</v>
      </c>
      <c r="G200" s="110">
        <v>1.7999999999999999E-2</v>
      </c>
      <c r="H200" s="110" t="s">
        <v>1494</v>
      </c>
      <c r="I200" s="110">
        <v>78.400000000000006</v>
      </c>
      <c r="J200" s="110">
        <v>80.400000000000006</v>
      </c>
      <c r="K200" s="110">
        <v>2.8</v>
      </c>
      <c r="L200" s="110" t="s">
        <v>1492</v>
      </c>
    </row>
    <row r="201" spans="1:12">
      <c r="A201" s="110">
        <v>346927</v>
      </c>
      <c r="B201" s="149" t="s">
        <v>604</v>
      </c>
      <c r="C201" s="110" t="s">
        <v>1496</v>
      </c>
      <c r="D201" s="110">
        <v>2.3180000000000001</v>
      </c>
      <c r="E201" s="110">
        <v>2.1349999999999998</v>
      </c>
      <c r="F201" s="110" t="s">
        <v>1490</v>
      </c>
      <c r="G201" s="110">
        <v>4.0000000000000001E-3</v>
      </c>
      <c r="H201" s="110" t="s">
        <v>1494</v>
      </c>
      <c r="I201" s="110">
        <v>79</v>
      </c>
      <c r="J201" s="110">
        <v>31.6</v>
      </c>
      <c r="K201" s="110">
        <v>1.8</v>
      </c>
      <c r="L201" s="110" t="s">
        <v>1492</v>
      </c>
    </row>
    <row r="202" spans="1:12">
      <c r="A202" s="110">
        <v>346928</v>
      </c>
      <c r="B202" s="149" t="s">
        <v>605</v>
      </c>
      <c r="C202" s="110" t="s">
        <v>1496</v>
      </c>
      <c r="D202" s="110">
        <v>4.2569999999999997</v>
      </c>
      <c r="E202" s="110">
        <v>3.9260000000000002</v>
      </c>
      <c r="F202" s="110" t="s">
        <v>1490</v>
      </c>
      <c r="G202" s="110">
        <v>8.0000000000000002E-3</v>
      </c>
      <c r="H202" s="110" t="s">
        <v>1494</v>
      </c>
      <c r="I202" s="110">
        <v>79</v>
      </c>
      <c r="J202" s="110">
        <v>57.6</v>
      </c>
      <c r="K202" s="110">
        <v>1.8</v>
      </c>
      <c r="L202" s="110" t="s">
        <v>1492</v>
      </c>
    </row>
    <row r="203" spans="1:12">
      <c r="A203" s="110">
        <v>346929</v>
      </c>
      <c r="B203" s="149" t="s">
        <v>606</v>
      </c>
      <c r="C203" s="110" t="s">
        <v>1496</v>
      </c>
      <c r="D203" s="110">
        <v>14.417</v>
      </c>
      <c r="E203" s="110">
        <v>13.795999999999999</v>
      </c>
      <c r="F203" s="110" t="s">
        <v>1490</v>
      </c>
      <c r="G203" s="110">
        <v>2.4E-2</v>
      </c>
      <c r="H203" s="110" t="s">
        <v>1494</v>
      </c>
      <c r="I203" s="110">
        <v>139</v>
      </c>
      <c r="J203" s="110">
        <v>60.4</v>
      </c>
      <c r="K203" s="110">
        <v>2.8</v>
      </c>
      <c r="L203" s="110" t="s">
        <v>1492</v>
      </c>
    </row>
    <row r="204" spans="1:12">
      <c r="A204" s="110">
        <v>346930</v>
      </c>
      <c r="B204" s="149" t="s">
        <v>607</v>
      </c>
      <c r="C204" s="110" t="s">
        <v>1496</v>
      </c>
      <c r="D204" s="110">
        <v>1.91</v>
      </c>
      <c r="E204" s="110">
        <v>1.8129999999999999</v>
      </c>
      <c r="F204" s="110" t="s">
        <v>1490</v>
      </c>
      <c r="G204" s="110">
        <v>3.0000000000000001E-3</v>
      </c>
      <c r="H204" s="110" t="s">
        <v>1494</v>
      </c>
      <c r="I204" s="110">
        <v>79</v>
      </c>
      <c r="J204" s="110">
        <v>15.4</v>
      </c>
      <c r="K204" s="110">
        <v>2.8</v>
      </c>
      <c r="L204" s="110" t="s">
        <v>1492</v>
      </c>
    </row>
    <row r="205" spans="1:12">
      <c r="A205" s="110">
        <v>346931</v>
      </c>
      <c r="B205" s="149" t="s">
        <v>608</v>
      </c>
      <c r="C205" s="110" t="s">
        <v>1496</v>
      </c>
      <c r="D205" s="110">
        <v>0.73299999999999998</v>
      </c>
      <c r="E205" s="110">
        <v>0.68899999999999995</v>
      </c>
      <c r="F205" s="110" t="s">
        <v>1490</v>
      </c>
      <c r="G205" s="110">
        <v>2E-3</v>
      </c>
      <c r="H205" s="110" t="s">
        <v>1494</v>
      </c>
      <c r="I205" s="110">
        <v>79</v>
      </c>
      <c r="J205" s="110">
        <v>4.5999999999999996</v>
      </c>
      <c r="K205" s="110">
        <v>4.8</v>
      </c>
      <c r="L205" s="110" t="s">
        <v>1492</v>
      </c>
    </row>
    <row r="206" spans="1:12">
      <c r="A206" s="110">
        <v>346932</v>
      </c>
      <c r="B206" s="149" t="s">
        <v>609</v>
      </c>
      <c r="C206" s="110" t="s">
        <v>1496</v>
      </c>
      <c r="D206" s="110">
        <v>1.0920000000000001</v>
      </c>
      <c r="E206" s="110">
        <v>0.996</v>
      </c>
      <c r="F206" s="110" t="s">
        <v>1490</v>
      </c>
      <c r="G206" s="110">
        <v>2E-3</v>
      </c>
      <c r="H206" s="110" t="s">
        <v>1494</v>
      </c>
      <c r="I206" s="110">
        <v>60.6</v>
      </c>
      <c r="J206" s="110">
        <v>10.199999999999999</v>
      </c>
      <c r="K206" s="110">
        <v>2.8</v>
      </c>
      <c r="L206" s="110" t="s">
        <v>1492</v>
      </c>
    </row>
    <row r="207" spans="1:12">
      <c r="A207" s="110">
        <v>346933</v>
      </c>
      <c r="B207" s="149" t="s">
        <v>610</v>
      </c>
      <c r="C207" s="110" t="s">
        <v>1496</v>
      </c>
      <c r="D207" s="110">
        <v>4.72</v>
      </c>
      <c r="E207" s="110">
        <v>4.72</v>
      </c>
      <c r="F207" s="110" t="s">
        <v>1490</v>
      </c>
      <c r="G207" s="110">
        <v>7.0000000000000001E-3</v>
      </c>
      <c r="H207" s="110" t="s">
        <v>1494</v>
      </c>
      <c r="I207" s="110">
        <v>241</v>
      </c>
      <c r="J207" s="110">
        <v>15.1</v>
      </c>
      <c r="K207" s="110">
        <v>2</v>
      </c>
      <c r="L207" s="110" t="s">
        <v>1492</v>
      </c>
    </row>
    <row r="208" spans="1:12">
      <c r="A208" s="110">
        <v>346935</v>
      </c>
      <c r="B208" s="149" t="s">
        <v>1998</v>
      </c>
      <c r="C208" s="110" t="s">
        <v>1496</v>
      </c>
      <c r="D208" s="110">
        <v>6.6</v>
      </c>
      <c r="E208" s="110">
        <v>6.2</v>
      </c>
      <c r="F208" s="110" t="s">
        <v>1490</v>
      </c>
      <c r="G208" s="110">
        <v>1.0999999999999999E-2</v>
      </c>
      <c r="H208" s="110" t="s">
        <v>1494</v>
      </c>
      <c r="I208" s="110">
        <v>88.6</v>
      </c>
      <c r="J208" s="110">
        <v>42.8</v>
      </c>
      <c r="K208" s="110">
        <v>2.8</v>
      </c>
      <c r="L208" s="110" t="s">
        <v>1492</v>
      </c>
    </row>
    <row r="209" spans="1:12">
      <c r="A209" s="110">
        <v>346960</v>
      </c>
      <c r="B209" s="149" t="s">
        <v>387</v>
      </c>
      <c r="C209" s="110" t="s">
        <v>388</v>
      </c>
      <c r="D209" s="110">
        <v>3.2</v>
      </c>
      <c r="E209" s="110">
        <v>1.54</v>
      </c>
      <c r="F209" s="110" t="s">
        <v>1490</v>
      </c>
      <c r="G209" s="110">
        <v>8.5839999999999996</v>
      </c>
      <c r="H209" s="110" t="s">
        <v>1495</v>
      </c>
      <c r="I209" s="110">
        <v>78.5</v>
      </c>
      <c r="J209" s="110">
        <v>40.5</v>
      </c>
      <c r="K209" s="110">
        <v>2.7</v>
      </c>
      <c r="L209" s="110" t="s">
        <v>1492</v>
      </c>
    </row>
    <row r="210" spans="1:12">
      <c r="A210" s="110">
        <v>346961</v>
      </c>
      <c r="B210" s="149" t="s">
        <v>389</v>
      </c>
      <c r="C210" s="110" t="s">
        <v>388</v>
      </c>
      <c r="D210" s="110">
        <v>3.6</v>
      </c>
      <c r="E210" s="110">
        <v>1.64</v>
      </c>
      <c r="F210" s="110" t="s">
        <v>1490</v>
      </c>
      <c r="G210" s="110">
        <v>8.5839999999999996</v>
      </c>
      <c r="H210" s="110" t="s">
        <v>1495</v>
      </c>
      <c r="I210" s="110">
        <v>78.5</v>
      </c>
      <c r="J210" s="110">
        <v>40.5</v>
      </c>
      <c r="K210" s="110">
        <v>2.7</v>
      </c>
      <c r="L210" s="110" t="s">
        <v>1492</v>
      </c>
    </row>
    <row r="211" spans="1:12">
      <c r="A211" s="110">
        <v>346962</v>
      </c>
      <c r="B211" s="149" t="s">
        <v>390</v>
      </c>
      <c r="C211" s="110" t="s">
        <v>388</v>
      </c>
      <c r="D211" s="110">
        <v>4.46</v>
      </c>
      <c r="E211" s="110">
        <v>1.41</v>
      </c>
      <c r="F211" s="110" t="s">
        <v>1490</v>
      </c>
      <c r="G211" s="110">
        <v>12.823</v>
      </c>
      <c r="H211" s="110" t="s">
        <v>1495</v>
      </c>
      <c r="I211" s="110">
        <v>78.5</v>
      </c>
      <c r="J211" s="110">
        <v>60.5</v>
      </c>
      <c r="K211" s="110">
        <v>2.7</v>
      </c>
      <c r="L211" s="110" t="s">
        <v>1492</v>
      </c>
    </row>
    <row r="212" spans="1:12">
      <c r="A212" s="110">
        <v>346963</v>
      </c>
      <c r="B212" s="149" t="s">
        <v>391</v>
      </c>
      <c r="C212" s="110" t="s">
        <v>388</v>
      </c>
      <c r="D212" s="110">
        <v>4.16</v>
      </c>
      <c r="E212" s="110">
        <v>1.34</v>
      </c>
      <c r="F212" s="110" t="s">
        <v>1490</v>
      </c>
      <c r="G212" s="110">
        <v>12.823</v>
      </c>
      <c r="H212" s="110" t="s">
        <v>1495</v>
      </c>
      <c r="I212" s="110">
        <v>78.5</v>
      </c>
      <c r="J212" s="110">
        <v>60.5</v>
      </c>
      <c r="K212" s="110">
        <v>2.7</v>
      </c>
      <c r="L212" s="110" t="s">
        <v>1492</v>
      </c>
    </row>
    <row r="213" spans="1:12">
      <c r="A213" s="110">
        <v>346964</v>
      </c>
      <c r="B213" s="149" t="s">
        <v>392</v>
      </c>
      <c r="C213" s="110" t="s">
        <v>388</v>
      </c>
      <c r="D213" s="110">
        <v>7.6</v>
      </c>
      <c r="E213" s="110">
        <v>1.17</v>
      </c>
      <c r="F213" s="110" t="s">
        <v>1490</v>
      </c>
      <c r="G213" s="110">
        <v>22.623999999999999</v>
      </c>
      <c r="H213" s="110" t="s">
        <v>1495</v>
      </c>
      <c r="I213" s="110">
        <v>138.5</v>
      </c>
      <c r="J213" s="110">
        <v>60.5</v>
      </c>
      <c r="K213" s="110">
        <v>2.7</v>
      </c>
      <c r="L213" s="110" t="s">
        <v>1492</v>
      </c>
    </row>
    <row r="214" spans="1:12">
      <c r="A214" s="110">
        <v>346965</v>
      </c>
      <c r="B214" s="149" t="s">
        <v>393</v>
      </c>
      <c r="C214" s="110" t="s">
        <v>388</v>
      </c>
      <c r="D214" s="110">
        <v>2.94</v>
      </c>
      <c r="E214" s="110">
        <v>0.93</v>
      </c>
      <c r="F214" s="110" t="s">
        <v>1490</v>
      </c>
      <c r="G214" s="110">
        <v>8.2170000000000005</v>
      </c>
      <c r="H214" s="110" t="s">
        <v>1495</v>
      </c>
      <c r="I214" s="110">
        <v>50.3</v>
      </c>
      <c r="J214" s="110">
        <v>60.5</v>
      </c>
      <c r="K214" s="110">
        <v>2.7</v>
      </c>
      <c r="L214" s="110" t="s">
        <v>1492</v>
      </c>
    </row>
    <row r="215" spans="1:12">
      <c r="A215" s="110">
        <v>346966</v>
      </c>
      <c r="B215" s="149" t="s">
        <v>394</v>
      </c>
      <c r="C215" s="110" t="s">
        <v>388</v>
      </c>
      <c r="D215" s="110">
        <v>3.8</v>
      </c>
      <c r="E215" s="110">
        <v>1.1499999999999999</v>
      </c>
      <c r="F215" s="110" t="s">
        <v>1490</v>
      </c>
      <c r="G215" s="110">
        <v>8.5839999999999996</v>
      </c>
      <c r="H215" s="110" t="s">
        <v>1495</v>
      </c>
      <c r="I215" s="110">
        <v>78.5</v>
      </c>
      <c r="J215" s="110">
        <v>40.5</v>
      </c>
      <c r="K215" s="110">
        <v>2.7</v>
      </c>
      <c r="L215" s="110" t="s">
        <v>1492</v>
      </c>
    </row>
    <row r="216" spans="1:12">
      <c r="A216" s="110">
        <v>346967</v>
      </c>
      <c r="B216" s="149" t="s">
        <v>395</v>
      </c>
      <c r="C216" s="110" t="s">
        <v>388</v>
      </c>
      <c r="D216" s="110">
        <v>5.7</v>
      </c>
      <c r="E216" s="110">
        <v>1.76</v>
      </c>
      <c r="F216" s="110" t="s">
        <v>1490</v>
      </c>
      <c r="G216" s="110">
        <v>12.823</v>
      </c>
      <c r="H216" s="110" t="s">
        <v>1495</v>
      </c>
      <c r="I216" s="110">
        <v>78.5</v>
      </c>
      <c r="J216" s="110">
        <v>60.5</v>
      </c>
      <c r="K216" s="110">
        <v>2.7</v>
      </c>
      <c r="L216" s="110" t="s">
        <v>1492</v>
      </c>
    </row>
    <row r="217" spans="1:12">
      <c r="A217" s="110">
        <v>346968</v>
      </c>
      <c r="B217" s="149" t="s">
        <v>396</v>
      </c>
      <c r="C217" s="110" t="s">
        <v>388</v>
      </c>
      <c r="D217" s="110">
        <v>7</v>
      </c>
      <c r="E217" s="110">
        <v>0.9</v>
      </c>
      <c r="F217" s="110" t="s">
        <v>1490</v>
      </c>
      <c r="G217" s="110">
        <v>17.113</v>
      </c>
      <c r="H217" s="110" t="s">
        <v>1495</v>
      </c>
      <c r="I217" s="110">
        <v>88.3</v>
      </c>
      <c r="J217" s="110">
        <v>72</v>
      </c>
      <c r="K217" s="110">
        <v>6.8</v>
      </c>
      <c r="L217" s="110" t="s">
        <v>1492</v>
      </c>
    </row>
    <row r="218" spans="1:12">
      <c r="A218" s="110">
        <v>346969</v>
      </c>
      <c r="B218" s="149" t="s">
        <v>397</v>
      </c>
      <c r="C218" s="110" t="s">
        <v>388</v>
      </c>
      <c r="D218" s="110">
        <v>1.72</v>
      </c>
      <c r="E218" s="110">
        <v>1.51</v>
      </c>
      <c r="F218" s="110" t="s">
        <v>1490</v>
      </c>
      <c r="G218" s="110">
        <v>3.2850000000000001</v>
      </c>
      <c r="H218" s="110" t="s">
        <v>1495</v>
      </c>
      <c r="I218" s="110">
        <v>78.5</v>
      </c>
      <c r="J218" s="110">
        <v>15.5</v>
      </c>
      <c r="K218" s="110">
        <v>2.7</v>
      </c>
      <c r="L218" s="110" t="s">
        <v>1492</v>
      </c>
    </row>
    <row r="219" spans="1:12">
      <c r="A219" s="110">
        <v>346970</v>
      </c>
      <c r="B219" s="149" t="s">
        <v>398</v>
      </c>
      <c r="C219" s="110" t="s">
        <v>388</v>
      </c>
      <c r="D219" s="110">
        <v>2.35</v>
      </c>
      <c r="E219" s="110">
        <v>1.52</v>
      </c>
      <c r="F219" s="110" t="s">
        <v>1490</v>
      </c>
      <c r="G219" s="110">
        <v>6.0250000000000004</v>
      </c>
      <c r="H219" s="110" t="s">
        <v>1495</v>
      </c>
      <c r="I219" s="110">
        <v>78.5</v>
      </c>
      <c r="J219" s="110">
        <v>30.7</v>
      </c>
      <c r="K219" s="110">
        <v>2.5</v>
      </c>
      <c r="L219" s="110" t="s">
        <v>1492</v>
      </c>
    </row>
    <row r="220" spans="1:12">
      <c r="A220" s="110">
        <v>346971</v>
      </c>
      <c r="B220" s="149" t="s">
        <v>399</v>
      </c>
      <c r="C220" s="110" t="s">
        <v>388</v>
      </c>
      <c r="D220" s="110">
        <v>5.57</v>
      </c>
      <c r="E220" s="110">
        <v>1.76</v>
      </c>
      <c r="F220" s="110" t="s">
        <v>1490</v>
      </c>
      <c r="G220" s="110">
        <v>11.52</v>
      </c>
      <c r="H220" s="110" t="s">
        <v>1495</v>
      </c>
      <c r="I220" s="110">
        <v>78.5</v>
      </c>
      <c r="J220" s="110">
        <v>58.7</v>
      </c>
      <c r="K220" s="110">
        <v>2.5</v>
      </c>
      <c r="L220" s="110" t="s">
        <v>1492</v>
      </c>
    </row>
    <row r="221" spans="1:12">
      <c r="A221" s="110">
        <v>346972</v>
      </c>
      <c r="B221" s="149" t="s">
        <v>964</v>
      </c>
      <c r="C221" s="110" t="s">
        <v>388</v>
      </c>
      <c r="D221" s="110">
        <v>3.8</v>
      </c>
      <c r="E221" s="110">
        <v>1.98</v>
      </c>
      <c r="F221" s="110" t="s">
        <v>1490</v>
      </c>
      <c r="G221" s="110">
        <v>5.76</v>
      </c>
      <c r="H221" s="110" t="s">
        <v>1495</v>
      </c>
      <c r="I221" s="110">
        <v>1.6</v>
      </c>
      <c r="J221" s="110">
        <v>15</v>
      </c>
      <c r="K221" s="110">
        <v>240</v>
      </c>
      <c r="L221" s="110" t="s">
        <v>1492</v>
      </c>
    </row>
    <row r="222" spans="1:12">
      <c r="A222" s="110">
        <v>346973</v>
      </c>
      <c r="B222" s="149" t="s">
        <v>965</v>
      </c>
      <c r="C222" s="110" t="s">
        <v>388</v>
      </c>
      <c r="D222" s="110">
        <v>2.96</v>
      </c>
      <c r="E222" s="110">
        <v>2.2999999999999998</v>
      </c>
      <c r="F222" s="110" t="s">
        <v>1490</v>
      </c>
      <c r="G222" s="110">
        <v>4.8000000000000001E-2</v>
      </c>
      <c r="H222" s="110" t="s">
        <v>1497</v>
      </c>
      <c r="I222" s="110">
        <v>4</v>
      </c>
      <c r="J222" s="110">
        <v>5</v>
      </c>
      <c r="K222" s="110">
        <v>240</v>
      </c>
      <c r="L222" s="110" t="s">
        <v>1492</v>
      </c>
    </row>
    <row r="223" spans="1:12">
      <c r="A223" s="110">
        <v>346976</v>
      </c>
      <c r="B223" s="149" t="s">
        <v>966</v>
      </c>
      <c r="C223" s="110" t="s">
        <v>388</v>
      </c>
      <c r="D223" s="110">
        <v>20.911000000000001</v>
      </c>
      <c r="E223" s="110">
        <v>20.911000000000001</v>
      </c>
      <c r="F223" s="110" t="s">
        <v>1490</v>
      </c>
      <c r="G223" s="110">
        <v>2.4E-2</v>
      </c>
      <c r="H223" s="110" t="s">
        <v>1494</v>
      </c>
      <c r="I223" s="110">
        <v>209</v>
      </c>
      <c r="J223" s="110">
        <v>58</v>
      </c>
      <c r="K223" s="110">
        <v>2</v>
      </c>
      <c r="L223" s="110" t="s">
        <v>1492</v>
      </c>
    </row>
    <row r="224" spans="1:12">
      <c r="A224" s="110">
        <v>346977</v>
      </c>
      <c r="B224" s="149" t="s">
        <v>967</v>
      </c>
      <c r="C224" s="110" t="s">
        <v>388</v>
      </c>
      <c r="D224" s="110">
        <v>0.66</v>
      </c>
      <c r="E224" s="110">
        <v>0.61</v>
      </c>
      <c r="F224" s="110" t="s">
        <v>1490</v>
      </c>
      <c r="G224" s="110">
        <v>2E-3</v>
      </c>
      <c r="H224" s="110" t="s">
        <v>1494</v>
      </c>
      <c r="I224" s="110">
        <v>78.5</v>
      </c>
      <c r="J224" s="110">
        <v>4.7</v>
      </c>
      <c r="K224" s="110">
        <v>4.7</v>
      </c>
      <c r="L224" s="110" t="s">
        <v>1492</v>
      </c>
    </row>
    <row r="225" spans="1:12">
      <c r="A225" s="110">
        <v>346978</v>
      </c>
      <c r="B225" s="149" t="s">
        <v>968</v>
      </c>
      <c r="C225" s="110" t="s">
        <v>388</v>
      </c>
      <c r="D225" s="110">
        <v>0.86</v>
      </c>
      <c r="E225" s="110">
        <v>0.8</v>
      </c>
      <c r="F225" s="110" t="s">
        <v>1490</v>
      </c>
      <c r="G225" s="110">
        <v>2E-3</v>
      </c>
      <c r="H225" s="110" t="s">
        <v>1494</v>
      </c>
      <c r="I225" s="110">
        <v>68.5</v>
      </c>
      <c r="J225" s="110">
        <v>9.9</v>
      </c>
      <c r="K225" s="110">
        <v>2.7</v>
      </c>
      <c r="L225" s="110" t="s">
        <v>1492</v>
      </c>
    </row>
    <row r="226" spans="1:12">
      <c r="A226" s="110">
        <v>346979</v>
      </c>
      <c r="B226" s="149" t="s">
        <v>1759</v>
      </c>
      <c r="C226" s="110" t="s">
        <v>388</v>
      </c>
      <c r="D226" s="110">
        <v>4.1399999999999997</v>
      </c>
      <c r="E226" s="110">
        <v>3.73</v>
      </c>
      <c r="F226" s="110" t="s">
        <v>1490</v>
      </c>
      <c r="G226" s="110">
        <v>0.01</v>
      </c>
      <c r="H226" s="110" t="s">
        <v>1494</v>
      </c>
      <c r="I226" s="110">
        <v>88.3</v>
      </c>
      <c r="J226" s="110">
        <v>42.5</v>
      </c>
      <c r="K226" s="110">
        <v>2.7</v>
      </c>
      <c r="L226" s="110" t="s">
        <v>1492</v>
      </c>
    </row>
    <row r="227" spans="1:12">
      <c r="A227" s="110">
        <v>346980</v>
      </c>
      <c r="B227" s="149" t="s">
        <v>969</v>
      </c>
      <c r="C227" s="110" t="s">
        <v>1496</v>
      </c>
      <c r="D227" s="110">
        <v>4.0599999999999996</v>
      </c>
      <c r="E227" s="110">
        <v>2.0499999999999998</v>
      </c>
      <c r="F227" s="110" t="s">
        <v>1490</v>
      </c>
      <c r="G227" s="110">
        <v>8.0000000000000002E-3</v>
      </c>
      <c r="H227" s="110" t="s">
        <v>1494</v>
      </c>
      <c r="I227" s="110">
        <v>78</v>
      </c>
      <c r="J227" s="110">
        <v>41</v>
      </c>
      <c r="K227" s="110">
        <v>2.5</v>
      </c>
      <c r="L227" s="110" t="s">
        <v>1492</v>
      </c>
    </row>
    <row r="228" spans="1:12">
      <c r="A228" s="110">
        <v>346981</v>
      </c>
      <c r="B228" s="149" t="s">
        <v>970</v>
      </c>
      <c r="C228" s="110" t="s">
        <v>1496</v>
      </c>
      <c r="D228" s="110">
        <v>4.18</v>
      </c>
      <c r="E228" s="110">
        <v>2.11</v>
      </c>
      <c r="F228" s="110" t="s">
        <v>1490</v>
      </c>
      <c r="G228" s="110">
        <v>8.0000000000000002E-3</v>
      </c>
      <c r="H228" s="110" t="s">
        <v>1494</v>
      </c>
      <c r="I228" s="110">
        <v>79</v>
      </c>
      <c r="J228" s="110">
        <v>40.299999999999997</v>
      </c>
      <c r="K228" s="110">
        <v>2.5</v>
      </c>
      <c r="L228" s="110" t="s">
        <v>1492</v>
      </c>
    </row>
    <row r="229" spans="1:12">
      <c r="A229" s="110">
        <v>346982</v>
      </c>
      <c r="B229" s="149" t="s">
        <v>971</v>
      </c>
      <c r="C229" s="110" t="s">
        <v>1496</v>
      </c>
      <c r="D229" s="110">
        <v>6.18</v>
      </c>
      <c r="E229" s="110">
        <v>2.08</v>
      </c>
      <c r="F229" s="110" t="s">
        <v>1490</v>
      </c>
      <c r="G229" s="110">
        <v>1.2E-2</v>
      </c>
      <c r="H229" s="110" t="s">
        <v>1494</v>
      </c>
      <c r="I229" s="110">
        <v>79</v>
      </c>
      <c r="J229" s="110">
        <v>60.4</v>
      </c>
      <c r="K229" s="110">
        <v>2.5</v>
      </c>
      <c r="L229" s="110" t="s">
        <v>1492</v>
      </c>
    </row>
    <row r="230" spans="1:12">
      <c r="A230" s="110">
        <v>346983</v>
      </c>
      <c r="B230" s="149" t="s">
        <v>972</v>
      </c>
      <c r="C230" s="110" t="s">
        <v>1496</v>
      </c>
      <c r="D230" s="110">
        <v>6.28</v>
      </c>
      <c r="E230" s="110">
        <v>2.11</v>
      </c>
      <c r="F230" s="110" t="s">
        <v>1490</v>
      </c>
      <c r="G230" s="110">
        <v>1.2E-2</v>
      </c>
      <c r="H230" s="110" t="s">
        <v>1494</v>
      </c>
      <c r="I230" s="110">
        <v>79</v>
      </c>
      <c r="J230" s="110">
        <v>60.4</v>
      </c>
      <c r="K230" s="110">
        <v>2.5</v>
      </c>
      <c r="L230" s="110" t="s">
        <v>1492</v>
      </c>
    </row>
    <row r="231" spans="1:12">
      <c r="A231" s="110">
        <v>346984</v>
      </c>
      <c r="B231" s="149" t="s">
        <v>973</v>
      </c>
      <c r="C231" s="110" t="s">
        <v>1496</v>
      </c>
      <c r="D231" s="110">
        <v>3.64</v>
      </c>
      <c r="E231" s="110">
        <v>1.22</v>
      </c>
      <c r="F231" s="110" t="s">
        <v>1490</v>
      </c>
      <c r="G231" s="110">
        <v>8.0000000000000002E-3</v>
      </c>
      <c r="H231" s="110" t="s">
        <v>1494</v>
      </c>
      <c r="I231" s="110">
        <v>51</v>
      </c>
      <c r="J231" s="110">
        <v>60.4</v>
      </c>
      <c r="K231" s="110">
        <v>2.5</v>
      </c>
      <c r="L231" s="110" t="s">
        <v>1492</v>
      </c>
    </row>
    <row r="232" spans="1:12">
      <c r="A232" s="110">
        <v>346985</v>
      </c>
      <c r="B232" s="149" t="s">
        <v>974</v>
      </c>
      <c r="C232" s="110" t="s">
        <v>1496</v>
      </c>
      <c r="D232" s="110">
        <v>4.6500000000000004</v>
      </c>
      <c r="E232" s="110">
        <v>2.2799999999999998</v>
      </c>
      <c r="F232" s="110" t="s">
        <v>1490</v>
      </c>
      <c r="G232" s="110">
        <v>8.0000000000000002E-3</v>
      </c>
      <c r="H232" s="110" t="s">
        <v>1494</v>
      </c>
      <c r="I232" s="110">
        <v>79</v>
      </c>
      <c r="J232" s="110">
        <v>40.299999999999997</v>
      </c>
      <c r="K232" s="110">
        <v>2.5</v>
      </c>
      <c r="L232" s="110" t="s">
        <v>1492</v>
      </c>
    </row>
    <row r="233" spans="1:12">
      <c r="A233" s="110">
        <v>346986</v>
      </c>
      <c r="B233" s="149" t="s">
        <v>975</v>
      </c>
      <c r="C233" s="110" t="s">
        <v>1496</v>
      </c>
      <c r="D233" s="110">
        <v>6.2</v>
      </c>
      <c r="E233" s="110">
        <v>2.08</v>
      </c>
      <c r="F233" s="110" t="s">
        <v>1490</v>
      </c>
      <c r="G233" s="110">
        <v>1.2E-2</v>
      </c>
      <c r="H233" s="110" t="s">
        <v>1494</v>
      </c>
      <c r="I233" s="110">
        <v>79</v>
      </c>
      <c r="J233" s="110">
        <v>60.4</v>
      </c>
      <c r="K233" s="110">
        <v>2.5</v>
      </c>
      <c r="L233" s="110" t="s">
        <v>1492</v>
      </c>
    </row>
    <row r="234" spans="1:12">
      <c r="A234" s="110">
        <v>346987</v>
      </c>
      <c r="B234" s="149" t="s">
        <v>976</v>
      </c>
      <c r="C234" s="110" t="s">
        <v>1496</v>
      </c>
      <c r="D234" s="110">
        <v>7.9</v>
      </c>
      <c r="E234" s="110">
        <v>1.42</v>
      </c>
      <c r="F234" s="110" t="s">
        <v>1490</v>
      </c>
      <c r="G234" s="110">
        <v>1.2999999999999999E-2</v>
      </c>
      <c r="H234" s="110" t="s">
        <v>1494</v>
      </c>
      <c r="I234" s="110">
        <v>72</v>
      </c>
      <c r="J234" s="110">
        <v>80</v>
      </c>
      <c r="K234" s="110">
        <v>4</v>
      </c>
      <c r="L234" s="110" t="s">
        <v>1492</v>
      </c>
    </row>
    <row r="235" spans="1:12">
      <c r="A235" s="110">
        <v>346988</v>
      </c>
      <c r="B235" s="149" t="s">
        <v>977</v>
      </c>
      <c r="C235" s="110" t="s">
        <v>1496</v>
      </c>
      <c r="D235" s="110">
        <v>0.31</v>
      </c>
      <c r="E235" s="110">
        <v>0.31</v>
      </c>
      <c r="F235" s="110" t="s">
        <v>1490</v>
      </c>
      <c r="G235" s="110">
        <v>6.0000000000000001E-3</v>
      </c>
      <c r="H235" s="110" t="s">
        <v>1494</v>
      </c>
      <c r="I235" s="110">
        <v>71</v>
      </c>
      <c r="J235" s="110">
        <v>32</v>
      </c>
      <c r="K235" s="110">
        <v>2.5</v>
      </c>
      <c r="L235" s="110" t="s">
        <v>1492</v>
      </c>
    </row>
    <row r="236" spans="1:12">
      <c r="A236" s="110">
        <v>346989</v>
      </c>
      <c r="B236" s="149" t="s">
        <v>978</v>
      </c>
      <c r="C236" s="110" t="s">
        <v>1496</v>
      </c>
      <c r="D236" s="110">
        <v>5.8</v>
      </c>
      <c r="E236" s="110">
        <v>1.93</v>
      </c>
      <c r="F236" s="110" t="s">
        <v>1490</v>
      </c>
      <c r="G236" s="110">
        <v>1.0999999999999999E-2</v>
      </c>
      <c r="H236" s="110" t="s">
        <v>1494</v>
      </c>
      <c r="I236" s="110">
        <v>79</v>
      </c>
      <c r="J236" s="110">
        <v>57.5</v>
      </c>
      <c r="K236" s="110">
        <v>2.5</v>
      </c>
      <c r="L236" s="110" t="s">
        <v>1492</v>
      </c>
    </row>
    <row r="237" spans="1:12">
      <c r="A237" s="110">
        <v>346990</v>
      </c>
      <c r="B237" s="149" t="s">
        <v>979</v>
      </c>
      <c r="C237" s="110" t="s">
        <v>1496</v>
      </c>
      <c r="D237" s="110">
        <v>12.4</v>
      </c>
      <c r="E237" s="110">
        <v>1.1499999999999999</v>
      </c>
      <c r="F237" s="110" t="s">
        <v>1490</v>
      </c>
      <c r="G237" s="110">
        <v>2.1000000000000001E-2</v>
      </c>
      <c r="H237" s="110" t="s">
        <v>1494</v>
      </c>
      <c r="I237" s="110">
        <v>139</v>
      </c>
      <c r="J237" s="110">
        <v>60.4</v>
      </c>
      <c r="K237" s="110">
        <v>2.5</v>
      </c>
      <c r="L237" s="110" t="s">
        <v>1492</v>
      </c>
    </row>
    <row r="238" spans="1:12">
      <c r="A238" s="110">
        <v>346991</v>
      </c>
      <c r="B238" s="149" t="s">
        <v>400</v>
      </c>
      <c r="C238" s="110" t="s">
        <v>1496</v>
      </c>
      <c r="D238" s="110">
        <v>1.7</v>
      </c>
      <c r="E238" s="110">
        <v>0.76</v>
      </c>
      <c r="F238" s="110" t="s">
        <v>1490</v>
      </c>
      <c r="G238" s="110">
        <v>3.0000000000000001E-3</v>
      </c>
      <c r="H238" s="110" t="s">
        <v>1494</v>
      </c>
      <c r="I238" s="110">
        <v>70.5</v>
      </c>
      <c r="J238" s="110">
        <v>19</v>
      </c>
      <c r="K238" s="110">
        <v>2.5</v>
      </c>
      <c r="L238" s="110" t="s">
        <v>1492</v>
      </c>
    </row>
    <row r="239" spans="1:12">
      <c r="A239" s="110">
        <v>346992</v>
      </c>
      <c r="B239" s="149" t="s">
        <v>981</v>
      </c>
      <c r="C239" s="110" t="s">
        <v>1496</v>
      </c>
      <c r="D239" s="110">
        <v>12</v>
      </c>
      <c r="E239" s="110">
        <v>1.2</v>
      </c>
      <c r="F239" s="110" t="s">
        <v>1490</v>
      </c>
      <c r="G239" s="110">
        <v>2.3E-2</v>
      </c>
      <c r="H239" s="110" t="s">
        <v>1494</v>
      </c>
      <c r="I239" s="110">
        <v>57</v>
      </c>
      <c r="J239" s="110">
        <v>201</v>
      </c>
      <c r="K239" s="110">
        <v>2</v>
      </c>
      <c r="L239" s="110" t="s">
        <v>1492</v>
      </c>
    </row>
    <row r="240" spans="1:12">
      <c r="A240" s="110">
        <v>346993</v>
      </c>
      <c r="B240" s="149" t="s">
        <v>1709</v>
      </c>
      <c r="C240" s="110" t="s">
        <v>1496</v>
      </c>
      <c r="D240" s="110">
        <v>0.8</v>
      </c>
      <c r="E240" s="110">
        <v>0.7</v>
      </c>
      <c r="F240" s="110" t="s">
        <v>1490</v>
      </c>
      <c r="G240" s="110">
        <v>1E-3</v>
      </c>
      <c r="H240" s="110" t="s">
        <v>1494</v>
      </c>
      <c r="I240" s="110">
        <v>70.5</v>
      </c>
      <c r="J240" s="110">
        <v>4.5</v>
      </c>
      <c r="K240" s="110">
        <v>4.5</v>
      </c>
      <c r="L240" s="110" t="s">
        <v>1492</v>
      </c>
    </row>
    <row r="241" spans="1:12">
      <c r="A241" s="110">
        <v>346994</v>
      </c>
      <c r="B241" s="149" t="s">
        <v>1710</v>
      </c>
      <c r="C241" s="110" t="s">
        <v>1496</v>
      </c>
      <c r="D241" s="110">
        <v>0.86</v>
      </c>
      <c r="E241" s="110">
        <v>0.86</v>
      </c>
      <c r="F241" s="110" t="s">
        <v>1490</v>
      </c>
      <c r="G241" s="110">
        <v>1E-3</v>
      </c>
      <c r="H241" s="110" t="s">
        <v>1494</v>
      </c>
      <c r="I241" s="110">
        <v>60</v>
      </c>
      <c r="J241" s="110">
        <v>9.6</v>
      </c>
      <c r="K241" s="110">
        <v>2.5</v>
      </c>
      <c r="L241" s="110" t="s">
        <v>1492</v>
      </c>
    </row>
    <row r="242" spans="1:12">
      <c r="A242" s="110">
        <v>346995</v>
      </c>
      <c r="B242" s="149" t="s">
        <v>1711</v>
      </c>
      <c r="C242" s="110" t="s">
        <v>1496</v>
      </c>
      <c r="D242" s="110">
        <v>4.8</v>
      </c>
      <c r="E242" s="110">
        <v>2.02</v>
      </c>
      <c r="F242" s="110" t="s">
        <v>1490</v>
      </c>
      <c r="G242" s="110">
        <v>6.0000000000000001E-3</v>
      </c>
      <c r="H242" s="110" t="s">
        <v>1494</v>
      </c>
      <c r="I242" s="110">
        <v>15</v>
      </c>
      <c r="J242" s="110">
        <v>242</v>
      </c>
      <c r="K242" s="110">
        <v>1.6</v>
      </c>
      <c r="L242" s="110" t="s">
        <v>1492</v>
      </c>
    </row>
    <row r="243" spans="1:12">
      <c r="A243" s="110">
        <v>346996</v>
      </c>
      <c r="B243" s="149" t="s">
        <v>1712</v>
      </c>
      <c r="C243" s="110" t="s">
        <v>1496</v>
      </c>
      <c r="D243" s="110">
        <v>5.25</v>
      </c>
      <c r="E243" s="110">
        <v>2.42</v>
      </c>
      <c r="F243" s="110" t="s">
        <v>1490</v>
      </c>
      <c r="G243" s="110">
        <v>7.0000000000000001E-3</v>
      </c>
      <c r="H243" s="110" t="s">
        <v>1494</v>
      </c>
      <c r="I243" s="110">
        <v>2.8</v>
      </c>
      <c r="J243" s="110">
        <v>10.1</v>
      </c>
      <c r="K243" s="110">
        <v>240</v>
      </c>
      <c r="L243" s="110" t="s">
        <v>1492</v>
      </c>
    </row>
    <row r="244" spans="1:12">
      <c r="A244" s="110">
        <v>346997</v>
      </c>
      <c r="B244" s="149" t="s">
        <v>401</v>
      </c>
      <c r="C244" s="110" t="s">
        <v>1496</v>
      </c>
      <c r="D244" s="110">
        <v>1.51</v>
      </c>
      <c r="E244" s="110">
        <v>1.44</v>
      </c>
      <c r="F244" s="110" t="s">
        <v>1490</v>
      </c>
      <c r="G244" s="110">
        <v>2E-3</v>
      </c>
      <c r="H244" s="110" t="s">
        <v>1494</v>
      </c>
      <c r="I244" s="110">
        <v>1.6</v>
      </c>
      <c r="J244" s="110">
        <v>5</v>
      </c>
      <c r="K244" s="110">
        <v>240</v>
      </c>
      <c r="L244" s="110" t="s">
        <v>1492</v>
      </c>
    </row>
    <row r="245" spans="1:12">
      <c r="A245" s="110">
        <v>346998</v>
      </c>
      <c r="B245" s="149" t="s">
        <v>402</v>
      </c>
      <c r="C245" s="110" t="s">
        <v>1489</v>
      </c>
      <c r="D245" s="110">
        <v>8.2000000000000003E-2</v>
      </c>
      <c r="E245" s="110">
        <v>8.2000000000000003E-2</v>
      </c>
      <c r="F245" s="110" t="s">
        <v>1490</v>
      </c>
      <c r="G245" s="110">
        <v>0</v>
      </c>
      <c r="H245" s="110" t="s">
        <v>1494</v>
      </c>
      <c r="I245" s="110">
        <v>12</v>
      </c>
      <c r="J245" s="110">
        <v>2.7</v>
      </c>
      <c r="K245" s="110">
        <v>1.2</v>
      </c>
      <c r="L245" s="110" t="s">
        <v>1492</v>
      </c>
    </row>
    <row r="246" spans="1:12">
      <c r="A246" s="110">
        <v>346999</v>
      </c>
      <c r="B246" s="149" t="s">
        <v>375</v>
      </c>
      <c r="C246" s="110" t="s">
        <v>1496</v>
      </c>
      <c r="D246" s="110">
        <v>4.82</v>
      </c>
      <c r="E246" s="110">
        <v>4.82</v>
      </c>
      <c r="F246" s="110" t="s">
        <v>1490</v>
      </c>
      <c r="G246" s="110">
        <v>6.0000000000000001E-3</v>
      </c>
      <c r="H246" s="110" t="s">
        <v>1494</v>
      </c>
      <c r="I246" s="110">
        <v>42</v>
      </c>
      <c r="J246" s="110">
        <v>79.8</v>
      </c>
      <c r="K246" s="110">
        <v>1.8</v>
      </c>
      <c r="L246" s="110" t="s">
        <v>1492</v>
      </c>
    </row>
    <row r="247" spans="1:12">
      <c r="A247" s="110">
        <v>348342</v>
      </c>
      <c r="B247" s="149" t="s">
        <v>1713</v>
      </c>
      <c r="C247" s="110" t="s">
        <v>1499</v>
      </c>
      <c r="D247" s="110">
        <v>3.94</v>
      </c>
      <c r="E247" s="110">
        <v>3.78</v>
      </c>
      <c r="F247" s="110" t="s">
        <v>1490</v>
      </c>
      <c r="G247" s="110">
        <v>1.4E-2</v>
      </c>
      <c r="H247" s="110" t="s">
        <v>1494</v>
      </c>
      <c r="I247" s="110">
        <v>71</v>
      </c>
      <c r="J247" s="110">
        <v>40</v>
      </c>
      <c r="K247" s="110">
        <v>5</v>
      </c>
      <c r="L247" s="110" t="s">
        <v>1492</v>
      </c>
    </row>
    <row r="248" spans="1:12">
      <c r="A248" s="110">
        <v>348345</v>
      </c>
      <c r="B248" s="149" t="s">
        <v>1714</v>
      </c>
      <c r="C248" s="110" t="s">
        <v>1499</v>
      </c>
      <c r="D248" s="110">
        <v>3.49</v>
      </c>
      <c r="E248" s="110">
        <v>1.5</v>
      </c>
      <c r="F248" s="110" t="s">
        <v>1490</v>
      </c>
      <c r="G248" s="110">
        <v>0.01</v>
      </c>
      <c r="H248" s="110" t="s">
        <v>1494</v>
      </c>
      <c r="I248" s="110">
        <v>80</v>
      </c>
      <c r="J248" s="110">
        <v>42.8</v>
      </c>
      <c r="K248" s="110">
        <v>3</v>
      </c>
      <c r="L248" s="110" t="s">
        <v>1492</v>
      </c>
    </row>
    <row r="249" spans="1:12">
      <c r="A249" s="110">
        <v>348346</v>
      </c>
      <c r="B249" s="149" t="s">
        <v>1760</v>
      </c>
      <c r="C249" s="110" t="s">
        <v>1499</v>
      </c>
      <c r="D249" s="110">
        <v>4.5</v>
      </c>
      <c r="E249" s="110">
        <v>4.03</v>
      </c>
      <c r="F249" s="110" t="s">
        <v>1490</v>
      </c>
      <c r="G249" s="110">
        <v>1.2E-2</v>
      </c>
      <c r="H249" s="110" t="s">
        <v>1494</v>
      </c>
      <c r="I249" s="110">
        <v>90</v>
      </c>
      <c r="J249" s="110">
        <v>42.8</v>
      </c>
      <c r="K249" s="110">
        <v>3.2</v>
      </c>
      <c r="L249" s="110" t="s">
        <v>1492</v>
      </c>
    </row>
  </sheetData>
  <phoneticPr fontId="24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105"/>
  <sheetViews>
    <sheetView topLeftCell="A46" workbookViewId="0">
      <selection activeCell="I51" sqref="I51"/>
    </sheetView>
  </sheetViews>
  <sheetFormatPr baseColWidth="10" defaultRowHeight="13.2"/>
  <cols>
    <col min="1" max="1" width="11.44140625" style="110" customWidth="1"/>
    <col min="2" max="2" width="51.5546875" customWidth="1"/>
  </cols>
  <sheetData>
    <row r="1" spans="1:10">
      <c r="A1" s="110" t="s">
        <v>557</v>
      </c>
      <c r="C1" t="s">
        <v>1847</v>
      </c>
      <c r="D1" t="s">
        <v>1848</v>
      </c>
      <c r="E1" t="s">
        <v>404</v>
      </c>
      <c r="F1" t="s">
        <v>1488</v>
      </c>
      <c r="G1" t="s">
        <v>1845</v>
      </c>
      <c r="H1" t="s">
        <v>1846</v>
      </c>
      <c r="I1" t="s">
        <v>1842</v>
      </c>
      <c r="J1" t="s">
        <v>1844</v>
      </c>
    </row>
    <row r="2" spans="1:10">
      <c r="A2" s="110">
        <v>343185</v>
      </c>
      <c r="B2" s="110" t="s">
        <v>1606</v>
      </c>
      <c r="C2">
        <v>37</v>
      </c>
      <c r="D2">
        <v>45</v>
      </c>
      <c r="E2">
        <v>8.6</v>
      </c>
      <c r="F2" t="s">
        <v>1492</v>
      </c>
      <c r="G2">
        <v>1.4E-2</v>
      </c>
      <c r="H2" t="s">
        <v>1494</v>
      </c>
      <c r="I2">
        <v>3.45</v>
      </c>
      <c r="J2" t="s">
        <v>1490</v>
      </c>
    </row>
    <row r="3" spans="1:10">
      <c r="A3" s="110">
        <v>343186</v>
      </c>
      <c r="B3" s="110" t="s">
        <v>1110</v>
      </c>
      <c r="C3">
        <v>57</v>
      </c>
      <c r="D3">
        <v>45</v>
      </c>
      <c r="E3">
        <v>8.6</v>
      </c>
      <c r="F3" t="s">
        <v>1492</v>
      </c>
      <c r="G3">
        <v>2.1999999999999999E-2</v>
      </c>
      <c r="H3" t="s">
        <v>1494</v>
      </c>
      <c r="I3">
        <v>4.75</v>
      </c>
      <c r="J3" t="s">
        <v>1490</v>
      </c>
    </row>
    <row r="4" spans="1:10">
      <c r="A4" s="110">
        <v>343187</v>
      </c>
      <c r="B4" s="110" t="s">
        <v>1111</v>
      </c>
      <c r="C4">
        <v>68</v>
      </c>
      <c r="D4">
        <v>45</v>
      </c>
      <c r="E4">
        <v>8.6</v>
      </c>
      <c r="F4" t="s">
        <v>1492</v>
      </c>
      <c r="G4">
        <v>0.26300000000000001</v>
      </c>
      <c r="H4" t="s">
        <v>1497</v>
      </c>
      <c r="I4">
        <v>5</v>
      </c>
      <c r="J4" t="s">
        <v>1490</v>
      </c>
    </row>
    <row r="5" spans="1:10">
      <c r="A5" s="110">
        <v>343392</v>
      </c>
      <c r="B5" s="110" t="s">
        <v>1560</v>
      </c>
      <c r="C5">
        <v>50</v>
      </c>
      <c r="D5">
        <v>58</v>
      </c>
      <c r="E5">
        <v>10.5</v>
      </c>
      <c r="F5" t="s">
        <v>1492</v>
      </c>
      <c r="G5">
        <v>0.03</v>
      </c>
      <c r="H5" t="s">
        <v>1494</v>
      </c>
      <c r="I5">
        <v>7.6</v>
      </c>
      <c r="J5" t="s">
        <v>1490</v>
      </c>
    </row>
    <row r="6" spans="1:10">
      <c r="A6" s="110">
        <v>343393</v>
      </c>
      <c r="B6" s="110" t="s">
        <v>1561</v>
      </c>
      <c r="C6">
        <v>50</v>
      </c>
      <c r="D6">
        <v>58</v>
      </c>
      <c r="E6">
        <v>10.5</v>
      </c>
      <c r="F6" t="s">
        <v>1492</v>
      </c>
      <c r="G6">
        <v>0.03</v>
      </c>
      <c r="H6" t="s">
        <v>1494</v>
      </c>
      <c r="I6">
        <v>7.9</v>
      </c>
      <c r="J6" t="s">
        <v>1490</v>
      </c>
    </row>
    <row r="7" spans="1:10">
      <c r="A7" s="110">
        <v>343394</v>
      </c>
      <c r="B7" s="110" t="s">
        <v>1778</v>
      </c>
      <c r="C7">
        <v>60</v>
      </c>
      <c r="D7">
        <v>43</v>
      </c>
      <c r="E7">
        <v>9.5</v>
      </c>
      <c r="F7" t="s">
        <v>1492</v>
      </c>
      <c r="G7">
        <v>2.5000000000000001E-2</v>
      </c>
      <c r="H7" t="s">
        <v>1494</v>
      </c>
      <c r="I7">
        <v>5</v>
      </c>
      <c r="J7" t="s">
        <v>1490</v>
      </c>
    </row>
    <row r="8" spans="1:10">
      <c r="A8" s="110">
        <v>343410</v>
      </c>
      <c r="B8" s="110" t="s">
        <v>1562</v>
      </c>
      <c r="C8">
        <v>65</v>
      </c>
      <c r="D8">
        <v>263</v>
      </c>
      <c r="E8">
        <v>3.8</v>
      </c>
      <c r="F8" t="s">
        <v>1492</v>
      </c>
      <c r="G8">
        <v>6.5000000000000002E-2</v>
      </c>
      <c r="H8" t="s">
        <v>1494</v>
      </c>
      <c r="I8">
        <v>35.5</v>
      </c>
      <c r="J8" t="s">
        <v>1490</v>
      </c>
    </row>
    <row r="9" spans="1:10">
      <c r="A9" s="110">
        <v>343417</v>
      </c>
      <c r="B9" s="110" t="s">
        <v>1814</v>
      </c>
      <c r="C9">
        <v>15</v>
      </c>
      <c r="D9">
        <v>21</v>
      </c>
      <c r="E9">
        <v>6.0000000000000001E-3</v>
      </c>
      <c r="F9" t="s">
        <v>1492</v>
      </c>
      <c r="G9">
        <v>0</v>
      </c>
      <c r="H9" t="s">
        <v>1494</v>
      </c>
      <c r="I9">
        <v>0.19400000000000001</v>
      </c>
      <c r="J9" t="s">
        <v>1490</v>
      </c>
    </row>
    <row r="10" spans="1:10">
      <c r="A10" s="110">
        <v>343418</v>
      </c>
      <c r="B10" s="110" t="s">
        <v>1815</v>
      </c>
      <c r="C10">
        <v>33</v>
      </c>
      <c r="D10">
        <v>8</v>
      </c>
      <c r="E10">
        <v>6.0000000000000001E-3</v>
      </c>
      <c r="F10" t="s">
        <v>1492</v>
      </c>
      <c r="G10">
        <v>0</v>
      </c>
      <c r="H10" t="s">
        <v>1494</v>
      </c>
      <c r="I10">
        <v>0.14899999999999999</v>
      </c>
      <c r="J10" t="s">
        <v>1490</v>
      </c>
    </row>
    <row r="11" spans="1:10">
      <c r="A11" s="110">
        <v>343419</v>
      </c>
      <c r="B11" s="110" t="s">
        <v>1816</v>
      </c>
      <c r="C11">
        <v>15</v>
      </c>
      <c r="D11">
        <v>21</v>
      </c>
      <c r="E11">
        <v>1E-3</v>
      </c>
      <c r="F11" t="s">
        <v>1492</v>
      </c>
      <c r="G11">
        <v>0</v>
      </c>
      <c r="H11" t="s">
        <v>1494</v>
      </c>
      <c r="I11">
        <v>0.14000000000000001</v>
      </c>
      <c r="J11" t="s">
        <v>1490</v>
      </c>
    </row>
    <row r="12" spans="1:10">
      <c r="A12" s="110">
        <v>343420</v>
      </c>
      <c r="B12" s="110" t="s">
        <v>1817</v>
      </c>
      <c r="C12">
        <v>62</v>
      </c>
      <c r="D12">
        <v>15</v>
      </c>
      <c r="E12">
        <v>15</v>
      </c>
      <c r="F12" t="s">
        <v>1492</v>
      </c>
      <c r="G12">
        <v>13.95</v>
      </c>
      <c r="H12" t="s">
        <v>1495</v>
      </c>
      <c r="I12">
        <v>0.433</v>
      </c>
      <c r="J12" t="s">
        <v>1490</v>
      </c>
    </row>
    <row r="13" spans="1:10">
      <c r="A13" s="110">
        <v>343421</v>
      </c>
      <c r="B13" s="110" t="s">
        <v>1818</v>
      </c>
      <c r="C13">
        <v>62</v>
      </c>
      <c r="D13">
        <v>15</v>
      </c>
      <c r="E13">
        <v>15</v>
      </c>
      <c r="F13" t="s">
        <v>1492</v>
      </c>
      <c r="G13">
        <v>1.4E-2</v>
      </c>
      <c r="H13" t="s">
        <v>1494</v>
      </c>
      <c r="I13">
        <v>0.59</v>
      </c>
      <c r="J13" t="s">
        <v>1490</v>
      </c>
    </row>
    <row r="14" spans="1:10">
      <c r="A14" s="110">
        <v>343424</v>
      </c>
      <c r="B14" s="110" t="s">
        <v>1819</v>
      </c>
      <c r="C14">
        <v>1</v>
      </c>
      <c r="D14">
        <v>3.4</v>
      </c>
      <c r="E14">
        <v>200</v>
      </c>
      <c r="F14" t="s">
        <v>1492</v>
      </c>
      <c r="G14">
        <v>0.68</v>
      </c>
      <c r="H14" t="s">
        <v>1495</v>
      </c>
      <c r="I14">
        <v>0.77</v>
      </c>
      <c r="J14" t="s">
        <v>1490</v>
      </c>
    </row>
    <row r="15" spans="1:10">
      <c r="A15" s="110">
        <v>343426</v>
      </c>
      <c r="B15" s="110" t="s">
        <v>1821</v>
      </c>
      <c r="C15">
        <v>62.5</v>
      </c>
      <c r="D15">
        <v>15</v>
      </c>
      <c r="E15">
        <v>15</v>
      </c>
      <c r="F15" t="s">
        <v>1492</v>
      </c>
      <c r="G15">
        <v>1.4E-2</v>
      </c>
      <c r="H15" t="s">
        <v>1494</v>
      </c>
      <c r="I15">
        <v>0.59</v>
      </c>
      <c r="J15" t="s">
        <v>1490</v>
      </c>
    </row>
    <row r="16" spans="1:10">
      <c r="A16" s="110">
        <v>343457</v>
      </c>
      <c r="B16" s="110" t="s">
        <v>1822</v>
      </c>
      <c r="C16">
        <v>62.5</v>
      </c>
      <c r="D16">
        <v>15</v>
      </c>
      <c r="E16">
        <v>15</v>
      </c>
      <c r="F16" t="s">
        <v>1492</v>
      </c>
      <c r="G16">
        <v>1.4E-2</v>
      </c>
      <c r="H16" t="s">
        <v>1494</v>
      </c>
      <c r="I16">
        <v>1.85</v>
      </c>
      <c r="J16" t="s">
        <v>1490</v>
      </c>
    </row>
    <row r="17" spans="1:10">
      <c r="A17" s="110">
        <v>343562</v>
      </c>
      <c r="B17" s="110" t="s">
        <v>1824</v>
      </c>
      <c r="C17">
        <v>65</v>
      </c>
      <c r="D17">
        <v>60</v>
      </c>
      <c r="E17">
        <v>9.5</v>
      </c>
      <c r="F17" t="s">
        <v>1492</v>
      </c>
      <c r="G17">
        <v>3.6999999999999998E-2</v>
      </c>
      <c r="H17" t="s">
        <v>1494</v>
      </c>
      <c r="I17">
        <v>8.8800000000000008</v>
      </c>
      <c r="J17" t="s">
        <v>1490</v>
      </c>
    </row>
    <row r="18" spans="1:10">
      <c r="A18" s="110">
        <v>343595</v>
      </c>
      <c r="B18" s="110" t="s">
        <v>1936</v>
      </c>
      <c r="C18">
        <v>65</v>
      </c>
      <c r="D18">
        <v>60</v>
      </c>
      <c r="E18">
        <v>9.5</v>
      </c>
      <c r="F18" t="s">
        <v>1492</v>
      </c>
      <c r="G18">
        <v>3.6999999999999998E-2</v>
      </c>
      <c r="H18" t="s">
        <v>1494</v>
      </c>
      <c r="I18">
        <v>11.4</v>
      </c>
      <c r="J18" t="s">
        <v>1490</v>
      </c>
    </row>
    <row r="19" spans="1:10">
      <c r="A19" s="110">
        <v>343606</v>
      </c>
      <c r="B19" s="110" t="s">
        <v>465</v>
      </c>
      <c r="C19">
        <v>15</v>
      </c>
      <c r="D19">
        <v>26</v>
      </c>
      <c r="E19">
        <v>0.2</v>
      </c>
      <c r="F19" t="s">
        <v>1492</v>
      </c>
      <c r="G19">
        <v>0</v>
      </c>
      <c r="H19" t="s">
        <v>1494</v>
      </c>
      <c r="I19">
        <v>0.318</v>
      </c>
      <c r="J19" t="s">
        <v>1490</v>
      </c>
    </row>
    <row r="20" spans="1:10">
      <c r="A20" s="110">
        <v>343607</v>
      </c>
      <c r="B20" s="110" t="s">
        <v>1480</v>
      </c>
      <c r="C20">
        <v>29</v>
      </c>
      <c r="D20">
        <v>2</v>
      </c>
      <c r="E20">
        <v>1.5</v>
      </c>
      <c r="F20" t="s">
        <v>1492</v>
      </c>
      <c r="G20">
        <v>87</v>
      </c>
      <c r="H20" t="s">
        <v>1491</v>
      </c>
      <c r="I20">
        <v>0.125</v>
      </c>
      <c r="J20" t="s">
        <v>1490</v>
      </c>
    </row>
    <row r="21" spans="1:10">
      <c r="A21" s="110">
        <v>343608</v>
      </c>
      <c r="B21" s="110" t="s">
        <v>1481</v>
      </c>
      <c r="C21">
        <v>12</v>
      </c>
      <c r="D21">
        <v>7</v>
      </c>
      <c r="E21">
        <v>2</v>
      </c>
      <c r="F21" t="s">
        <v>1492</v>
      </c>
      <c r="G21">
        <v>168</v>
      </c>
      <c r="H21" t="s">
        <v>1491</v>
      </c>
      <c r="I21">
        <v>0.19</v>
      </c>
      <c r="J21" t="s">
        <v>1490</v>
      </c>
    </row>
    <row r="22" spans="1:10">
      <c r="A22" s="110">
        <v>343680</v>
      </c>
      <c r="B22" s="110" t="s">
        <v>1827</v>
      </c>
      <c r="C22">
        <v>61.5</v>
      </c>
      <c r="D22">
        <v>10</v>
      </c>
      <c r="E22">
        <v>5</v>
      </c>
      <c r="F22" t="s">
        <v>1492</v>
      </c>
      <c r="G22">
        <v>3.0000000000000001E-3</v>
      </c>
      <c r="H22" t="s">
        <v>1494</v>
      </c>
      <c r="I22">
        <v>0.59</v>
      </c>
      <c r="J22" t="s">
        <v>1490</v>
      </c>
    </row>
    <row r="23" spans="1:10">
      <c r="A23" s="110">
        <v>343684</v>
      </c>
      <c r="B23" s="110" t="s">
        <v>373</v>
      </c>
      <c r="C23">
        <v>9</v>
      </c>
      <c r="D23">
        <v>9</v>
      </c>
      <c r="E23">
        <v>62</v>
      </c>
      <c r="F23" t="s">
        <v>1492</v>
      </c>
      <c r="G23">
        <v>5.0000000000000001E-3</v>
      </c>
      <c r="H23" t="s">
        <v>1494</v>
      </c>
      <c r="I23">
        <v>0.495</v>
      </c>
      <c r="J23" t="s">
        <v>1490</v>
      </c>
    </row>
    <row r="24" spans="1:10">
      <c r="A24" s="110">
        <v>343685</v>
      </c>
      <c r="B24" s="110" t="s">
        <v>1779</v>
      </c>
      <c r="C24">
        <v>9</v>
      </c>
      <c r="D24">
        <v>9</v>
      </c>
      <c r="E24">
        <v>62</v>
      </c>
      <c r="F24" t="s">
        <v>1492</v>
      </c>
      <c r="G24">
        <v>5.0000000000000001E-3</v>
      </c>
      <c r="H24" t="s">
        <v>1494</v>
      </c>
      <c r="I24">
        <v>0.47</v>
      </c>
      <c r="J24" t="s">
        <v>1490</v>
      </c>
    </row>
    <row r="25" spans="1:10">
      <c r="A25" s="110">
        <v>343686</v>
      </c>
      <c r="B25" s="110" t="s">
        <v>1780</v>
      </c>
      <c r="C25">
        <v>9</v>
      </c>
      <c r="D25">
        <v>9</v>
      </c>
      <c r="E25">
        <v>62</v>
      </c>
      <c r="F25" t="s">
        <v>1492</v>
      </c>
      <c r="G25">
        <v>5.0000000000000001E-3</v>
      </c>
      <c r="H25" t="s">
        <v>1494</v>
      </c>
      <c r="I25">
        <v>0.47</v>
      </c>
      <c r="J25" t="s">
        <v>1490</v>
      </c>
    </row>
    <row r="26" spans="1:10">
      <c r="A26" s="110">
        <v>343689</v>
      </c>
      <c r="B26" s="110" t="s">
        <v>1939</v>
      </c>
      <c r="C26">
        <v>9</v>
      </c>
      <c r="D26">
        <v>9</v>
      </c>
      <c r="E26">
        <v>62</v>
      </c>
      <c r="F26" t="s">
        <v>1492</v>
      </c>
      <c r="G26">
        <v>5.0000000000000001E-3</v>
      </c>
      <c r="H26" t="s">
        <v>1494</v>
      </c>
      <c r="I26">
        <v>0.47</v>
      </c>
      <c r="J26" t="s">
        <v>1490</v>
      </c>
    </row>
    <row r="27" spans="1:10">
      <c r="A27" s="110">
        <v>343690</v>
      </c>
      <c r="B27" s="110" t="s">
        <v>1940</v>
      </c>
      <c r="C27">
        <v>9</v>
      </c>
      <c r="D27">
        <v>9</v>
      </c>
      <c r="E27">
        <v>62</v>
      </c>
      <c r="F27" t="s">
        <v>1492</v>
      </c>
      <c r="G27">
        <v>5.0000000000000001E-3</v>
      </c>
      <c r="H27" t="s">
        <v>1494</v>
      </c>
      <c r="I27">
        <v>0.47</v>
      </c>
      <c r="J27" t="s">
        <v>1490</v>
      </c>
    </row>
    <row r="28" spans="1:10">
      <c r="A28" s="110">
        <v>343842</v>
      </c>
      <c r="B28" s="110" t="s">
        <v>1112</v>
      </c>
      <c r="C28">
        <v>50</v>
      </c>
      <c r="D28">
        <v>53</v>
      </c>
      <c r="E28">
        <v>5</v>
      </c>
      <c r="F28" t="s">
        <v>1492</v>
      </c>
      <c r="G28">
        <v>13.25</v>
      </c>
      <c r="H28" t="s">
        <v>1495</v>
      </c>
      <c r="I28">
        <v>5</v>
      </c>
      <c r="J28" t="s">
        <v>1490</v>
      </c>
    </row>
    <row r="29" spans="1:10">
      <c r="A29" s="110">
        <v>343843</v>
      </c>
      <c r="B29" s="110" t="s">
        <v>1113</v>
      </c>
      <c r="C29">
        <v>52</v>
      </c>
      <c r="D29">
        <v>53</v>
      </c>
      <c r="E29">
        <v>5</v>
      </c>
      <c r="F29" t="s">
        <v>1492</v>
      </c>
      <c r="G29">
        <v>13.78</v>
      </c>
      <c r="H29" t="s">
        <v>1495</v>
      </c>
      <c r="I29">
        <v>6.5</v>
      </c>
      <c r="J29" t="s">
        <v>1490</v>
      </c>
    </row>
    <row r="30" spans="1:10">
      <c r="A30" s="110">
        <v>343844</v>
      </c>
      <c r="B30" s="110" t="s">
        <v>1114</v>
      </c>
      <c r="C30">
        <v>52</v>
      </c>
      <c r="D30">
        <v>53</v>
      </c>
      <c r="E30">
        <v>5</v>
      </c>
      <c r="F30" t="s">
        <v>1492</v>
      </c>
      <c r="G30">
        <v>13.78</v>
      </c>
      <c r="H30" t="s">
        <v>1495</v>
      </c>
      <c r="I30">
        <v>7.5</v>
      </c>
      <c r="J30" t="s">
        <v>1490</v>
      </c>
    </row>
    <row r="31" spans="1:10">
      <c r="A31" s="110">
        <v>343846</v>
      </c>
      <c r="B31" s="110" t="s">
        <v>1115</v>
      </c>
      <c r="C31">
        <v>70</v>
      </c>
      <c r="D31">
        <v>49.5</v>
      </c>
      <c r="E31">
        <v>8.1999999999999993</v>
      </c>
      <c r="F31" t="s">
        <v>1492</v>
      </c>
      <c r="G31">
        <v>0.28399999999999997</v>
      </c>
      <c r="H31" t="s">
        <v>1497</v>
      </c>
      <c r="I31">
        <v>8.0500000000000007</v>
      </c>
      <c r="J31" t="s">
        <v>1490</v>
      </c>
    </row>
    <row r="32" spans="1:10">
      <c r="A32" s="110">
        <v>343847</v>
      </c>
      <c r="B32" s="110" t="s">
        <v>1116</v>
      </c>
      <c r="C32">
        <v>70</v>
      </c>
      <c r="D32">
        <v>49.5</v>
      </c>
      <c r="E32">
        <v>8.1999999999999993</v>
      </c>
      <c r="F32" t="s">
        <v>1492</v>
      </c>
      <c r="G32">
        <v>0.28399999999999997</v>
      </c>
      <c r="H32" t="s">
        <v>1497</v>
      </c>
      <c r="I32">
        <v>8.8000000000000007</v>
      </c>
      <c r="J32" t="s">
        <v>1490</v>
      </c>
    </row>
    <row r="33" spans="1:10">
      <c r="A33" s="110">
        <v>343848</v>
      </c>
      <c r="B33" s="110" t="s">
        <v>1117</v>
      </c>
      <c r="C33">
        <v>48.5</v>
      </c>
      <c r="D33">
        <v>27.5</v>
      </c>
      <c r="E33">
        <v>8.5</v>
      </c>
      <c r="F33" t="s">
        <v>1492</v>
      </c>
      <c r="G33">
        <v>11.337</v>
      </c>
      <c r="H33" t="s">
        <v>1495</v>
      </c>
      <c r="I33">
        <v>5.4</v>
      </c>
      <c r="J33" t="s">
        <v>1490</v>
      </c>
    </row>
    <row r="34" spans="1:10">
      <c r="A34" s="110">
        <v>343849</v>
      </c>
      <c r="B34" s="110" t="s">
        <v>1118</v>
      </c>
      <c r="C34">
        <v>50</v>
      </c>
      <c r="D34">
        <v>48</v>
      </c>
      <c r="E34">
        <v>9.6</v>
      </c>
      <c r="F34" t="s">
        <v>1492</v>
      </c>
      <c r="G34">
        <v>23.04</v>
      </c>
      <c r="H34" t="s">
        <v>1495</v>
      </c>
      <c r="I34">
        <v>7.1</v>
      </c>
      <c r="J34" t="s">
        <v>1490</v>
      </c>
    </row>
    <row r="35" spans="1:10">
      <c r="A35" s="110">
        <v>343853</v>
      </c>
      <c r="B35" s="110" t="s">
        <v>1119</v>
      </c>
      <c r="C35">
        <v>48.5</v>
      </c>
      <c r="D35">
        <v>29.7</v>
      </c>
      <c r="E35">
        <v>8</v>
      </c>
      <c r="F35" t="s">
        <v>1492</v>
      </c>
      <c r="G35">
        <v>11.523999999999999</v>
      </c>
      <c r="H35" t="s">
        <v>1495</v>
      </c>
      <c r="I35">
        <v>5.6</v>
      </c>
      <c r="J35" t="s">
        <v>1490</v>
      </c>
    </row>
    <row r="36" spans="1:10">
      <c r="A36" s="110">
        <v>343854</v>
      </c>
      <c r="B36" s="110" t="s">
        <v>466</v>
      </c>
      <c r="C36">
        <v>22.5</v>
      </c>
      <c r="D36">
        <v>16.5</v>
      </c>
      <c r="E36">
        <v>17</v>
      </c>
      <c r="F36" t="s">
        <v>1492</v>
      </c>
      <c r="G36">
        <v>6.0000000000000001E-3</v>
      </c>
      <c r="H36" t="s">
        <v>1494</v>
      </c>
      <c r="I36">
        <v>1.2</v>
      </c>
      <c r="J36" t="s">
        <v>1490</v>
      </c>
    </row>
    <row r="37" spans="1:10">
      <c r="A37" s="110">
        <v>343855</v>
      </c>
      <c r="B37" s="110" t="s">
        <v>1482</v>
      </c>
      <c r="C37">
        <v>31</v>
      </c>
      <c r="D37">
        <v>23</v>
      </c>
      <c r="E37">
        <v>0.6</v>
      </c>
      <c r="F37" t="s">
        <v>1492</v>
      </c>
      <c r="G37">
        <v>0.42799999999999999</v>
      </c>
      <c r="H37" t="s">
        <v>1495</v>
      </c>
      <c r="I37">
        <v>0.35</v>
      </c>
      <c r="J37" t="s">
        <v>1490</v>
      </c>
    </row>
    <row r="38" spans="1:10">
      <c r="A38" s="110">
        <v>343859</v>
      </c>
      <c r="B38" s="110" t="s">
        <v>1649</v>
      </c>
      <c r="C38">
        <v>30</v>
      </c>
      <c r="D38">
        <v>30</v>
      </c>
      <c r="E38">
        <v>0.5</v>
      </c>
      <c r="F38" t="s">
        <v>1492</v>
      </c>
      <c r="G38">
        <v>0</v>
      </c>
      <c r="H38" t="s">
        <v>1494</v>
      </c>
      <c r="I38">
        <v>0.35</v>
      </c>
      <c r="J38" t="s">
        <v>1490</v>
      </c>
    </row>
    <row r="39" spans="1:10">
      <c r="A39" s="110">
        <v>343860</v>
      </c>
      <c r="B39" s="110" t="s">
        <v>1650</v>
      </c>
      <c r="C39">
        <v>6.6</v>
      </c>
      <c r="D39">
        <v>6.6</v>
      </c>
      <c r="E39">
        <v>56</v>
      </c>
      <c r="F39" t="s">
        <v>1492</v>
      </c>
      <c r="G39">
        <v>2.4390000000000001</v>
      </c>
      <c r="H39" t="s">
        <v>1495</v>
      </c>
      <c r="I39">
        <v>0.69</v>
      </c>
      <c r="J39" t="s">
        <v>1490</v>
      </c>
    </row>
    <row r="40" spans="1:10">
      <c r="A40" s="110">
        <v>343861</v>
      </c>
      <c r="B40" s="110" t="s">
        <v>467</v>
      </c>
      <c r="C40">
        <v>31</v>
      </c>
      <c r="D40">
        <v>13.7</v>
      </c>
      <c r="E40">
        <v>4.4000000000000004</v>
      </c>
      <c r="F40" t="s">
        <v>1492</v>
      </c>
      <c r="G40">
        <v>1.869</v>
      </c>
      <c r="H40" t="s">
        <v>1495</v>
      </c>
      <c r="I40">
        <v>0.45</v>
      </c>
      <c r="J40" t="s">
        <v>1490</v>
      </c>
    </row>
    <row r="41" spans="1:10">
      <c r="A41" s="110">
        <v>343862</v>
      </c>
      <c r="B41" s="110" t="s">
        <v>1652</v>
      </c>
      <c r="C41">
        <v>49</v>
      </c>
      <c r="D41">
        <v>35</v>
      </c>
      <c r="E41">
        <v>4.5</v>
      </c>
      <c r="F41" t="s">
        <v>1492</v>
      </c>
      <c r="G41">
        <v>8.0000000000000002E-3</v>
      </c>
      <c r="H41" t="s">
        <v>1494</v>
      </c>
      <c r="I41">
        <v>0.47</v>
      </c>
      <c r="J41" t="s">
        <v>1490</v>
      </c>
    </row>
    <row r="42" spans="1:10">
      <c r="A42" s="110">
        <v>343863</v>
      </c>
      <c r="B42" s="110" t="s">
        <v>1653</v>
      </c>
      <c r="C42">
        <v>49</v>
      </c>
      <c r="D42">
        <v>55.1</v>
      </c>
      <c r="E42">
        <v>4.5</v>
      </c>
      <c r="F42" t="s">
        <v>1492</v>
      </c>
      <c r="G42">
        <v>1.2E-2</v>
      </c>
      <c r="H42" t="s">
        <v>1494</v>
      </c>
      <c r="I42">
        <v>0.63700000000000001</v>
      </c>
      <c r="J42" t="s">
        <v>1490</v>
      </c>
    </row>
    <row r="43" spans="1:10">
      <c r="A43" s="110">
        <v>343866</v>
      </c>
      <c r="B43" s="110" t="s">
        <v>1655</v>
      </c>
      <c r="C43">
        <v>44.5</v>
      </c>
      <c r="D43">
        <v>26.9</v>
      </c>
      <c r="E43">
        <v>40.5</v>
      </c>
      <c r="F43" t="s">
        <v>1492</v>
      </c>
      <c r="G43">
        <v>4.8000000000000001E-2</v>
      </c>
      <c r="H43" t="s">
        <v>1494</v>
      </c>
      <c r="I43">
        <v>11.57</v>
      </c>
      <c r="J43" t="s">
        <v>1490</v>
      </c>
    </row>
    <row r="44" spans="1:10">
      <c r="A44" s="110">
        <v>343867</v>
      </c>
      <c r="B44" s="110" t="s">
        <v>1656</v>
      </c>
      <c r="C44">
        <v>76</v>
      </c>
      <c r="D44">
        <v>23</v>
      </c>
      <c r="E44">
        <v>46</v>
      </c>
      <c r="F44" t="s">
        <v>1492</v>
      </c>
      <c r="G44">
        <v>0.80400000000000005</v>
      </c>
      <c r="H44" t="s">
        <v>1497</v>
      </c>
      <c r="I44">
        <v>4.7</v>
      </c>
      <c r="J44" t="s">
        <v>1490</v>
      </c>
    </row>
    <row r="45" spans="1:10">
      <c r="A45" s="110">
        <v>343868</v>
      </c>
      <c r="B45" s="110" t="s">
        <v>1657</v>
      </c>
      <c r="C45">
        <v>46</v>
      </c>
      <c r="D45">
        <v>11</v>
      </c>
      <c r="E45">
        <v>50</v>
      </c>
      <c r="F45" t="s">
        <v>1492</v>
      </c>
      <c r="G45">
        <v>0.251</v>
      </c>
      <c r="H45" t="s">
        <v>1494</v>
      </c>
      <c r="I45">
        <v>4.8</v>
      </c>
      <c r="J45" t="s">
        <v>1490</v>
      </c>
    </row>
    <row r="46" spans="1:10">
      <c r="A46" s="110">
        <v>343872</v>
      </c>
      <c r="B46" s="110" t="s">
        <v>1658</v>
      </c>
      <c r="C46">
        <v>87</v>
      </c>
      <c r="D46">
        <v>35</v>
      </c>
      <c r="E46">
        <v>53</v>
      </c>
      <c r="F46" t="s">
        <v>1492</v>
      </c>
      <c r="G46">
        <v>0.161</v>
      </c>
      <c r="H46" t="s">
        <v>1494</v>
      </c>
      <c r="I46">
        <v>25</v>
      </c>
      <c r="J46" t="s">
        <v>1490</v>
      </c>
    </row>
    <row r="47" spans="1:10">
      <c r="A47" s="110">
        <v>343873</v>
      </c>
      <c r="B47" s="110" t="s">
        <v>1659</v>
      </c>
      <c r="C47">
        <v>87</v>
      </c>
      <c r="D47">
        <v>35</v>
      </c>
      <c r="E47">
        <v>53</v>
      </c>
      <c r="F47" t="s">
        <v>1492</v>
      </c>
      <c r="G47">
        <v>0.161</v>
      </c>
      <c r="H47" t="s">
        <v>1494</v>
      </c>
      <c r="I47">
        <v>26.875</v>
      </c>
      <c r="J47" t="s">
        <v>1490</v>
      </c>
    </row>
    <row r="48" spans="1:10">
      <c r="A48" s="110">
        <v>343876</v>
      </c>
      <c r="B48" s="110" t="s">
        <v>1660</v>
      </c>
      <c r="C48">
        <v>17</v>
      </c>
      <c r="D48">
        <v>53</v>
      </c>
      <c r="E48">
        <v>179</v>
      </c>
      <c r="F48" t="s">
        <v>1492</v>
      </c>
      <c r="G48">
        <v>0.161</v>
      </c>
      <c r="H48" t="s">
        <v>1494</v>
      </c>
      <c r="I48">
        <v>25.3</v>
      </c>
      <c r="J48" t="s">
        <v>1490</v>
      </c>
    </row>
    <row r="49" spans="1:10">
      <c r="A49" s="110">
        <v>343877</v>
      </c>
      <c r="B49" s="110" t="s">
        <v>1661</v>
      </c>
      <c r="C49">
        <v>50</v>
      </c>
      <c r="D49">
        <v>55</v>
      </c>
      <c r="E49">
        <v>130</v>
      </c>
      <c r="F49" t="s">
        <v>1492</v>
      </c>
      <c r="G49">
        <v>0.35799999999999998</v>
      </c>
      <c r="H49" t="s">
        <v>1494</v>
      </c>
      <c r="I49">
        <v>17.600000000000001</v>
      </c>
      <c r="J49" t="s">
        <v>1490</v>
      </c>
    </row>
    <row r="50" spans="1:10">
      <c r="A50" s="110">
        <v>343878</v>
      </c>
      <c r="B50" s="110" t="s">
        <v>1662</v>
      </c>
      <c r="C50">
        <v>52</v>
      </c>
      <c r="D50">
        <v>179</v>
      </c>
      <c r="E50">
        <v>18</v>
      </c>
      <c r="F50" t="s">
        <v>1492</v>
      </c>
      <c r="G50">
        <v>0.16800000000000001</v>
      </c>
      <c r="H50" t="s">
        <v>1494</v>
      </c>
      <c r="I50">
        <v>23.8</v>
      </c>
      <c r="J50" t="s">
        <v>1490</v>
      </c>
    </row>
    <row r="51" spans="1:10">
      <c r="A51" s="110">
        <v>343879</v>
      </c>
      <c r="B51" s="110" t="s">
        <v>468</v>
      </c>
      <c r="C51">
        <v>47</v>
      </c>
      <c r="D51">
        <v>36.4</v>
      </c>
      <c r="E51">
        <v>52</v>
      </c>
      <c r="F51" t="s">
        <v>1492</v>
      </c>
      <c r="G51">
        <v>8.8999999999999996E-2</v>
      </c>
      <c r="H51" t="s">
        <v>1494</v>
      </c>
      <c r="I51">
        <v>6.7</v>
      </c>
      <c r="J51" t="s">
        <v>1490</v>
      </c>
    </row>
    <row r="52" spans="1:10">
      <c r="A52" s="110">
        <v>343880</v>
      </c>
      <c r="B52" s="110" t="s">
        <v>1941</v>
      </c>
      <c r="C52">
        <v>101</v>
      </c>
      <c r="D52">
        <v>48</v>
      </c>
      <c r="E52">
        <v>28</v>
      </c>
      <c r="F52" t="s">
        <v>1492</v>
      </c>
      <c r="G52">
        <v>0.13600000000000001</v>
      </c>
      <c r="H52" t="s">
        <v>1494</v>
      </c>
      <c r="I52">
        <v>23</v>
      </c>
      <c r="J52" t="s">
        <v>1490</v>
      </c>
    </row>
    <row r="53" spans="1:10">
      <c r="A53" s="110">
        <v>343881</v>
      </c>
      <c r="B53" s="110" t="s">
        <v>1942</v>
      </c>
      <c r="C53">
        <v>101</v>
      </c>
      <c r="D53">
        <v>48</v>
      </c>
      <c r="E53">
        <v>28</v>
      </c>
      <c r="F53" t="s">
        <v>1492</v>
      </c>
      <c r="G53">
        <v>0.13600000000000001</v>
      </c>
      <c r="H53" t="s">
        <v>1494</v>
      </c>
      <c r="I53">
        <v>23</v>
      </c>
      <c r="J53" t="s">
        <v>1490</v>
      </c>
    </row>
    <row r="54" spans="1:10">
      <c r="A54" s="110">
        <v>343900</v>
      </c>
      <c r="B54" s="110" t="s">
        <v>1664</v>
      </c>
      <c r="C54">
        <v>50.6</v>
      </c>
      <c r="D54">
        <v>56.7</v>
      </c>
      <c r="E54">
        <v>3.4</v>
      </c>
      <c r="F54" t="s">
        <v>1492</v>
      </c>
      <c r="G54">
        <v>0.01</v>
      </c>
      <c r="H54" t="s">
        <v>1494</v>
      </c>
      <c r="I54">
        <v>0.34799999999999998</v>
      </c>
      <c r="J54" t="s">
        <v>1490</v>
      </c>
    </row>
    <row r="55" spans="1:10">
      <c r="A55" s="110">
        <v>343901</v>
      </c>
      <c r="B55" s="110" t="s">
        <v>1665</v>
      </c>
      <c r="C55">
        <v>50.6</v>
      </c>
      <c r="D55">
        <v>76.7</v>
      </c>
      <c r="E55">
        <v>3.4</v>
      </c>
      <c r="F55" t="s">
        <v>1492</v>
      </c>
      <c r="G55">
        <v>1.2999999999999999E-2</v>
      </c>
      <c r="H55" t="s">
        <v>1494</v>
      </c>
      <c r="I55">
        <v>0.47</v>
      </c>
      <c r="J55" t="s">
        <v>1490</v>
      </c>
    </row>
    <row r="56" spans="1:10">
      <c r="A56" s="110">
        <v>343910</v>
      </c>
      <c r="B56" s="110" t="s">
        <v>469</v>
      </c>
      <c r="C56">
        <v>7</v>
      </c>
      <c r="D56">
        <v>5</v>
      </c>
      <c r="E56">
        <v>11</v>
      </c>
      <c r="F56" t="s">
        <v>1492</v>
      </c>
      <c r="G56">
        <v>0.38500000000000001</v>
      </c>
      <c r="H56" t="s">
        <v>1495</v>
      </c>
      <c r="I56">
        <v>0.11</v>
      </c>
      <c r="J56" t="s">
        <v>1490</v>
      </c>
    </row>
    <row r="57" spans="1:10">
      <c r="A57" s="110">
        <v>343911</v>
      </c>
      <c r="B57" s="110" t="s">
        <v>1483</v>
      </c>
      <c r="C57">
        <v>10</v>
      </c>
      <c r="D57">
        <v>1.2</v>
      </c>
      <c r="E57">
        <v>13</v>
      </c>
      <c r="F57" t="s">
        <v>1492</v>
      </c>
      <c r="G57">
        <v>0.156</v>
      </c>
      <c r="H57" t="s">
        <v>1495</v>
      </c>
      <c r="I57">
        <v>0.09</v>
      </c>
      <c r="J57" t="s">
        <v>1490</v>
      </c>
    </row>
    <row r="58" spans="1:10">
      <c r="A58" s="110">
        <v>343912</v>
      </c>
      <c r="B58" s="110" t="s">
        <v>1484</v>
      </c>
      <c r="C58">
        <v>61</v>
      </c>
      <c r="D58">
        <v>6</v>
      </c>
      <c r="E58">
        <v>3.5</v>
      </c>
      <c r="F58" t="s">
        <v>1492</v>
      </c>
      <c r="G58">
        <v>1.2809999999999999</v>
      </c>
      <c r="H58" t="s">
        <v>1495</v>
      </c>
      <c r="I58">
        <v>0.35</v>
      </c>
      <c r="J58" t="s">
        <v>1490</v>
      </c>
    </row>
    <row r="59" spans="1:10">
      <c r="A59" s="110">
        <v>343913</v>
      </c>
      <c r="B59" s="110" t="s">
        <v>1485</v>
      </c>
      <c r="C59">
        <v>101</v>
      </c>
      <c r="D59">
        <v>6</v>
      </c>
      <c r="E59">
        <v>3.5</v>
      </c>
      <c r="F59" t="s">
        <v>1492</v>
      </c>
      <c r="G59">
        <v>2.121</v>
      </c>
      <c r="H59" t="s">
        <v>1495</v>
      </c>
      <c r="I59">
        <v>0.4</v>
      </c>
      <c r="J59" t="s">
        <v>1490</v>
      </c>
    </row>
    <row r="60" spans="1:10">
      <c r="A60" s="110">
        <v>343914</v>
      </c>
      <c r="B60" s="110" t="s">
        <v>1486</v>
      </c>
      <c r="C60">
        <v>11</v>
      </c>
      <c r="D60">
        <v>12</v>
      </c>
      <c r="E60">
        <v>22</v>
      </c>
      <c r="F60" t="s">
        <v>1492</v>
      </c>
      <c r="G60">
        <v>2.9039999999999999</v>
      </c>
      <c r="H60" t="s">
        <v>1495</v>
      </c>
      <c r="I60">
        <v>0.25</v>
      </c>
      <c r="J60" t="s">
        <v>1490</v>
      </c>
    </row>
    <row r="61" spans="1:10">
      <c r="A61" s="110">
        <v>343915</v>
      </c>
      <c r="B61" s="110" t="s">
        <v>1969</v>
      </c>
      <c r="C61">
        <v>31.2</v>
      </c>
      <c r="D61">
        <v>26.3</v>
      </c>
      <c r="E61">
        <v>16</v>
      </c>
      <c r="F61" t="s">
        <v>1492</v>
      </c>
      <c r="G61">
        <v>13.129</v>
      </c>
      <c r="H61" t="s">
        <v>1495</v>
      </c>
      <c r="I61">
        <v>0.72</v>
      </c>
      <c r="J61" t="s">
        <v>1490</v>
      </c>
    </row>
    <row r="62" spans="1:10">
      <c r="A62" s="110">
        <v>343916</v>
      </c>
      <c r="B62" s="110" t="s">
        <v>1970</v>
      </c>
      <c r="C62">
        <v>31</v>
      </c>
      <c r="D62">
        <v>26</v>
      </c>
      <c r="E62">
        <v>16</v>
      </c>
      <c r="F62" t="s">
        <v>1492</v>
      </c>
      <c r="G62">
        <v>0.129</v>
      </c>
      <c r="H62" t="s">
        <v>1497</v>
      </c>
      <c r="I62">
        <v>1.17</v>
      </c>
      <c r="J62" t="s">
        <v>1490</v>
      </c>
    </row>
    <row r="63" spans="1:10">
      <c r="A63" s="110">
        <v>343917</v>
      </c>
      <c r="B63" s="110" t="s">
        <v>1971</v>
      </c>
      <c r="C63">
        <v>36</v>
      </c>
      <c r="D63">
        <v>28.5</v>
      </c>
      <c r="E63">
        <v>19</v>
      </c>
      <c r="F63" t="s">
        <v>1492</v>
      </c>
      <c r="G63">
        <v>0.19500000000000001</v>
      </c>
      <c r="H63" t="s">
        <v>1497</v>
      </c>
      <c r="I63">
        <v>0.75</v>
      </c>
      <c r="J63" t="s">
        <v>1490</v>
      </c>
    </row>
    <row r="64" spans="1:10">
      <c r="A64" s="110">
        <v>345751</v>
      </c>
      <c r="B64" s="110" t="s">
        <v>1120</v>
      </c>
      <c r="C64">
        <v>63</v>
      </c>
      <c r="D64">
        <v>4</v>
      </c>
      <c r="E64">
        <v>0.1</v>
      </c>
      <c r="F64" t="s">
        <v>1492</v>
      </c>
      <c r="G64">
        <v>0</v>
      </c>
      <c r="H64" t="s">
        <v>1494</v>
      </c>
      <c r="I64">
        <v>0.05</v>
      </c>
      <c r="J64" t="s">
        <v>1490</v>
      </c>
    </row>
    <row r="65" spans="1:10">
      <c r="A65" s="110">
        <v>345754</v>
      </c>
      <c r="B65" s="110" t="s">
        <v>950</v>
      </c>
      <c r="C65">
        <v>4</v>
      </c>
      <c r="D65">
        <v>63</v>
      </c>
      <c r="E65">
        <v>0.1</v>
      </c>
      <c r="F65" t="s">
        <v>1492</v>
      </c>
      <c r="G65">
        <v>0</v>
      </c>
      <c r="H65" t="s">
        <v>1494</v>
      </c>
      <c r="I65">
        <v>0.05</v>
      </c>
      <c r="J65" t="s">
        <v>1490</v>
      </c>
    </row>
    <row r="66" spans="1:10">
      <c r="A66" s="110">
        <v>345760</v>
      </c>
      <c r="B66" s="110" t="s">
        <v>470</v>
      </c>
      <c r="C66">
        <v>26</v>
      </c>
      <c r="D66">
        <v>27</v>
      </c>
      <c r="E66">
        <v>14</v>
      </c>
      <c r="F66" t="s">
        <v>1492</v>
      </c>
      <c r="G66">
        <v>0.01</v>
      </c>
      <c r="H66" t="s">
        <v>1494</v>
      </c>
      <c r="I66">
        <v>0.51600000000000001</v>
      </c>
      <c r="J66" t="s">
        <v>1490</v>
      </c>
    </row>
    <row r="67" spans="1:10">
      <c r="A67" s="110">
        <v>345761</v>
      </c>
      <c r="B67" s="110" t="s">
        <v>1122</v>
      </c>
      <c r="C67">
        <v>26</v>
      </c>
      <c r="D67">
        <v>27</v>
      </c>
      <c r="E67">
        <v>14</v>
      </c>
      <c r="F67" t="s">
        <v>1492</v>
      </c>
      <c r="G67">
        <v>0.01</v>
      </c>
      <c r="H67" t="s">
        <v>1494</v>
      </c>
      <c r="I67">
        <v>0.51600000000000001</v>
      </c>
      <c r="J67" t="s">
        <v>1490</v>
      </c>
    </row>
    <row r="68" spans="1:10">
      <c r="A68" s="110">
        <v>345762</v>
      </c>
      <c r="B68" s="110" t="s">
        <v>1123</v>
      </c>
      <c r="C68">
        <v>26</v>
      </c>
      <c r="D68">
        <v>27</v>
      </c>
      <c r="E68">
        <v>14</v>
      </c>
      <c r="F68" t="s">
        <v>1492</v>
      </c>
      <c r="G68">
        <v>0.01</v>
      </c>
      <c r="H68" t="s">
        <v>1494</v>
      </c>
      <c r="I68">
        <v>0.51600000000000001</v>
      </c>
      <c r="J68" t="s">
        <v>1490</v>
      </c>
    </row>
    <row r="69" spans="1:10">
      <c r="A69" s="110">
        <v>345763</v>
      </c>
      <c r="B69" s="110" t="s">
        <v>300</v>
      </c>
      <c r="C69">
        <v>26</v>
      </c>
      <c r="D69">
        <v>27</v>
      </c>
      <c r="E69">
        <v>14</v>
      </c>
      <c r="F69" t="s">
        <v>1492</v>
      </c>
      <c r="G69">
        <v>0.01</v>
      </c>
      <c r="H69" t="s">
        <v>1494</v>
      </c>
      <c r="I69">
        <v>0.51600000000000001</v>
      </c>
      <c r="J69" t="s">
        <v>1490</v>
      </c>
    </row>
    <row r="70" spans="1:10">
      <c r="A70" s="110">
        <v>345764</v>
      </c>
      <c r="B70" s="110" t="s">
        <v>1125</v>
      </c>
      <c r="C70">
        <v>26</v>
      </c>
      <c r="D70">
        <v>27</v>
      </c>
      <c r="E70">
        <v>14</v>
      </c>
      <c r="F70" t="s">
        <v>1492</v>
      </c>
      <c r="G70">
        <v>0.01</v>
      </c>
      <c r="H70" t="s">
        <v>1494</v>
      </c>
      <c r="I70">
        <v>0.51600000000000001</v>
      </c>
      <c r="J70" t="s">
        <v>1490</v>
      </c>
    </row>
    <row r="71" spans="1:10">
      <c r="A71" s="110">
        <v>345765</v>
      </c>
      <c r="B71" s="110" t="s">
        <v>1447</v>
      </c>
      <c r="C71">
        <v>63</v>
      </c>
      <c r="D71">
        <v>4</v>
      </c>
      <c r="E71">
        <v>0.1</v>
      </c>
      <c r="F71" t="s">
        <v>1492</v>
      </c>
      <c r="G71">
        <v>25.2</v>
      </c>
      <c r="H71" t="s">
        <v>1491</v>
      </c>
      <c r="I71">
        <v>4.2999999999999997E-2</v>
      </c>
      <c r="J71" t="s">
        <v>1490</v>
      </c>
    </row>
    <row r="72" spans="1:10">
      <c r="A72" s="110">
        <v>345767</v>
      </c>
      <c r="B72" s="110" t="s">
        <v>1176</v>
      </c>
      <c r="C72">
        <v>63</v>
      </c>
      <c r="D72">
        <v>4</v>
      </c>
      <c r="E72">
        <v>0.1</v>
      </c>
      <c r="F72" t="s">
        <v>1492</v>
      </c>
      <c r="G72">
        <v>25.2</v>
      </c>
      <c r="H72" t="s">
        <v>1491</v>
      </c>
      <c r="I72">
        <v>0.05</v>
      </c>
      <c r="J72" t="s">
        <v>1490</v>
      </c>
    </row>
    <row r="73" spans="1:10">
      <c r="A73" s="110">
        <v>345770</v>
      </c>
      <c r="B73" s="110" t="s">
        <v>301</v>
      </c>
      <c r="C73">
        <v>65</v>
      </c>
      <c r="D73">
        <v>3</v>
      </c>
      <c r="E73">
        <v>1</v>
      </c>
      <c r="F73" t="s">
        <v>1492</v>
      </c>
      <c r="G73">
        <v>0</v>
      </c>
      <c r="H73" t="s">
        <v>1494</v>
      </c>
      <c r="I73">
        <v>0.08</v>
      </c>
      <c r="J73" t="s">
        <v>1490</v>
      </c>
    </row>
    <row r="74" spans="1:10">
      <c r="A74" s="110">
        <v>345771</v>
      </c>
      <c r="B74" s="110" t="s">
        <v>1667</v>
      </c>
      <c r="C74">
        <v>65</v>
      </c>
      <c r="D74">
        <v>3</v>
      </c>
      <c r="E74">
        <v>1</v>
      </c>
      <c r="F74" t="s">
        <v>1492</v>
      </c>
      <c r="G74">
        <v>0</v>
      </c>
      <c r="H74" t="s">
        <v>1494</v>
      </c>
      <c r="I74">
        <v>0.09</v>
      </c>
      <c r="J74" t="s">
        <v>1490</v>
      </c>
    </row>
    <row r="75" spans="1:10">
      <c r="A75" s="110">
        <v>345772</v>
      </c>
      <c r="B75" s="110" t="s">
        <v>1668</v>
      </c>
      <c r="C75">
        <v>65</v>
      </c>
      <c r="D75">
        <v>4</v>
      </c>
      <c r="E75">
        <v>1</v>
      </c>
      <c r="F75" t="s">
        <v>1492</v>
      </c>
      <c r="G75">
        <v>0</v>
      </c>
      <c r="H75" t="s">
        <v>1494</v>
      </c>
      <c r="I75">
        <v>0.09</v>
      </c>
      <c r="J75" t="s">
        <v>1490</v>
      </c>
    </row>
    <row r="76" spans="1:10">
      <c r="A76" s="110">
        <v>345875</v>
      </c>
      <c r="B76" s="110" t="s">
        <v>1136</v>
      </c>
      <c r="C76">
        <v>63</v>
      </c>
      <c r="D76">
        <v>300</v>
      </c>
      <c r="E76">
        <v>3.8</v>
      </c>
      <c r="F76" t="s">
        <v>1492</v>
      </c>
      <c r="G76">
        <v>0.71799999999999997</v>
      </c>
      <c r="H76" t="s">
        <v>1497</v>
      </c>
      <c r="I76">
        <v>48</v>
      </c>
      <c r="J76" t="s">
        <v>1490</v>
      </c>
    </row>
    <row r="77" spans="1:10">
      <c r="A77" s="110">
        <v>345880</v>
      </c>
      <c r="B77" s="110" t="s">
        <v>547</v>
      </c>
      <c r="C77">
        <v>63</v>
      </c>
      <c r="D77">
        <v>60</v>
      </c>
      <c r="E77">
        <v>0.9</v>
      </c>
      <c r="F77" t="s">
        <v>1492</v>
      </c>
      <c r="G77">
        <v>3.4000000000000002E-2</v>
      </c>
      <c r="H77" t="s">
        <v>1497</v>
      </c>
      <c r="I77">
        <v>2.8</v>
      </c>
      <c r="J77" t="s">
        <v>1490</v>
      </c>
    </row>
    <row r="78" spans="1:10">
      <c r="A78" s="110">
        <v>345883</v>
      </c>
      <c r="B78" s="110" t="s">
        <v>1137</v>
      </c>
      <c r="C78">
        <v>63</v>
      </c>
      <c r="D78">
        <v>300</v>
      </c>
      <c r="E78">
        <v>0.9</v>
      </c>
      <c r="F78" t="s">
        <v>1492</v>
      </c>
      <c r="G78">
        <v>1.7000000000000001E-2</v>
      </c>
      <c r="H78" t="s">
        <v>1494</v>
      </c>
      <c r="I78">
        <v>5.12</v>
      </c>
      <c r="J78" t="s">
        <v>1490</v>
      </c>
    </row>
    <row r="79" spans="1:10">
      <c r="A79" s="110">
        <v>345885</v>
      </c>
      <c r="B79" s="110" t="s">
        <v>1138</v>
      </c>
      <c r="C79">
        <v>260</v>
      </c>
      <c r="D79">
        <v>63</v>
      </c>
      <c r="E79">
        <v>0.9</v>
      </c>
      <c r="F79" t="s">
        <v>1492</v>
      </c>
      <c r="G79">
        <v>0.14699999999999999</v>
      </c>
      <c r="H79" t="s">
        <v>1494</v>
      </c>
      <c r="I79">
        <v>25</v>
      </c>
      <c r="J79" t="s">
        <v>1490</v>
      </c>
    </row>
    <row r="80" spans="1:10">
      <c r="A80" s="110">
        <v>345886</v>
      </c>
      <c r="B80" s="110" t="s">
        <v>1392</v>
      </c>
      <c r="C80">
        <v>260</v>
      </c>
      <c r="D80">
        <v>63</v>
      </c>
      <c r="E80">
        <v>0.9</v>
      </c>
      <c r="F80" t="s">
        <v>1492</v>
      </c>
      <c r="G80">
        <v>1.4999999999999999E-2</v>
      </c>
      <c r="H80" t="s">
        <v>1494</v>
      </c>
      <c r="I80">
        <v>25</v>
      </c>
      <c r="J80" t="s">
        <v>1490</v>
      </c>
    </row>
    <row r="81" spans="1:10">
      <c r="A81" s="110">
        <v>345887</v>
      </c>
      <c r="B81" s="110" t="s">
        <v>548</v>
      </c>
      <c r="C81">
        <v>300</v>
      </c>
      <c r="D81">
        <v>63</v>
      </c>
      <c r="E81">
        <v>0.95</v>
      </c>
      <c r="F81" t="s">
        <v>1492</v>
      </c>
      <c r="G81">
        <v>1.7999999999999999E-2</v>
      </c>
      <c r="H81" t="s">
        <v>1494</v>
      </c>
      <c r="I81">
        <v>13</v>
      </c>
      <c r="J81" t="s">
        <v>1490</v>
      </c>
    </row>
    <row r="82" spans="1:10">
      <c r="A82" s="110">
        <v>345905</v>
      </c>
      <c r="B82" s="110" t="s">
        <v>549</v>
      </c>
      <c r="C82">
        <v>185</v>
      </c>
      <c r="D82">
        <v>63</v>
      </c>
      <c r="E82">
        <v>2.8</v>
      </c>
      <c r="F82" t="s">
        <v>1492</v>
      </c>
      <c r="G82">
        <v>3.3000000000000002E-2</v>
      </c>
      <c r="H82" t="s">
        <v>1494</v>
      </c>
      <c r="I82">
        <v>24</v>
      </c>
      <c r="J82" t="s">
        <v>1490</v>
      </c>
    </row>
    <row r="83" spans="1:10">
      <c r="A83" s="110">
        <v>345920</v>
      </c>
      <c r="B83" s="110" t="s">
        <v>1393</v>
      </c>
      <c r="C83">
        <v>260</v>
      </c>
      <c r="D83">
        <v>63</v>
      </c>
      <c r="E83">
        <v>2.8</v>
      </c>
      <c r="F83" t="s">
        <v>1492</v>
      </c>
      <c r="G83">
        <v>4.5999999999999999E-2</v>
      </c>
      <c r="H83" t="s">
        <v>1494</v>
      </c>
      <c r="I83">
        <v>35.200000000000003</v>
      </c>
      <c r="J83" t="s">
        <v>1490</v>
      </c>
    </row>
    <row r="84" spans="1:10">
      <c r="A84" s="110">
        <v>345921</v>
      </c>
      <c r="B84" s="110" t="s">
        <v>1394</v>
      </c>
      <c r="C84">
        <v>260</v>
      </c>
      <c r="D84">
        <v>63</v>
      </c>
      <c r="E84">
        <v>2.8</v>
      </c>
      <c r="F84" t="s">
        <v>1492</v>
      </c>
      <c r="G84">
        <v>1.4999999999999999E-2</v>
      </c>
      <c r="H84" t="s">
        <v>1494</v>
      </c>
      <c r="I84">
        <v>25</v>
      </c>
      <c r="J84" t="s">
        <v>1490</v>
      </c>
    </row>
    <row r="85" spans="1:10">
      <c r="A85" s="110">
        <v>345922</v>
      </c>
      <c r="B85" s="110" t="s">
        <v>1395</v>
      </c>
      <c r="C85">
        <v>260</v>
      </c>
      <c r="D85">
        <v>63</v>
      </c>
      <c r="E85">
        <v>2.8</v>
      </c>
      <c r="F85" t="s">
        <v>1492</v>
      </c>
      <c r="G85">
        <v>4.5999999999999999E-2</v>
      </c>
      <c r="H85" t="s">
        <v>1494</v>
      </c>
      <c r="I85">
        <v>25</v>
      </c>
      <c r="J85" t="s">
        <v>1490</v>
      </c>
    </row>
    <row r="86" spans="1:10">
      <c r="A86" s="110">
        <v>345923</v>
      </c>
      <c r="B86" s="110" t="s">
        <v>1396</v>
      </c>
      <c r="C86">
        <v>260</v>
      </c>
      <c r="D86">
        <v>63</v>
      </c>
      <c r="E86">
        <v>2.8</v>
      </c>
      <c r="F86" t="s">
        <v>1492</v>
      </c>
      <c r="G86">
        <v>4.5999999999999999E-2</v>
      </c>
      <c r="H86" t="s">
        <v>1494</v>
      </c>
      <c r="I86">
        <v>25</v>
      </c>
      <c r="J86" t="s">
        <v>1490</v>
      </c>
    </row>
    <row r="87" spans="1:10">
      <c r="A87" s="110">
        <v>345930</v>
      </c>
      <c r="B87" s="110" t="s">
        <v>1421</v>
      </c>
      <c r="C87">
        <v>63</v>
      </c>
      <c r="D87">
        <v>90</v>
      </c>
      <c r="E87">
        <v>1</v>
      </c>
      <c r="F87" t="s">
        <v>1492</v>
      </c>
      <c r="G87">
        <v>6.0000000000000001E-3</v>
      </c>
      <c r="H87" t="s">
        <v>1494</v>
      </c>
      <c r="I87">
        <v>3.37</v>
      </c>
      <c r="J87" t="s">
        <v>1490</v>
      </c>
    </row>
    <row r="88" spans="1:10">
      <c r="A88" s="110">
        <v>345983</v>
      </c>
      <c r="B88" s="110" t="s">
        <v>1397</v>
      </c>
      <c r="C88">
        <v>300</v>
      </c>
      <c r="D88">
        <v>63</v>
      </c>
      <c r="E88">
        <v>3.8</v>
      </c>
      <c r="F88" t="s">
        <v>1492</v>
      </c>
      <c r="G88">
        <v>7.1999999999999995E-2</v>
      </c>
      <c r="H88" t="s">
        <v>1494</v>
      </c>
      <c r="I88">
        <v>53.2</v>
      </c>
      <c r="J88" t="s">
        <v>1490</v>
      </c>
    </row>
    <row r="89" spans="1:10">
      <c r="A89" s="110">
        <v>345986</v>
      </c>
      <c r="B89" s="110" t="s">
        <v>951</v>
      </c>
      <c r="C89">
        <v>63</v>
      </c>
      <c r="D89">
        <v>300</v>
      </c>
      <c r="E89">
        <v>3.8</v>
      </c>
      <c r="F89" t="s">
        <v>1492</v>
      </c>
      <c r="G89">
        <v>7.1999999999999995E-2</v>
      </c>
      <c r="H89" t="s">
        <v>1494</v>
      </c>
      <c r="I89">
        <v>53.2</v>
      </c>
      <c r="J89" t="s">
        <v>1490</v>
      </c>
    </row>
    <row r="90" spans="1:10">
      <c r="A90" s="110">
        <v>345987</v>
      </c>
      <c r="B90" s="110" t="s">
        <v>952</v>
      </c>
      <c r="C90">
        <v>63</v>
      </c>
      <c r="D90">
        <v>300</v>
      </c>
      <c r="E90">
        <v>0.9</v>
      </c>
      <c r="F90" t="s">
        <v>1492</v>
      </c>
      <c r="G90">
        <v>1.7000000000000001E-2</v>
      </c>
      <c r="H90" t="s">
        <v>1494</v>
      </c>
      <c r="I90">
        <v>26</v>
      </c>
      <c r="J90" t="s">
        <v>1490</v>
      </c>
    </row>
    <row r="91" spans="1:10">
      <c r="A91" s="110">
        <v>345988</v>
      </c>
      <c r="B91" s="110" t="s">
        <v>1750</v>
      </c>
      <c r="C91">
        <v>300</v>
      </c>
      <c r="D91">
        <v>63</v>
      </c>
      <c r="E91">
        <v>3.8</v>
      </c>
      <c r="F91" t="s">
        <v>1492</v>
      </c>
      <c r="G91">
        <v>7.1999999999999995E-2</v>
      </c>
      <c r="H91" t="s">
        <v>1494</v>
      </c>
      <c r="I91">
        <v>53.2</v>
      </c>
      <c r="J91" t="s">
        <v>1490</v>
      </c>
    </row>
    <row r="92" spans="1:10">
      <c r="A92" s="110">
        <v>345990</v>
      </c>
      <c r="B92" s="110" t="s">
        <v>1419</v>
      </c>
      <c r="C92">
        <v>75</v>
      </c>
      <c r="D92">
        <v>61</v>
      </c>
      <c r="E92">
        <v>1.5</v>
      </c>
      <c r="F92" t="s">
        <v>1492</v>
      </c>
      <c r="G92">
        <v>7.0000000000000001E-3</v>
      </c>
      <c r="H92" t="s">
        <v>1494</v>
      </c>
      <c r="I92">
        <v>5.5</v>
      </c>
      <c r="J92" t="s">
        <v>1490</v>
      </c>
    </row>
    <row r="93" spans="1:10">
      <c r="A93" s="110">
        <v>345991</v>
      </c>
      <c r="B93" s="110" t="s">
        <v>1420</v>
      </c>
      <c r="C93">
        <v>95</v>
      </c>
      <c r="D93">
        <v>71</v>
      </c>
      <c r="E93">
        <v>1.5</v>
      </c>
      <c r="F93" t="s">
        <v>1492</v>
      </c>
      <c r="G93">
        <v>0.01</v>
      </c>
      <c r="H93" t="s">
        <v>1494</v>
      </c>
      <c r="I93">
        <v>8.25</v>
      </c>
      <c r="J93" t="s">
        <v>1490</v>
      </c>
    </row>
    <row r="94" spans="1:10">
      <c r="A94" s="110">
        <v>345992</v>
      </c>
      <c r="B94" s="110" t="s">
        <v>1751</v>
      </c>
      <c r="C94">
        <v>63</v>
      </c>
      <c r="D94">
        <v>4</v>
      </c>
      <c r="E94">
        <v>0.1</v>
      </c>
      <c r="F94" t="s">
        <v>1492</v>
      </c>
      <c r="G94">
        <v>0</v>
      </c>
      <c r="H94" t="s">
        <v>1494</v>
      </c>
      <c r="I94">
        <v>0.05</v>
      </c>
      <c r="J94" t="s">
        <v>1490</v>
      </c>
    </row>
    <row r="95" spans="1:10">
      <c r="A95" s="110">
        <v>345995</v>
      </c>
      <c r="B95" s="110" t="s">
        <v>1422</v>
      </c>
      <c r="C95">
        <v>61</v>
      </c>
      <c r="D95">
        <v>2</v>
      </c>
      <c r="E95">
        <v>74</v>
      </c>
      <c r="F95" t="s">
        <v>1492</v>
      </c>
      <c r="G95">
        <v>8.9999999999999993E-3</v>
      </c>
      <c r="H95" t="s">
        <v>1494</v>
      </c>
      <c r="I95">
        <v>5.5</v>
      </c>
      <c r="J95" t="s">
        <v>1490</v>
      </c>
    </row>
    <row r="96" spans="1:10">
      <c r="A96" s="110">
        <v>345996</v>
      </c>
      <c r="B96" s="110" t="s">
        <v>1423</v>
      </c>
      <c r="C96">
        <v>94</v>
      </c>
      <c r="D96">
        <v>2</v>
      </c>
      <c r="E96">
        <v>71</v>
      </c>
      <c r="F96" t="s">
        <v>1492</v>
      </c>
      <c r="G96">
        <v>1.2999999999999999E-2</v>
      </c>
      <c r="H96" t="s">
        <v>1494</v>
      </c>
      <c r="I96">
        <v>8.1</v>
      </c>
      <c r="J96" t="s">
        <v>1490</v>
      </c>
    </row>
    <row r="97" spans="1:10">
      <c r="A97" s="110">
        <v>345997</v>
      </c>
      <c r="B97" s="110" t="s">
        <v>1424</v>
      </c>
      <c r="C97">
        <v>61</v>
      </c>
      <c r="D97">
        <v>2</v>
      </c>
      <c r="E97">
        <v>74</v>
      </c>
      <c r="F97" t="s">
        <v>1492</v>
      </c>
      <c r="G97">
        <v>8.9999999999999993E-3</v>
      </c>
      <c r="H97" t="s">
        <v>1494</v>
      </c>
      <c r="I97">
        <v>5.5</v>
      </c>
      <c r="J97" t="s">
        <v>1490</v>
      </c>
    </row>
    <row r="98" spans="1:10">
      <c r="A98" s="110">
        <v>345998</v>
      </c>
      <c r="B98" s="110" t="s">
        <v>1425</v>
      </c>
      <c r="C98">
        <v>94</v>
      </c>
      <c r="D98">
        <v>2</v>
      </c>
      <c r="E98">
        <v>71</v>
      </c>
      <c r="F98" t="s">
        <v>1492</v>
      </c>
      <c r="G98">
        <v>1.2999999999999999E-2</v>
      </c>
      <c r="H98" t="s">
        <v>1494</v>
      </c>
      <c r="I98">
        <v>8.1</v>
      </c>
      <c r="J98" t="s">
        <v>1490</v>
      </c>
    </row>
    <row r="99" spans="1:10">
      <c r="A99" s="110">
        <v>346003</v>
      </c>
      <c r="B99" s="110" t="s">
        <v>1448</v>
      </c>
      <c r="C99">
        <v>300</v>
      </c>
      <c r="D99">
        <v>63</v>
      </c>
      <c r="E99">
        <v>3.8</v>
      </c>
      <c r="F99" t="s">
        <v>1492</v>
      </c>
      <c r="G99">
        <v>7.1999999999999995E-2</v>
      </c>
      <c r="H99" t="s">
        <v>1494</v>
      </c>
      <c r="I99">
        <v>41</v>
      </c>
      <c r="J99" t="s">
        <v>1490</v>
      </c>
    </row>
    <row r="100" spans="1:10">
      <c r="A100" s="110">
        <v>346007</v>
      </c>
      <c r="B100" s="110" t="s">
        <v>2007</v>
      </c>
      <c r="C100">
        <v>63</v>
      </c>
      <c r="D100">
        <v>300</v>
      </c>
      <c r="E100">
        <v>3.8</v>
      </c>
      <c r="F100" t="s">
        <v>1492</v>
      </c>
      <c r="G100">
        <v>7.1999999999999995E-2</v>
      </c>
      <c r="H100" t="s">
        <v>1494</v>
      </c>
      <c r="I100">
        <v>53.2</v>
      </c>
      <c r="J100" t="s">
        <v>1490</v>
      </c>
    </row>
    <row r="101" spans="1:10">
      <c r="A101" s="110">
        <v>346009</v>
      </c>
      <c r="B101" s="110" t="s">
        <v>1177</v>
      </c>
      <c r="C101">
        <v>63</v>
      </c>
      <c r="D101">
        <v>300</v>
      </c>
      <c r="E101">
        <v>3.8</v>
      </c>
      <c r="F101" t="s">
        <v>1492</v>
      </c>
      <c r="G101">
        <v>7.1999999999999995E-2</v>
      </c>
      <c r="H101" t="s">
        <v>1494</v>
      </c>
      <c r="I101">
        <v>53.2</v>
      </c>
      <c r="J101" t="s">
        <v>1490</v>
      </c>
    </row>
    <row r="102" spans="1:10">
      <c r="A102" s="110">
        <v>346099</v>
      </c>
      <c r="B102" s="110" t="s">
        <v>1945</v>
      </c>
      <c r="C102">
        <v>63</v>
      </c>
      <c r="D102">
        <v>300</v>
      </c>
      <c r="E102">
        <v>0.9</v>
      </c>
      <c r="F102" t="s">
        <v>1492</v>
      </c>
      <c r="G102">
        <v>1.7000000000000001E-2</v>
      </c>
      <c r="H102" t="s">
        <v>1494</v>
      </c>
      <c r="I102">
        <v>13</v>
      </c>
      <c r="J102" t="s">
        <v>1490</v>
      </c>
    </row>
    <row r="103" spans="1:10">
      <c r="A103" s="110">
        <v>346100</v>
      </c>
      <c r="B103" s="110" t="s">
        <v>1883</v>
      </c>
      <c r="C103">
        <v>300</v>
      </c>
      <c r="D103">
        <v>63</v>
      </c>
      <c r="E103">
        <v>0.9</v>
      </c>
      <c r="F103" t="s">
        <v>1492</v>
      </c>
      <c r="G103">
        <v>1.7000000000000001E-2</v>
      </c>
      <c r="H103" t="s">
        <v>1494</v>
      </c>
      <c r="I103">
        <v>13.6</v>
      </c>
      <c r="J103" t="s">
        <v>1490</v>
      </c>
    </row>
    <row r="104" spans="1:10">
      <c r="A104" s="110">
        <v>346102</v>
      </c>
      <c r="B104" s="110" t="s">
        <v>423</v>
      </c>
      <c r="C104">
        <v>63</v>
      </c>
      <c r="D104">
        <v>300</v>
      </c>
      <c r="E104">
        <v>0.9</v>
      </c>
      <c r="F104" t="s">
        <v>1492</v>
      </c>
      <c r="G104">
        <v>1.7000000000000001E-2</v>
      </c>
      <c r="H104" t="s">
        <v>1494</v>
      </c>
      <c r="I104">
        <v>13.3</v>
      </c>
      <c r="J104" t="s">
        <v>1490</v>
      </c>
    </row>
    <row r="105" spans="1:10">
      <c r="A105" s="110">
        <v>346857</v>
      </c>
      <c r="B105" s="110" t="s">
        <v>596</v>
      </c>
      <c r="C105">
        <v>9</v>
      </c>
      <c r="D105">
        <v>9</v>
      </c>
      <c r="E105">
        <v>62</v>
      </c>
      <c r="F105" t="s">
        <v>1492</v>
      </c>
      <c r="G105">
        <v>5.0000000000000001E-3</v>
      </c>
      <c r="H105" t="s">
        <v>1494</v>
      </c>
      <c r="I105">
        <v>0.47</v>
      </c>
      <c r="J105" t="s">
        <v>1490</v>
      </c>
    </row>
  </sheetData>
  <autoFilter ref="A1:J1"/>
  <phoneticPr fontId="24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L925"/>
  <sheetViews>
    <sheetView workbookViewId="0">
      <selection activeCell="A24" sqref="A24"/>
    </sheetView>
  </sheetViews>
  <sheetFormatPr baseColWidth="10" defaultRowHeight="13.2"/>
  <cols>
    <col min="4" max="4" width="37.33203125" customWidth="1"/>
  </cols>
  <sheetData>
    <row r="1" spans="1:12">
      <c r="A1" t="s">
        <v>1956</v>
      </c>
      <c r="B1" t="s">
        <v>1957</v>
      </c>
      <c r="C1" t="s">
        <v>1958</v>
      </c>
      <c r="D1" t="s">
        <v>1959</v>
      </c>
      <c r="E1" t="s">
        <v>1960</v>
      </c>
      <c r="F1" t="s">
        <v>1961</v>
      </c>
      <c r="G1" t="s">
        <v>573</v>
      </c>
      <c r="H1" t="s">
        <v>574</v>
      </c>
      <c r="I1" t="s">
        <v>1461</v>
      </c>
      <c r="J1" t="s">
        <v>575</v>
      </c>
      <c r="K1" t="s">
        <v>576</v>
      </c>
      <c r="L1" t="s">
        <v>577</v>
      </c>
    </row>
    <row r="2" spans="1:12">
      <c r="A2">
        <v>343658</v>
      </c>
      <c r="B2" t="s">
        <v>1791</v>
      </c>
      <c r="C2" s="145">
        <v>42009</v>
      </c>
      <c r="D2" t="s">
        <v>1175</v>
      </c>
      <c r="E2">
        <v>24000</v>
      </c>
      <c r="F2" t="s">
        <v>578</v>
      </c>
      <c r="G2">
        <v>1</v>
      </c>
      <c r="H2">
        <v>829</v>
      </c>
      <c r="I2">
        <v>7</v>
      </c>
      <c r="J2" t="s">
        <v>579</v>
      </c>
      <c r="K2">
        <v>0</v>
      </c>
    </row>
    <row r="3" spans="1:12">
      <c r="A3">
        <v>343394</v>
      </c>
      <c r="B3" t="s">
        <v>1465</v>
      </c>
      <c r="D3" t="s">
        <v>1778</v>
      </c>
      <c r="E3">
        <v>30806</v>
      </c>
      <c r="F3" t="s">
        <v>578</v>
      </c>
      <c r="G3">
        <v>1</v>
      </c>
      <c r="H3">
        <v>119</v>
      </c>
      <c r="I3">
        <v>3</v>
      </c>
      <c r="J3" t="s">
        <v>580</v>
      </c>
      <c r="K3">
        <v>0</v>
      </c>
    </row>
    <row r="4" spans="1:12">
      <c r="A4">
        <v>343562</v>
      </c>
      <c r="B4" t="s">
        <v>1465</v>
      </c>
      <c r="D4" t="s">
        <v>1824</v>
      </c>
      <c r="E4">
        <v>30807</v>
      </c>
      <c r="F4" t="s">
        <v>578</v>
      </c>
      <c r="G4">
        <v>3</v>
      </c>
      <c r="H4">
        <v>169</v>
      </c>
      <c r="I4">
        <v>4</v>
      </c>
      <c r="J4" t="s">
        <v>580</v>
      </c>
      <c r="K4">
        <v>3</v>
      </c>
      <c r="L4" s="145">
        <v>42061</v>
      </c>
    </row>
    <row r="5" spans="1:12">
      <c r="A5">
        <v>343563</v>
      </c>
      <c r="B5" t="s">
        <v>1791</v>
      </c>
      <c r="C5" s="145">
        <v>42009</v>
      </c>
      <c r="D5" t="s">
        <v>1825</v>
      </c>
      <c r="E5">
        <v>30807</v>
      </c>
      <c r="F5" t="s">
        <v>578</v>
      </c>
      <c r="G5">
        <v>4</v>
      </c>
      <c r="H5">
        <v>250</v>
      </c>
      <c r="I5">
        <v>4</v>
      </c>
      <c r="J5" t="s">
        <v>580</v>
      </c>
      <c r="K5">
        <v>0</v>
      </c>
    </row>
    <row r="6" spans="1:12">
      <c r="A6">
        <v>343595</v>
      </c>
      <c r="B6" t="s">
        <v>1465</v>
      </c>
      <c r="D6" t="s">
        <v>1936</v>
      </c>
      <c r="E6">
        <v>30807</v>
      </c>
      <c r="F6" t="s">
        <v>578</v>
      </c>
      <c r="G6">
        <v>5</v>
      </c>
      <c r="H6">
        <v>229</v>
      </c>
      <c r="I6">
        <v>4</v>
      </c>
      <c r="J6" t="s">
        <v>580</v>
      </c>
      <c r="K6">
        <v>0</v>
      </c>
    </row>
    <row r="7" spans="1:12">
      <c r="A7">
        <v>343392</v>
      </c>
      <c r="B7" t="s">
        <v>1465</v>
      </c>
      <c r="D7" t="s">
        <v>1560</v>
      </c>
      <c r="E7">
        <v>30807</v>
      </c>
      <c r="F7" t="s">
        <v>578</v>
      </c>
      <c r="G7">
        <v>1</v>
      </c>
      <c r="H7">
        <v>82</v>
      </c>
      <c r="I7">
        <v>7</v>
      </c>
      <c r="J7" t="s">
        <v>580</v>
      </c>
      <c r="K7">
        <v>18</v>
      </c>
      <c r="L7" s="145">
        <v>42054</v>
      </c>
    </row>
    <row r="8" spans="1:12">
      <c r="A8">
        <v>343393</v>
      </c>
      <c r="B8" t="s">
        <v>1465</v>
      </c>
      <c r="D8" t="s">
        <v>1561</v>
      </c>
      <c r="E8">
        <v>30807</v>
      </c>
      <c r="F8" t="s">
        <v>578</v>
      </c>
      <c r="G8">
        <v>2</v>
      </c>
      <c r="H8">
        <v>89</v>
      </c>
      <c r="I8">
        <v>3</v>
      </c>
      <c r="J8" t="s">
        <v>580</v>
      </c>
      <c r="K8">
        <v>14</v>
      </c>
      <c r="L8" s="145">
        <v>42054</v>
      </c>
    </row>
    <row r="9" spans="1:12">
      <c r="A9">
        <v>343597</v>
      </c>
      <c r="B9" t="s">
        <v>1791</v>
      </c>
      <c r="C9" s="145">
        <v>42009</v>
      </c>
      <c r="D9" t="s">
        <v>1937</v>
      </c>
      <c r="E9">
        <v>24000</v>
      </c>
      <c r="F9" t="s">
        <v>578</v>
      </c>
      <c r="G9">
        <v>2</v>
      </c>
      <c r="H9">
        <v>142</v>
      </c>
      <c r="I9">
        <v>1</v>
      </c>
      <c r="J9" t="s">
        <v>580</v>
      </c>
      <c r="K9">
        <v>0</v>
      </c>
    </row>
    <row r="10" spans="1:12">
      <c r="A10">
        <v>343591</v>
      </c>
      <c r="B10" t="s">
        <v>1109</v>
      </c>
      <c r="D10" t="s">
        <v>342</v>
      </c>
      <c r="E10">
        <v>17000</v>
      </c>
      <c r="F10" t="s">
        <v>578</v>
      </c>
      <c r="G10">
        <v>1</v>
      </c>
      <c r="H10">
        <v>120</v>
      </c>
      <c r="I10">
        <v>35</v>
      </c>
      <c r="J10" t="s">
        <v>580</v>
      </c>
      <c r="K10">
        <v>0</v>
      </c>
    </row>
    <row r="11" spans="1:12">
      <c r="A11">
        <v>343153</v>
      </c>
      <c r="B11" t="s">
        <v>1465</v>
      </c>
      <c r="D11" t="s">
        <v>310</v>
      </c>
      <c r="E11">
        <v>30305</v>
      </c>
      <c r="F11" t="s">
        <v>578</v>
      </c>
      <c r="G11">
        <v>2</v>
      </c>
      <c r="H11">
        <v>29.5</v>
      </c>
      <c r="I11">
        <v>48</v>
      </c>
      <c r="J11" t="s">
        <v>581</v>
      </c>
      <c r="K11">
        <v>36</v>
      </c>
      <c r="L11" s="145">
        <v>42061</v>
      </c>
    </row>
    <row r="12" spans="1:12">
      <c r="A12">
        <v>343121</v>
      </c>
      <c r="B12" t="s">
        <v>1465</v>
      </c>
      <c r="D12" t="s">
        <v>1012</v>
      </c>
      <c r="E12">
        <v>30405</v>
      </c>
      <c r="F12" t="s">
        <v>578</v>
      </c>
      <c r="G12">
        <v>1</v>
      </c>
      <c r="H12">
        <v>33</v>
      </c>
      <c r="I12">
        <v>94</v>
      </c>
      <c r="J12" t="s">
        <v>581</v>
      </c>
      <c r="K12">
        <v>52</v>
      </c>
      <c r="L12" s="145">
        <v>42054</v>
      </c>
    </row>
    <row r="13" spans="1:12">
      <c r="A13">
        <v>343122</v>
      </c>
      <c r="B13" t="s">
        <v>1465</v>
      </c>
      <c r="D13" t="s">
        <v>1013</v>
      </c>
      <c r="E13">
        <v>30405</v>
      </c>
      <c r="F13" t="s">
        <v>578</v>
      </c>
      <c r="G13">
        <v>2</v>
      </c>
      <c r="H13">
        <v>39.5</v>
      </c>
      <c r="I13">
        <v>168</v>
      </c>
      <c r="J13" t="s">
        <v>581</v>
      </c>
      <c r="K13">
        <v>40</v>
      </c>
      <c r="L13" s="145">
        <v>42054</v>
      </c>
    </row>
    <row r="14" spans="1:12">
      <c r="A14">
        <v>343122</v>
      </c>
      <c r="B14" t="s">
        <v>1465</v>
      </c>
      <c r="D14" t="s">
        <v>1013</v>
      </c>
      <c r="E14">
        <v>30405</v>
      </c>
      <c r="F14" t="s">
        <v>578</v>
      </c>
      <c r="G14">
        <v>3</v>
      </c>
      <c r="H14">
        <v>39.5</v>
      </c>
      <c r="I14">
        <v>168</v>
      </c>
      <c r="J14" t="s">
        <v>581</v>
      </c>
      <c r="K14">
        <v>40</v>
      </c>
      <c r="L14" s="145">
        <v>42054</v>
      </c>
    </row>
    <row r="15" spans="1:12">
      <c r="A15">
        <v>343123</v>
      </c>
      <c r="B15" t="s">
        <v>1465</v>
      </c>
      <c r="D15" t="s">
        <v>1014</v>
      </c>
      <c r="E15">
        <v>30505</v>
      </c>
      <c r="F15" t="s">
        <v>578</v>
      </c>
      <c r="G15">
        <v>1</v>
      </c>
      <c r="H15">
        <v>44.5</v>
      </c>
      <c r="I15">
        <v>90</v>
      </c>
      <c r="J15" t="s">
        <v>581</v>
      </c>
      <c r="K15">
        <v>48</v>
      </c>
      <c r="L15" s="145">
        <v>42054</v>
      </c>
    </row>
    <row r="16" spans="1:12">
      <c r="A16">
        <v>343124</v>
      </c>
      <c r="B16" t="s">
        <v>1465</v>
      </c>
      <c r="D16" t="s">
        <v>1015</v>
      </c>
      <c r="E16">
        <v>30505</v>
      </c>
      <c r="F16" t="s">
        <v>578</v>
      </c>
      <c r="G16">
        <v>2</v>
      </c>
      <c r="H16">
        <v>59</v>
      </c>
      <c r="I16">
        <v>62</v>
      </c>
      <c r="J16" t="s">
        <v>581</v>
      </c>
      <c r="K16">
        <v>16</v>
      </c>
      <c r="L16" s="145">
        <v>42068</v>
      </c>
    </row>
    <row r="17" spans="1:12">
      <c r="A17">
        <v>343125</v>
      </c>
      <c r="B17" t="s">
        <v>1465</v>
      </c>
      <c r="D17" t="s">
        <v>1016</v>
      </c>
      <c r="E17">
        <v>30505</v>
      </c>
      <c r="F17" t="s">
        <v>578</v>
      </c>
      <c r="G17">
        <v>3</v>
      </c>
      <c r="H17">
        <v>61.5</v>
      </c>
      <c r="I17">
        <v>43</v>
      </c>
      <c r="J17" t="s">
        <v>581</v>
      </c>
      <c r="K17">
        <v>8</v>
      </c>
      <c r="L17" s="145">
        <v>42061</v>
      </c>
    </row>
    <row r="18" spans="1:12">
      <c r="A18">
        <v>343157</v>
      </c>
      <c r="B18" t="s">
        <v>1465</v>
      </c>
      <c r="D18" t="s">
        <v>311</v>
      </c>
      <c r="E18">
        <v>30305</v>
      </c>
      <c r="F18" t="s">
        <v>578</v>
      </c>
      <c r="G18">
        <v>1</v>
      </c>
      <c r="H18">
        <v>65.8</v>
      </c>
      <c r="I18">
        <v>35</v>
      </c>
      <c r="J18" t="s">
        <v>581</v>
      </c>
      <c r="K18">
        <v>0</v>
      </c>
    </row>
    <row r="19" spans="1:12">
      <c r="A19">
        <v>343234</v>
      </c>
      <c r="B19" t="s">
        <v>1465</v>
      </c>
      <c r="D19" t="s">
        <v>1450</v>
      </c>
      <c r="E19">
        <v>30504</v>
      </c>
      <c r="F19" t="s">
        <v>578</v>
      </c>
      <c r="G19">
        <v>1</v>
      </c>
      <c r="H19">
        <v>30</v>
      </c>
      <c r="I19">
        <v>77</v>
      </c>
      <c r="J19" t="s">
        <v>581</v>
      </c>
      <c r="K19">
        <v>0</v>
      </c>
    </row>
    <row r="20" spans="1:12">
      <c r="A20">
        <v>343248</v>
      </c>
      <c r="B20" t="s">
        <v>1465</v>
      </c>
      <c r="D20" t="s">
        <v>339</v>
      </c>
      <c r="E20">
        <v>30000</v>
      </c>
      <c r="F20" t="s">
        <v>578</v>
      </c>
      <c r="G20">
        <v>2</v>
      </c>
      <c r="H20">
        <v>29</v>
      </c>
      <c r="I20">
        <v>41</v>
      </c>
      <c r="J20" t="s">
        <v>580</v>
      </c>
      <c r="K20">
        <v>0</v>
      </c>
    </row>
    <row r="21" spans="1:12">
      <c r="A21">
        <v>343127</v>
      </c>
      <c r="B21" t="s">
        <v>1465</v>
      </c>
      <c r="D21" t="s">
        <v>304</v>
      </c>
      <c r="E21">
        <v>30304</v>
      </c>
      <c r="F21" t="s">
        <v>578</v>
      </c>
      <c r="G21">
        <v>1</v>
      </c>
      <c r="H21">
        <v>82.8</v>
      </c>
      <c r="I21">
        <v>36</v>
      </c>
      <c r="J21" t="s">
        <v>581</v>
      </c>
      <c r="K21">
        <v>24</v>
      </c>
      <c r="L21" s="145">
        <v>42061</v>
      </c>
    </row>
    <row r="22" spans="1:12">
      <c r="A22">
        <v>343128</v>
      </c>
      <c r="B22" t="s">
        <v>1465</v>
      </c>
      <c r="D22" t="s">
        <v>305</v>
      </c>
      <c r="E22">
        <v>30404</v>
      </c>
      <c r="F22" t="s">
        <v>578</v>
      </c>
      <c r="G22">
        <v>1</v>
      </c>
      <c r="H22">
        <v>21</v>
      </c>
      <c r="I22">
        <v>73</v>
      </c>
      <c r="J22" t="s">
        <v>581</v>
      </c>
      <c r="K22">
        <v>40</v>
      </c>
      <c r="L22" s="145">
        <v>42054</v>
      </c>
    </row>
    <row r="23" spans="1:12">
      <c r="A23">
        <v>343129</v>
      </c>
      <c r="B23" t="s">
        <v>1465</v>
      </c>
      <c r="D23" t="s">
        <v>306</v>
      </c>
      <c r="E23">
        <v>30404</v>
      </c>
      <c r="F23" t="s">
        <v>578</v>
      </c>
      <c r="G23">
        <v>2</v>
      </c>
      <c r="H23">
        <v>27</v>
      </c>
      <c r="I23">
        <v>65</v>
      </c>
      <c r="J23" t="s">
        <v>581</v>
      </c>
      <c r="K23">
        <v>40</v>
      </c>
      <c r="L23" s="145">
        <v>42068</v>
      </c>
    </row>
    <row r="24" spans="1:12">
      <c r="A24">
        <v>343130</v>
      </c>
      <c r="B24" t="s">
        <v>1465</v>
      </c>
      <c r="D24" t="s">
        <v>307</v>
      </c>
      <c r="E24">
        <v>30404</v>
      </c>
      <c r="F24" t="s">
        <v>578</v>
      </c>
      <c r="G24">
        <v>3</v>
      </c>
      <c r="H24">
        <v>29</v>
      </c>
      <c r="I24">
        <v>74</v>
      </c>
      <c r="J24" t="s">
        <v>581</v>
      </c>
      <c r="K24">
        <v>30</v>
      </c>
      <c r="L24" s="145">
        <v>42068</v>
      </c>
    </row>
    <row r="25" spans="1:12">
      <c r="A25">
        <v>343134</v>
      </c>
      <c r="B25" t="s">
        <v>1465</v>
      </c>
      <c r="D25" t="s">
        <v>309</v>
      </c>
      <c r="E25">
        <v>30504</v>
      </c>
      <c r="F25" t="s">
        <v>578</v>
      </c>
      <c r="G25">
        <v>3</v>
      </c>
      <c r="H25">
        <v>18</v>
      </c>
      <c r="I25">
        <v>56</v>
      </c>
      <c r="J25" t="s">
        <v>581</v>
      </c>
      <c r="K25">
        <v>40</v>
      </c>
      <c r="L25" s="145">
        <v>42061</v>
      </c>
    </row>
    <row r="26" spans="1:12">
      <c r="A26">
        <v>343132</v>
      </c>
      <c r="B26" t="s">
        <v>1465</v>
      </c>
      <c r="D26" t="s">
        <v>308</v>
      </c>
      <c r="E26">
        <v>30504</v>
      </c>
      <c r="F26" t="s">
        <v>578</v>
      </c>
      <c r="G26">
        <v>2</v>
      </c>
      <c r="H26">
        <v>47</v>
      </c>
      <c r="I26">
        <v>20</v>
      </c>
      <c r="J26" t="s">
        <v>581</v>
      </c>
      <c r="K26">
        <v>20</v>
      </c>
      <c r="L26" s="145">
        <v>42061</v>
      </c>
    </row>
    <row r="27" spans="1:12">
      <c r="A27">
        <v>346858</v>
      </c>
      <c r="B27" t="s">
        <v>1465</v>
      </c>
      <c r="D27" t="s">
        <v>1997</v>
      </c>
      <c r="E27">
        <v>30105</v>
      </c>
      <c r="F27" t="s">
        <v>578</v>
      </c>
      <c r="G27">
        <v>3</v>
      </c>
      <c r="H27">
        <v>39</v>
      </c>
      <c r="I27">
        <v>16</v>
      </c>
      <c r="J27" t="s">
        <v>580</v>
      </c>
      <c r="K27">
        <v>0</v>
      </c>
    </row>
    <row r="28" spans="1:12">
      <c r="A28">
        <v>346935</v>
      </c>
      <c r="B28" t="s">
        <v>1465</v>
      </c>
      <c r="D28" t="s">
        <v>1998</v>
      </c>
      <c r="E28">
        <v>30105</v>
      </c>
      <c r="F28" t="s">
        <v>578</v>
      </c>
      <c r="G28">
        <v>4</v>
      </c>
      <c r="H28">
        <v>39</v>
      </c>
      <c r="I28">
        <v>9</v>
      </c>
      <c r="J28" t="s">
        <v>580</v>
      </c>
      <c r="K28">
        <v>0</v>
      </c>
    </row>
    <row r="29" spans="1:12">
      <c r="A29">
        <v>346760</v>
      </c>
      <c r="B29" t="s">
        <v>1465</v>
      </c>
      <c r="D29" t="s">
        <v>1761</v>
      </c>
      <c r="E29">
        <v>30703</v>
      </c>
      <c r="F29" t="s">
        <v>578</v>
      </c>
      <c r="G29">
        <v>1</v>
      </c>
      <c r="H29">
        <v>35</v>
      </c>
      <c r="I29">
        <v>35</v>
      </c>
      <c r="J29" t="s">
        <v>445</v>
      </c>
      <c r="K29">
        <v>0</v>
      </c>
    </row>
    <row r="30" spans="1:12">
      <c r="A30">
        <v>346761</v>
      </c>
      <c r="B30" t="s">
        <v>1465</v>
      </c>
      <c r="D30" t="s">
        <v>1762</v>
      </c>
      <c r="E30">
        <v>30703</v>
      </c>
      <c r="F30" t="s">
        <v>578</v>
      </c>
      <c r="G30">
        <v>2</v>
      </c>
      <c r="H30">
        <v>40</v>
      </c>
      <c r="I30">
        <v>49</v>
      </c>
      <c r="J30" t="s">
        <v>445</v>
      </c>
      <c r="K30">
        <v>0</v>
      </c>
    </row>
    <row r="31" spans="1:12">
      <c r="A31">
        <v>346762</v>
      </c>
      <c r="B31" t="s">
        <v>1465</v>
      </c>
      <c r="D31" t="s">
        <v>1763</v>
      </c>
      <c r="E31">
        <v>30703</v>
      </c>
      <c r="F31" t="s">
        <v>578</v>
      </c>
      <c r="G31">
        <v>3</v>
      </c>
      <c r="H31">
        <v>47</v>
      </c>
      <c r="I31">
        <v>11</v>
      </c>
      <c r="J31" t="s">
        <v>445</v>
      </c>
      <c r="K31">
        <v>0</v>
      </c>
    </row>
    <row r="32" spans="1:12">
      <c r="A32">
        <v>346763</v>
      </c>
      <c r="B32" t="s">
        <v>1465</v>
      </c>
      <c r="D32" t="s">
        <v>1764</v>
      </c>
      <c r="E32">
        <v>30703</v>
      </c>
      <c r="F32" t="s">
        <v>578</v>
      </c>
      <c r="G32">
        <v>4</v>
      </c>
      <c r="H32">
        <v>51</v>
      </c>
      <c r="I32">
        <v>44</v>
      </c>
      <c r="J32" t="s">
        <v>445</v>
      </c>
      <c r="K32">
        <v>0</v>
      </c>
    </row>
    <row r="33" spans="1:12">
      <c r="A33">
        <v>346764</v>
      </c>
      <c r="B33" t="s">
        <v>1465</v>
      </c>
      <c r="D33" t="s">
        <v>1765</v>
      </c>
      <c r="E33">
        <v>30703</v>
      </c>
      <c r="F33" t="s">
        <v>578</v>
      </c>
      <c r="G33">
        <v>5</v>
      </c>
      <c r="H33">
        <v>32</v>
      </c>
      <c r="I33">
        <v>23</v>
      </c>
      <c r="J33" t="s">
        <v>445</v>
      </c>
      <c r="K33">
        <v>0</v>
      </c>
    </row>
    <row r="34" spans="1:12">
      <c r="A34">
        <v>346769</v>
      </c>
      <c r="B34" t="s">
        <v>1465</v>
      </c>
      <c r="D34" t="s">
        <v>1770</v>
      </c>
      <c r="E34">
        <v>30105</v>
      </c>
      <c r="F34" t="s">
        <v>578</v>
      </c>
      <c r="G34">
        <v>2</v>
      </c>
      <c r="H34">
        <v>38</v>
      </c>
      <c r="I34">
        <v>11</v>
      </c>
      <c r="J34" t="s">
        <v>445</v>
      </c>
      <c r="K34">
        <v>0</v>
      </c>
    </row>
    <row r="35" spans="1:12">
      <c r="A35">
        <v>346400</v>
      </c>
      <c r="B35" t="s">
        <v>1465</v>
      </c>
      <c r="D35" t="s">
        <v>2020</v>
      </c>
      <c r="E35">
        <v>30202</v>
      </c>
      <c r="F35" t="s">
        <v>578</v>
      </c>
      <c r="G35">
        <v>1</v>
      </c>
      <c r="H35">
        <v>18</v>
      </c>
      <c r="I35">
        <v>39</v>
      </c>
      <c r="J35" t="s">
        <v>580</v>
      </c>
      <c r="K35">
        <v>30</v>
      </c>
      <c r="L35" s="145">
        <v>42061</v>
      </c>
    </row>
    <row r="36" spans="1:12">
      <c r="A36">
        <v>346401</v>
      </c>
      <c r="B36" t="s">
        <v>1465</v>
      </c>
      <c r="D36" t="s">
        <v>2021</v>
      </c>
      <c r="E36">
        <v>30202</v>
      </c>
      <c r="F36" t="s">
        <v>578</v>
      </c>
      <c r="G36">
        <v>2</v>
      </c>
      <c r="H36">
        <v>23.5</v>
      </c>
      <c r="I36">
        <v>26</v>
      </c>
      <c r="J36" t="s">
        <v>580</v>
      </c>
      <c r="K36">
        <v>0</v>
      </c>
    </row>
    <row r="37" spans="1:12">
      <c r="A37">
        <v>346402</v>
      </c>
      <c r="B37" t="s">
        <v>1465</v>
      </c>
      <c r="D37" t="s">
        <v>2022</v>
      </c>
      <c r="E37">
        <v>30202</v>
      </c>
      <c r="F37" t="s">
        <v>578</v>
      </c>
      <c r="G37">
        <v>3</v>
      </c>
      <c r="H37">
        <v>24.5</v>
      </c>
      <c r="I37">
        <v>41</v>
      </c>
      <c r="J37" t="s">
        <v>580</v>
      </c>
      <c r="K37">
        <v>5</v>
      </c>
      <c r="L37" s="145">
        <v>42061</v>
      </c>
    </row>
    <row r="38" spans="1:12">
      <c r="A38">
        <v>346403</v>
      </c>
      <c r="B38" t="s">
        <v>1465</v>
      </c>
      <c r="D38" t="s">
        <v>2023</v>
      </c>
      <c r="E38">
        <v>30202</v>
      </c>
      <c r="F38" t="s">
        <v>578</v>
      </c>
      <c r="G38">
        <v>4</v>
      </c>
      <c r="H38">
        <v>30</v>
      </c>
      <c r="I38">
        <v>8</v>
      </c>
      <c r="J38" t="s">
        <v>580</v>
      </c>
      <c r="K38">
        <v>5</v>
      </c>
      <c r="L38" s="145">
        <v>42061</v>
      </c>
    </row>
    <row r="39" spans="1:12">
      <c r="A39">
        <v>346404</v>
      </c>
      <c r="B39" t="s">
        <v>1465</v>
      </c>
      <c r="D39" t="s">
        <v>2024</v>
      </c>
      <c r="E39">
        <v>30202</v>
      </c>
      <c r="F39" t="s">
        <v>578</v>
      </c>
      <c r="G39">
        <v>5</v>
      </c>
      <c r="H39">
        <v>19</v>
      </c>
      <c r="I39">
        <v>5</v>
      </c>
      <c r="J39" t="s">
        <v>580</v>
      </c>
      <c r="K39">
        <v>10</v>
      </c>
      <c r="L39" s="145">
        <v>42061</v>
      </c>
    </row>
    <row r="40" spans="1:12">
      <c r="A40">
        <v>346430</v>
      </c>
      <c r="B40" t="s">
        <v>1465</v>
      </c>
      <c r="D40" t="s">
        <v>2034</v>
      </c>
      <c r="E40">
        <v>30203</v>
      </c>
      <c r="F40" t="s">
        <v>578</v>
      </c>
      <c r="G40">
        <v>1</v>
      </c>
      <c r="H40">
        <v>18</v>
      </c>
      <c r="I40">
        <v>53</v>
      </c>
      <c r="J40" t="s">
        <v>580</v>
      </c>
      <c r="K40">
        <v>30</v>
      </c>
      <c r="L40" s="145">
        <v>42061</v>
      </c>
    </row>
    <row r="41" spans="1:12">
      <c r="A41">
        <v>346431</v>
      </c>
      <c r="B41" t="s">
        <v>1465</v>
      </c>
      <c r="D41" t="s">
        <v>1030</v>
      </c>
      <c r="E41">
        <v>30203</v>
      </c>
      <c r="F41" t="s">
        <v>578</v>
      </c>
      <c r="G41">
        <v>2</v>
      </c>
      <c r="H41">
        <v>23.5</v>
      </c>
      <c r="I41">
        <v>33</v>
      </c>
      <c r="J41" t="s">
        <v>580</v>
      </c>
      <c r="K41">
        <v>0</v>
      </c>
    </row>
    <row r="42" spans="1:12">
      <c r="A42">
        <v>346432</v>
      </c>
      <c r="B42" t="s">
        <v>1465</v>
      </c>
      <c r="D42" t="s">
        <v>1031</v>
      </c>
      <c r="E42">
        <v>30203</v>
      </c>
      <c r="F42" t="s">
        <v>578</v>
      </c>
      <c r="G42">
        <v>4</v>
      </c>
      <c r="H42">
        <v>24.5</v>
      </c>
      <c r="I42">
        <v>41</v>
      </c>
      <c r="J42" t="s">
        <v>580</v>
      </c>
      <c r="K42">
        <v>0</v>
      </c>
    </row>
    <row r="43" spans="1:12">
      <c r="A43">
        <v>346433</v>
      </c>
      <c r="B43" t="s">
        <v>1465</v>
      </c>
      <c r="D43" t="s">
        <v>1032</v>
      </c>
      <c r="E43">
        <v>30203</v>
      </c>
      <c r="F43" t="s">
        <v>578</v>
      </c>
      <c r="G43">
        <v>5</v>
      </c>
      <c r="H43">
        <v>30</v>
      </c>
      <c r="I43">
        <v>17</v>
      </c>
      <c r="J43" t="s">
        <v>580</v>
      </c>
      <c r="K43">
        <v>5</v>
      </c>
      <c r="L43" s="145">
        <v>42061</v>
      </c>
    </row>
    <row r="44" spans="1:12">
      <c r="A44">
        <v>346434</v>
      </c>
      <c r="B44" t="s">
        <v>1465</v>
      </c>
      <c r="D44" t="s">
        <v>1033</v>
      </c>
      <c r="E44">
        <v>30203</v>
      </c>
      <c r="F44" t="s">
        <v>578</v>
      </c>
      <c r="G44">
        <v>3</v>
      </c>
      <c r="H44">
        <v>19</v>
      </c>
      <c r="I44">
        <v>18</v>
      </c>
      <c r="J44" t="s">
        <v>580</v>
      </c>
      <c r="K44">
        <v>0</v>
      </c>
    </row>
    <row r="45" spans="1:12">
      <c r="A45">
        <v>346450</v>
      </c>
      <c r="B45" t="s">
        <v>1465</v>
      </c>
      <c r="D45" t="s">
        <v>1258</v>
      </c>
      <c r="E45">
        <v>30302</v>
      </c>
      <c r="F45" t="s">
        <v>578</v>
      </c>
      <c r="G45">
        <v>1</v>
      </c>
      <c r="H45">
        <v>18</v>
      </c>
      <c r="I45">
        <v>32</v>
      </c>
      <c r="J45" t="s">
        <v>580</v>
      </c>
      <c r="K45">
        <v>5</v>
      </c>
      <c r="L45" s="145">
        <v>42061</v>
      </c>
    </row>
    <row r="46" spans="1:12">
      <c r="A46">
        <v>346451</v>
      </c>
      <c r="B46" t="s">
        <v>1465</v>
      </c>
      <c r="D46" t="s">
        <v>1259</v>
      </c>
      <c r="E46">
        <v>30302</v>
      </c>
      <c r="F46" t="s">
        <v>578</v>
      </c>
      <c r="G46">
        <v>2</v>
      </c>
      <c r="H46">
        <v>23.5</v>
      </c>
      <c r="I46">
        <v>12</v>
      </c>
      <c r="J46" t="s">
        <v>580</v>
      </c>
      <c r="K46">
        <v>5</v>
      </c>
      <c r="L46" s="145">
        <v>42061</v>
      </c>
    </row>
    <row r="47" spans="1:12">
      <c r="A47">
        <v>346452</v>
      </c>
      <c r="B47" t="s">
        <v>1465</v>
      </c>
      <c r="D47" t="s">
        <v>1260</v>
      </c>
      <c r="E47">
        <v>30302</v>
      </c>
      <c r="F47" t="s">
        <v>578</v>
      </c>
      <c r="G47">
        <v>3</v>
      </c>
      <c r="H47">
        <v>24.5</v>
      </c>
      <c r="I47">
        <v>36</v>
      </c>
      <c r="J47" t="s">
        <v>580</v>
      </c>
      <c r="K47">
        <v>5</v>
      </c>
      <c r="L47" s="145">
        <v>42061</v>
      </c>
    </row>
    <row r="48" spans="1:12">
      <c r="A48">
        <v>346453</v>
      </c>
      <c r="B48" t="s">
        <v>1465</v>
      </c>
      <c r="D48" t="s">
        <v>1261</v>
      </c>
      <c r="E48">
        <v>30302</v>
      </c>
      <c r="F48" t="s">
        <v>578</v>
      </c>
      <c r="G48">
        <v>4</v>
      </c>
      <c r="H48">
        <v>30</v>
      </c>
      <c r="I48">
        <v>8</v>
      </c>
      <c r="J48" t="s">
        <v>580</v>
      </c>
      <c r="K48">
        <v>0</v>
      </c>
    </row>
    <row r="49" spans="1:12">
      <c r="A49">
        <v>346455</v>
      </c>
      <c r="B49" t="s">
        <v>1465</v>
      </c>
      <c r="D49" t="s">
        <v>1263</v>
      </c>
      <c r="E49">
        <v>30302</v>
      </c>
      <c r="F49" t="s">
        <v>578</v>
      </c>
      <c r="G49">
        <v>5</v>
      </c>
      <c r="H49">
        <v>19</v>
      </c>
      <c r="I49">
        <v>9</v>
      </c>
      <c r="J49" t="s">
        <v>580</v>
      </c>
      <c r="K49">
        <v>5</v>
      </c>
      <c r="L49" s="145">
        <v>42061</v>
      </c>
    </row>
    <row r="50" spans="1:12">
      <c r="A50">
        <v>346470</v>
      </c>
      <c r="B50" t="s">
        <v>1465</v>
      </c>
      <c r="D50" t="s">
        <v>1801</v>
      </c>
      <c r="E50">
        <v>30403</v>
      </c>
      <c r="F50" t="s">
        <v>578</v>
      </c>
      <c r="G50">
        <v>1</v>
      </c>
      <c r="H50">
        <v>15.5</v>
      </c>
      <c r="I50">
        <v>39</v>
      </c>
      <c r="J50" t="s">
        <v>580</v>
      </c>
      <c r="K50">
        <v>30</v>
      </c>
      <c r="L50" s="145">
        <v>42061</v>
      </c>
    </row>
    <row r="51" spans="1:12">
      <c r="A51">
        <v>346471</v>
      </c>
      <c r="B51" t="s">
        <v>1465</v>
      </c>
      <c r="D51" t="s">
        <v>1802</v>
      </c>
      <c r="E51">
        <v>30403</v>
      </c>
      <c r="F51" t="s">
        <v>578</v>
      </c>
      <c r="G51">
        <v>2</v>
      </c>
      <c r="H51">
        <v>23</v>
      </c>
      <c r="I51">
        <v>16</v>
      </c>
      <c r="J51" t="s">
        <v>580</v>
      </c>
      <c r="K51">
        <v>5</v>
      </c>
      <c r="L51" s="145">
        <v>42061</v>
      </c>
    </row>
    <row r="52" spans="1:12">
      <c r="A52">
        <v>346472</v>
      </c>
      <c r="B52" t="s">
        <v>1465</v>
      </c>
      <c r="D52" t="s">
        <v>1803</v>
      </c>
      <c r="E52">
        <v>30403</v>
      </c>
      <c r="F52" t="s">
        <v>578</v>
      </c>
      <c r="G52">
        <v>3</v>
      </c>
      <c r="H52">
        <v>24</v>
      </c>
      <c r="I52">
        <v>32</v>
      </c>
      <c r="J52" t="s">
        <v>580</v>
      </c>
      <c r="K52">
        <v>0</v>
      </c>
    </row>
    <row r="53" spans="1:12">
      <c r="A53">
        <v>346473</v>
      </c>
      <c r="B53" t="s">
        <v>1465</v>
      </c>
      <c r="D53" t="s">
        <v>446</v>
      </c>
      <c r="E53">
        <v>30403</v>
      </c>
      <c r="F53" t="s">
        <v>578</v>
      </c>
      <c r="G53">
        <v>4</v>
      </c>
      <c r="H53">
        <v>29.5</v>
      </c>
      <c r="I53">
        <v>10</v>
      </c>
      <c r="J53" t="s">
        <v>580</v>
      </c>
      <c r="K53">
        <v>0</v>
      </c>
    </row>
    <row r="54" spans="1:12">
      <c r="A54">
        <v>346474</v>
      </c>
      <c r="B54" t="s">
        <v>1465</v>
      </c>
      <c r="D54" t="s">
        <v>1805</v>
      </c>
      <c r="E54">
        <v>30403</v>
      </c>
      <c r="F54" t="s">
        <v>578</v>
      </c>
      <c r="G54">
        <v>5</v>
      </c>
      <c r="H54">
        <v>14.5</v>
      </c>
      <c r="I54">
        <v>22</v>
      </c>
      <c r="J54" t="s">
        <v>580</v>
      </c>
      <c r="K54">
        <v>0</v>
      </c>
    </row>
    <row r="55" spans="1:12">
      <c r="A55">
        <v>346980</v>
      </c>
      <c r="B55" t="s">
        <v>1465</v>
      </c>
      <c r="D55" t="s">
        <v>969</v>
      </c>
      <c r="E55">
        <v>30802</v>
      </c>
      <c r="F55" t="s">
        <v>578</v>
      </c>
      <c r="G55">
        <v>1</v>
      </c>
      <c r="H55">
        <v>27.5</v>
      </c>
      <c r="I55">
        <v>16</v>
      </c>
      <c r="J55" t="s">
        <v>580</v>
      </c>
      <c r="K55">
        <v>0</v>
      </c>
    </row>
    <row r="56" spans="1:12">
      <c r="A56">
        <v>346981</v>
      </c>
      <c r="B56" t="s">
        <v>1465</v>
      </c>
      <c r="D56" t="s">
        <v>970</v>
      </c>
      <c r="E56">
        <v>30802</v>
      </c>
      <c r="F56" t="s">
        <v>578</v>
      </c>
      <c r="G56">
        <v>2</v>
      </c>
      <c r="H56">
        <v>31</v>
      </c>
      <c r="I56">
        <v>9</v>
      </c>
      <c r="J56" t="s">
        <v>580</v>
      </c>
      <c r="K56">
        <v>0</v>
      </c>
    </row>
    <row r="57" spans="1:12">
      <c r="A57">
        <v>346982</v>
      </c>
      <c r="B57" t="s">
        <v>1465</v>
      </c>
      <c r="D57" t="s">
        <v>971</v>
      </c>
      <c r="E57">
        <v>30802</v>
      </c>
      <c r="F57" t="s">
        <v>578</v>
      </c>
      <c r="G57">
        <v>3</v>
      </c>
      <c r="H57">
        <v>35.5</v>
      </c>
      <c r="I57">
        <v>16</v>
      </c>
      <c r="J57" t="s">
        <v>580</v>
      </c>
      <c r="K57">
        <v>0</v>
      </c>
    </row>
    <row r="58" spans="1:12">
      <c r="A58">
        <v>346983</v>
      </c>
      <c r="B58" t="s">
        <v>1465</v>
      </c>
      <c r="D58" t="s">
        <v>972</v>
      </c>
      <c r="E58">
        <v>30802</v>
      </c>
      <c r="F58" t="s">
        <v>578</v>
      </c>
      <c r="G58">
        <v>4</v>
      </c>
      <c r="H58">
        <v>40.5</v>
      </c>
      <c r="I58">
        <v>4</v>
      </c>
      <c r="J58" t="s">
        <v>580</v>
      </c>
      <c r="K58">
        <v>0</v>
      </c>
    </row>
    <row r="59" spans="1:12">
      <c r="A59">
        <v>346984</v>
      </c>
      <c r="B59" t="s">
        <v>1465</v>
      </c>
      <c r="D59" t="s">
        <v>973</v>
      </c>
      <c r="E59">
        <v>30802</v>
      </c>
      <c r="F59" t="s">
        <v>578</v>
      </c>
      <c r="G59">
        <v>5</v>
      </c>
      <c r="H59">
        <v>23</v>
      </c>
      <c r="I59">
        <v>7</v>
      </c>
      <c r="J59" t="s">
        <v>580</v>
      </c>
      <c r="K59">
        <v>0</v>
      </c>
    </row>
    <row r="60" spans="1:12">
      <c r="A60">
        <v>346985</v>
      </c>
      <c r="B60" t="s">
        <v>1465</v>
      </c>
      <c r="D60" t="s">
        <v>447</v>
      </c>
      <c r="E60">
        <v>30107</v>
      </c>
      <c r="F60" t="s">
        <v>578</v>
      </c>
      <c r="G60">
        <v>6</v>
      </c>
      <c r="H60">
        <v>50</v>
      </c>
      <c r="I60">
        <v>8</v>
      </c>
      <c r="J60" t="s">
        <v>580</v>
      </c>
      <c r="K60">
        <v>0</v>
      </c>
    </row>
    <row r="61" spans="1:12">
      <c r="A61">
        <v>346985</v>
      </c>
      <c r="B61" t="s">
        <v>1465</v>
      </c>
      <c r="D61" t="s">
        <v>447</v>
      </c>
      <c r="E61">
        <v>30102</v>
      </c>
      <c r="F61" t="s">
        <v>578</v>
      </c>
      <c r="G61">
        <v>2</v>
      </c>
      <c r="H61">
        <v>50</v>
      </c>
      <c r="I61">
        <v>8</v>
      </c>
      <c r="J61" t="s">
        <v>580</v>
      </c>
      <c r="K61">
        <v>0</v>
      </c>
    </row>
    <row r="62" spans="1:12">
      <c r="A62">
        <v>346446</v>
      </c>
      <c r="B62" t="s">
        <v>1465</v>
      </c>
      <c r="D62" t="s">
        <v>220</v>
      </c>
      <c r="E62">
        <v>30106</v>
      </c>
      <c r="F62" t="s">
        <v>578</v>
      </c>
      <c r="G62">
        <v>1</v>
      </c>
      <c r="H62">
        <v>23</v>
      </c>
      <c r="I62">
        <v>6</v>
      </c>
      <c r="J62" t="s">
        <v>580</v>
      </c>
      <c r="K62">
        <v>2</v>
      </c>
      <c r="L62" s="145">
        <v>42061</v>
      </c>
    </row>
    <row r="63" spans="1:12">
      <c r="A63">
        <v>346415</v>
      </c>
      <c r="B63" t="s">
        <v>1465</v>
      </c>
      <c r="D63" t="s">
        <v>218</v>
      </c>
      <c r="E63">
        <v>30106</v>
      </c>
      <c r="F63" t="s">
        <v>578</v>
      </c>
      <c r="G63">
        <v>2</v>
      </c>
      <c r="H63">
        <v>23</v>
      </c>
      <c r="I63">
        <v>10</v>
      </c>
      <c r="J63" t="s">
        <v>580</v>
      </c>
      <c r="K63">
        <v>0</v>
      </c>
    </row>
    <row r="64" spans="1:12">
      <c r="A64">
        <v>346465</v>
      </c>
      <c r="B64" t="s">
        <v>1465</v>
      </c>
      <c r="D64" t="s">
        <v>221</v>
      </c>
      <c r="E64">
        <v>30106</v>
      </c>
      <c r="F64" t="s">
        <v>578</v>
      </c>
      <c r="G64">
        <v>3</v>
      </c>
      <c r="H64">
        <v>23</v>
      </c>
      <c r="I64">
        <v>6</v>
      </c>
      <c r="J64" t="s">
        <v>580</v>
      </c>
      <c r="K64">
        <v>0</v>
      </c>
    </row>
    <row r="65" spans="1:12">
      <c r="A65">
        <v>346501</v>
      </c>
      <c r="B65" t="s">
        <v>1465</v>
      </c>
      <c r="D65" t="s">
        <v>1398</v>
      </c>
      <c r="E65">
        <v>30702</v>
      </c>
      <c r="F65" t="s">
        <v>578</v>
      </c>
      <c r="G65">
        <v>1</v>
      </c>
      <c r="H65">
        <v>33.5</v>
      </c>
      <c r="I65">
        <v>61</v>
      </c>
      <c r="J65" t="s">
        <v>445</v>
      </c>
      <c r="K65">
        <v>0</v>
      </c>
    </row>
    <row r="66" spans="1:12">
      <c r="A66">
        <v>346999</v>
      </c>
      <c r="B66" t="s">
        <v>1465</v>
      </c>
      <c r="D66" t="s">
        <v>375</v>
      </c>
      <c r="E66">
        <v>30104</v>
      </c>
      <c r="F66" t="s">
        <v>578</v>
      </c>
      <c r="G66">
        <v>4</v>
      </c>
      <c r="H66">
        <v>29</v>
      </c>
      <c r="I66">
        <v>9</v>
      </c>
      <c r="J66" t="s">
        <v>580</v>
      </c>
      <c r="K66">
        <v>0</v>
      </c>
    </row>
    <row r="67" spans="1:12">
      <c r="A67">
        <v>346486</v>
      </c>
      <c r="B67" t="s">
        <v>1465</v>
      </c>
      <c r="D67" t="s">
        <v>329</v>
      </c>
      <c r="E67">
        <v>30104</v>
      </c>
      <c r="F67" t="s">
        <v>578</v>
      </c>
      <c r="G67">
        <v>3</v>
      </c>
      <c r="H67">
        <v>22.5</v>
      </c>
      <c r="I67">
        <v>3</v>
      </c>
      <c r="J67" t="s">
        <v>580</v>
      </c>
      <c r="K67">
        <v>6</v>
      </c>
      <c r="L67" s="145">
        <v>42061</v>
      </c>
    </row>
    <row r="68" spans="1:12">
      <c r="A68">
        <v>346503</v>
      </c>
      <c r="B68" t="s">
        <v>1465</v>
      </c>
      <c r="D68" t="s">
        <v>527</v>
      </c>
      <c r="E68">
        <v>30702</v>
      </c>
      <c r="F68" t="s">
        <v>578</v>
      </c>
      <c r="G68">
        <v>2</v>
      </c>
      <c r="H68">
        <v>38.5</v>
      </c>
      <c r="I68">
        <v>33</v>
      </c>
      <c r="J68" t="s">
        <v>445</v>
      </c>
      <c r="K68">
        <v>0</v>
      </c>
    </row>
    <row r="69" spans="1:12">
      <c r="A69">
        <v>346504</v>
      </c>
      <c r="B69" t="s">
        <v>1465</v>
      </c>
      <c r="D69" t="s">
        <v>528</v>
      </c>
      <c r="E69">
        <v>30702</v>
      </c>
      <c r="F69" t="s">
        <v>578</v>
      </c>
      <c r="G69">
        <v>5</v>
      </c>
      <c r="H69">
        <v>31</v>
      </c>
      <c r="I69">
        <v>10</v>
      </c>
      <c r="J69" t="s">
        <v>445</v>
      </c>
      <c r="K69">
        <v>0</v>
      </c>
    </row>
    <row r="70" spans="1:12">
      <c r="A70">
        <v>346505</v>
      </c>
      <c r="B70" t="s">
        <v>1465</v>
      </c>
      <c r="D70" t="s">
        <v>529</v>
      </c>
      <c r="E70">
        <v>30702</v>
      </c>
      <c r="F70" t="s">
        <v>578</v>
      </c>
      <c r="G70">
        <v>3</v>
      </c>
      <c r="H70">
        <v>43</v>
      </c>
      <c r="I70">
        <v>17</v>
      </c>
      <c r="J70" t="s">
        <v>445</v>
      </c>
      <c r="K70">
        <v>0</v>
      </c>
    </row>
    <row r="71" spans="1:12">
      <c r="A71">
        <v>346506</v>
      </c>
      <c r="B71" t="s">
        <v>1465</v>
      </c>
      <c r="D71" t="s">
        <v>530</v>
      </c>
      <c r="E71">
        <v>30702</v>
      </c>
      <c r="F71" t="s">
        <v>578</v>
      </c>
      <c r="G71">
        <v>4</v>
      </c>
      <c r="H71">
        <v>46.5</v>
      </c>
      <c r="I71">
        <v>9</v>
      </c>
      <c r="J71" t="s">
        <v>445</v>
      </c>
      <c r="K71">
        <v>0</v>
      </c>
    </row>
    <row r="72" spans="1:12">
      <c r="A72">
        <v>346570</v>
      </c>
      <c r="B72" t="s">
        <v>1465</v>
      </c>
      <c r="D72" t="s">
        <v>330</v>
      </c>
      <c r="E72">
        <v>30303</v>
      </c>
      <c r="F72" t="s">
        <v>578</v>
      </c>
      <c r="G72">
        <v>1</v>
      </c>
      <c r="H72">
        <v>18</v>
      </c>
      <c r="I72">
        <v>10</v>
      </c>
      <c r="J72" t="s">
        <v>580</v>
      </c>
      <c r="K72">
        <v>15</v>
      </c>
      <c r="L72" s="145">
        <v>42061</v>
      </c>
    </row>
    <row r="73" spans="1:12">
      <c r="A73">
        <v>346571</v>
      </c>
      <c r="B73" t="s">
        <v>1465</v>
      </c>
      <c r="D73" t="s">
        <v>1221</v>
      </c>
      <c r="E73">
        <v>30303</v>
      </c>
      <c r="F73" t="s">
        <v>578</v>
      </c>
      <c r="G73">
        <v>2</v>
      </c>
      <c r="H73">
        <v>23.5</v>
      </c>
      <c r="I73">
        <v>31</v>
      </c>
      <c r="J73" t="s">
        <v>580</v>
      </c>
      <c r="K73">
        <v>0</v>
      </c>
    </row>
    <row r="74" spans="1:12">
      <c r="A74">
        <v>346572</v>
      </c>
      <c r="B74" t="s">
        <v>1465</v>
      </c>
      <c r="D74" t="s">
        <v>1222</v>
      </c>
      <c r="E74">
        <v>30303</v>
      </c>
      <c r="F74" t="s">
        <v>578</v>
      </c>
      <c r="G74">
        <v>3</v>
      </c>
      <c r="H74">
        <v>24.5</v>
      </c>
      <c r="I74">
        <v>13</v>
      </c>
      <c r="J74" t="s">
        <v>580</v>
      </c>
      <c r="K74">
        <v>15</v>
      </c>
      <c r="L74" s="145">
        <v>42061</v>
      </c>
    </row>
    <row r="75" spans="1:12">
      <c r="A75">
        <v>346573</v>
      </c>
      <c r="B75" t="s">
        <v>1465</v>
      </c>
      <c r="D75" t="s">
        <v>1223</v>
      </c>
      <c r="E75">
        <v>30303</v>
      </c>
      <c r="F75" t="s">
        <v>578</v>
      </c>
      <c r="G75">
        <v>4</v>
      </c>
      <c r="H75">
        <v>30</v>
      </c>
      <c r="I75">
        <v>16</v>
      </c>
      <c r="J75" t="s">
        <v>580</v>
      </c>
      <c r="K75">
        <v>5</v>
      </c>
      <c r="L75" s="145">
        <v>42061</v>
      </c>
    </row>
    <row r="76" spans="1:12">
      <c r="A76">
        <v>346574</v>
      </c>
      <c r="B76" t="s">
        <v>1465</v>
      </c>
      <c r="D76" t="s">
        <v>1224</v>
      </c>
      <c r="E76">
        <v>30303</v>
      </c>
      <c r="F76" t="s">
        <v>578</v>
      </c>
      <c r="G76">
        <v>5</v>
      </c>
      <c r="H76">
        <v>19</v>
      </c>
      <c r="I76">
        <v>5</v>
      </c>
      <c r="J76" t="s">
        <v>580</v>
      </c>
      <c r="K76">
        <v>15</v>
      </c>
      <c r="L76" s="145">
        <v>42061</v>
      </c>
    </row>
    <row r="77" spans="1:12">
      <c r="A77">
        <v>346579</v>
      </c>
      <c r="B77" t="s">
        <v>1465</v>
      </c>
      <c r="D77" t="s">
        <v>2016</v>
      </c>
      <c r="E77">
        <v>30106</v>
      </c>
      <c r="F77" t="s">
        <v>578</v>
      </c>
      <c r="G77">
        <v>4</v>
      </c>
      <c r="H77">
        <v>23</v>
      </c>
      <c r="I77">
        <v>8</v>
      </c>
      <c r="J77" t="s">
        <v>580</v>
      </c>
      <c r="K77">
        <v>0</v>
      </c>
    </row>
    <row r="78" spans="1:12">
      <c r="A78">
        <v>346620</v>
      </c>
      <c r="B78" t="s">
        <v>1465</v>
      </c>
      <c r="D78" t="s">
        <v>1975</v>
      </c>
      <c r="E78">
        <v>30602</v>
      </c>
      <c r="F78" t="s">
        <v>578</v>
      </c>
      <c r="G78">
        <v>1</v>
      </c>
      <c r="H78">
        <v>22</v>
      </c>
      <c r="I78">
        <v>18</v>
      </c>
      <c r="J78" t="s">
        <v>580</v>
      </c>
      <c r="K78">
        <v>0</v>
      </c>
    </row>
    <row r="79" spans="1:12">
      <c r="A79">
        <v>346621</v>
      </c>
      <c r="B79" t="s">
        <v>1465</v>
      </c>
      <c r="D79" t="s">
        <v>1976</v>
      </c>
      <c r="E79">
        <v>30602</v>
      </c>
      <c r="F79" t="s">
        <v>578</v>
      </c>
      <c r="G79">
        <v>2</v>
      </c>
      <c r="H79">
        <v>24.5</v>
      </c>
      <c r="I79">
        <v>1</v>
      </c>
      <c r="J79" t="s">
        <v>580</v>
      </c>
      <c r="K79">
        <v>0</v>
      </c>
    </row>
    <row r="80" spans="1:12">
      <c r="A80">
        <v>346622</v>
      </c>
      <c r="B80" t="s">
        <v>1465</v>
      </c>
      <c r="D80" t="s">
        <v>1977</v>
      </c>
      <c r="E80">
        <v>30602</v>
      </c>
      <c r="F80" t="s">
        <v>578</v>
      </c>
      <c r="G80">
        <v>3</v>
      </c>
      <c r="H80">
        <v>25.5</v>
      </c>
      <c r="I80">
        <v>7</v>
      </c>
      <c r="J80" t="s">
        <v>580</v>
      </c>
      <c r="K80">
        <v>0</v>
      </c>
    </row>
    <row r="81" spans="1:12">
      <c r="A81">
        <v>346623</v>
      </c>
      <c r="B81" t="s">
        <v>1465</v>
      </c>
      <c r="D81" t="s">
        <v>1978</v>
      </c>
      <c r="E81">
        <v>30602</v>
      </c>
      <c r="F81" t="s">
        <v>578</v>
      </c>
      <c r="G81">
        <v>4</v>
      </c>
      <c r="H81">
        <v>31</v>
      </c>
      <c r="I81">
        <v>14</v>
      </c>
      <c r="J81" t="s">
        <v>580</v>
      </c>
      <c r="K81">
        <v>0</v>
      </c>
    </row>
    <row r="82" spans="1:12">
      <c r="A82">
        <v>346624</v>
      </c>
      <c r="B82" t="s">
        <v>1465</v>
      </c>
      <c r="D82" t="s">
        <v>1979</v>
      </c>
      <c r="E82">
        <v>30602</v>
      </c>
      <c r="F82" t="s">
        <v>578</v>
      </c>
      <c r="G82">
        <v>5</v>
      </c>
      <c r="H82">
        <v>19</v>
      </c>
      <c r="I82">
        <v>0</v>
      </c>
      <c r="J82" t="s">
        <v>580</v>
      </c>
      <c r="K82">
        <v>0</v>
      </c>
    </row>
    <row r="83" spans="1:12">
      <c r="A83">
        <v>346630</v>
      </c>
      <c r="B83" t="s">
        <v>1465</v>
      </c>
      <c r="D83" t="s">
        <v>1980</v>
      </c>
      <c r="E83">
        <v>30105</v>
      </c>
      <c r="F83" t="s">
        <v>578</v>
      </c>
      <c r="G83">
        <v>1</v>
      </c>
      <c r="H83">
        <v>25</v>
      </c>
      <c r="I83">
        <v>11</v>
      </c>
      <c r="J83" t="s">
        <v>580</v>
      </c>
      <c r="K83">
        <v>0</v>
      </c>
    </row>
    <row r="84" spans="1:12">
      <c r="A84">
        <v>346920</v>
      </c>
      <c r="B84" t="s">
        <v>1465</v>
      </c>
      <c r="D84" t="s">
        <v>448</v>
      </c>
      <c r="E84">
        <v>30503</v>
      </c>
      <c r="F84" t="s">
        <v>578</v>
      </c>
      <c r="G84">
        <v>1</v>
      </c>
      <c r="H84">
        <v>39.5</v>
      </c>
      <c r="I84">
        <v>27</v>
      </c>
      <c r="J84" t="s">
        <v>580</v>
      </c>
      <c r="K84">
        <v>0</v>
      </c>
    </row>
    <row r="85" spans="1:12">
      <c r="A85">
        <v>346921</v>
      </c>
      <c r="B85" t="s">
        <v>1465</v>
      </c>
      <c r="D85" t="s">
        <v>449</v>
      </c>
      <c r="E85">
        <v>30503</v>
      </c>
      <c r="F85" t="s">
        <v>578</v>
      </c>
      <c r="G85">
        <v>2</v>
      </c>
      <c r="H85">
        <v>43.5</v>
      </c>
      <c r="I85">
        <v>13</v>
      </c>
      <c r="J85" t="s">
        <v>580</v>
      </c>
      <c r="K85">
        <v>0</v>
      </c>
    </row>
    <row r="86" spans="1:12">
      <c r="A86">
        <v>346922</v>
      </c>
      <c r="B86" t="s">
        <v>1465</v>
      </c>
      <c r="D86" t="s">
        <v>450</v>
      </c>
      <c r="E86">
        <v>30503</v>
      </c>
      <c r="F86" t="s">
        <v>578</v>
      </c>
      <c r="G86">
        <v>3</v>
      </c>
      <c r="H86">
        <v>49</v>
      </c>
      <c r="I86">
        <v>19</v>
      </c>
      <c r="J86" t="s">
        <v>580</v>
      </c>
      <c r="K86">
        <v>3</v>
      </c>
      <c r="L86" s="145">
        <v>42061</v>
      </c>
    </row>
    <row r="87" spans="1:12">
      <c r="A87">
        <v>346923</v>
      </c>
      <c r="B87" t="s">
        <v>1465</v>
      </c>
      <c r="D87" t="s">
        <v>451</v>
      </c>
      <c r="E87">
        <v>30503</v>
      </c>
      <c r="F87" t="s">
        <v>578</v>
      </c>
      <c r="G87">
        <v>4</v>
      </c>
      <c r="H87">
        <v>52</v>
      </c>
      <c r="I87">
        <v>11</v>
      </c>
      <c r="J87" t="s">
        <v>580</v>
      </c>
      <c r="K87">
        <v>0</v>
      </c>
    </row>
    <row r="88" spans="1:12">
      <c r="A88">
        <v>346924</v>
      </c>
      <c r="B88" t="s">
        <v>1465</v>
      </c>
      <c r="D88" t="s">
        <v>2001</v>
      </c>
      <c r="E88">
        <v>30503</v>
      </c>
      <c r="F88" t="s">
        <v>578</v>
      </c>
      <c r="G88">
        <v>5</v>
      </c>
      <c r="H88">
        <v>33</v>
      </c>
      <c r="I88">
        <v>4</v>
      </c>
      <c r="J88" t="s">
        <v>580</v>
      </c>
      <c r="K88">
        <v>1</v>
      </c>
      <c r="L88" s="145">
        <v>42061</v>
      </c>
    </row>
    <row r="89" spans="1:12">
      <c r="A89">
        <v>346841</v>
      </c>
      <c r="B89" t="s">
        <v>1465</v>
      </c>
      <c r="D89" t="s">
        <v>2002</v>
      </c>
      <c r="E89">
        <v>30502</v>
      </c>
      <c r="F89" t="s">
        <v>578</v>
      </c>
      <c r="G89">
        <v>1</v>
      </c>
      <c r="H89">
        <v>39.5</v>
      </c>
      <c r="I89">
        <v>21</v>
      </c>
      <c r="J89" t="s">
        <v>580</v>
      </c>
      <c r="K89">
        <v>0</v>
      </c>
    </row>
    <row r="90" spans="1:12">
      <c r="A90">
        <v>346842</v>
      </c>
      <c r="B90" t="s">
        <v>1465</v>
      </c>
      <c r="D90" t="s">
        <v>2003</v>
      </c>
      <c r="E90">
        <v>30502</v>
      </c>
      <c r="F90" t="s">
        <v>578</v>
      </c>
      <c r="G90">
        <v>2</v>
      </c>
      <c r="H90">
        <v>43.5</v>
      </c>
      <c r="I90">
        <v>17</v>
      </c>
      <c r="J90" t="s">
        <v>580</v>
      </c>
      <c r="K90">
        <v>0</v>
      </c>
    </row>
    <row r="91" spans="1:12">
      <c r="A91">
        <v>346843</v>
      </c>
      <c r="B91" t="s">
        <v>1465</v>
      </c>
      <c r="D91" t="s">
        <v>2004</v>
      </c>
      <c r="E91">
        <v>30502</v>
      </c>
      <c r="F91" t="s">
        <v>578</v>
      </c>
      <c r="G91">
        <v>3</v>
      </c>
      <c r="H91">
        <v>49</v>
      </c>
      <c r="I91">
        <v>12</v>
      </c>
      <c r="J91" t="s">
        <v>580</v>
      </c>
      <c r="K91">
        <v>0</v>
      </c>
    </row>
    <row r="92" spans="1:12">
      <c r="A92">
        <v>346844</v>
      </c>
      <c r="B92" t="s">
        <v>1465</v>
      </c>
      <c r="D92" t="s">
        <v>2005</v>
      </c>
      <c r="E92">
        <v>30502</v>
      </c>
      <c r="F92" t="s">
        <v>578</v>
      </c>
      <c r="G92">
        <v>4</v>
      </c>
      <c r="H92">
        <v>52</v>
      </c>
      <c r="I92">
        <v>10</v>
      </c>
      <c r="J92" t="s">
        <v>580</v>
      </c>
      <c r="K92">
        <v>0</v>
      </c>
    </row>
    <row r="93" spans="1:12">
      <c r="A93">
        <v>346845</v>
      </c>
      <c r="B93" t="s">
        <v>1465</v>
      </c>
      <c r="D93" t="s">
        <v>2006</v>
      </c>
      <c r="E93">
        <v>30502</v>
      </c>
      <c r="F93" t="s">
        <v>578</v>
      </c>
      <c r="G93">
        <v>5</v>
      </c>
      <c r="H93">
        <v>33</v>
      </c>
      <c r="I93">
        <v>7</v>
      </c>
      <c r="J93" t="s">
        <v>580</v>
      </c>
      <c r="K93">
        <v>0</v>
      </c>
    </row>
    <row r="94" spans="1:12">
      <c r="A94">
        <v>346519</v>
      </c>
      <c r="B94" t="s">
        <v>1465</v>
      </c>
      <c r="D94" t="s">
        <v>1449</v>
      </c>
      <c r="E94">
        <v>30103</v>
      </c>
      <c r="F94" t="s">
        <v>578</v>
      </c>
      <c r="G94">
        <v>4</v>
      </c>
      <c r="H94">
        <v>36</v>
      </c>
      <c r="I94">
        <v>12</v>
      </c>
      <c r="J94" t="s">
        <v>445</v>
      </c>
      <c r="K94">
        <v>0</v>
      </c>
    </row>
    <row r="95" spans="1:12">
      <c r="A95">
        <v>346519</v>
      </c>
      <c r="B95" t="s">
        <v>1465</v>
      </c>
      <c r="D95" t="s">
        <v>1449</v>
      </c>
      <c r="E95">
        <v>30103</v>
      </c>
      <c r="F95" t="s">
        <v>578</v>
      </c>
      <c r="G95">
        <v>2</v>
      </c>
      <c r="H95">
        <v>36</v>
      </c>
      <c r="I95">
        <v>12</v>
      </c>
      <c r="J95" t="s">
        <v>445</v>
      </c>
      <c r="K95">
        <v>0</v>
      </c>
    </row>
    <row r="96" spans="1:12">
      <c r="A96">
        <v>346780</v>
      </c>
      <c r="B96" t="s">
        <v>1465</v>
      </c>
      <c r="D96" t="s">
        <v>1178</v>
      </c>
      <c r="E96">
        <v>30602</v>
      </c>
      <c r="F96" t="s">
        <v>578</v>
      </c>
      <c r="G96">
        <v>6</v>
      </c>
      <c r="H96">
        <v>35.5</v>
      </c>
      <c r="I96">
        <v>90</v>
      </c>
      <c r="J96" t="s">
        <v>445</v>
      </c>
      <c r="K96">
        <v>0</v>
      </c>
    </row>
    <row r="97" spans="1:12">
      <c r="A97">
        <v>346781</v>
      </c>
      <c r="B97" t="s">
        <v>1465</v>
      </c>
      <c r="D97" t="s">
        <v>1179</v>
      </c>
      <c r="E97">
        <v>30602</v>
      </c>
      <c r="F97" t="s">
        <v>578</v>
      </c>
      <c r="G97">
        <v>7</v>
      </c>
      <c r="H97">
        <v>41</v>
      </c>
      <c r="I97">
        <v>38</v>
      </c>
      <c r="J97" t="s">
        <v>445</v>
      </c>
      <c r="K97">
        <v>0</v>
      </c>
    </row>
    <row r="98" spans="1:12">
      <c r="A98">
        <v>346782</v>
      </c>
      <c r="B98" t="s">
        <v>1465</v>
      </c>
      <c r="D98" t="s">
        <v>1180</v>
      </c>
      <c r="E98">
        <v>30602</v>
      </c>
      <c r="F98" t="s">
        <v>578</v>
      </c>
      <c r="G98">
        <v>8</v>
      </c>
      <c r="H98">
        <v>48</v>
      </c>
      <c r="I98">
        <v>37</v>
      </c>
      <c r="J98" t="s">
        <v>445</v>
      </c>
      <c r="K98">
        <v>15</v>
      </c>
      <c r="L98" s="145">
        <v>42058</v>
      </c>
    </row>
    <row r="99" spans="1:12">
      <c r="A99">
        <v>346783</v>
      </c>
      <c r="B99" t="s">
        <v>1465</v>
      </c>
      <c r="D99" t="s">
        <v>1181</v>
      </c>
      <c r="E99">
        <v>30602</v>
      </c>
      <c r="F99" t="s">
        <v>578</v>
      </c>
      <c r="G99">
        <v>9</v>
      </c>
      <c r="H99">
        <v>51</v>
      </c>
      <c r="I99">
        <v>9</v>
      </c>
      <c r="J99" t="s">
        <v>445</v>
      </c>
      <c r="K99">
        <v>15</v>
      </c>
      <c r="L99" s="145">
        <v>42058</v>
      </c>
    </row>
    <row r="100" spans="1:12">
      <c r="A100">
        <v>346784</v>
      </c>
      <c r="B100" t="s">
        <v>1465</v>
      </c>
      <c r="D100" t="s">
        <v>1182</v>
      </c>
      <c r="E100">
        <v>30602</v>
      </c>
      <c r="F100" t="s">
        <v>578</v>
      </c>
      <c r="G100">
        <v>10</v>
      </c>
      <c r="H100">
        <v>32.5</v>
      </c>
      <c r="I100">
        <v>21</v>
      </c>
      <c r="J100" t="s">
        <v>445</v>
      </c>
      <c r="K100">
        <v>0</v>
      </c>
    </row>
    <row r="101" spans="1:12">
      <c r="A101">
        <v>346789</v>
      </c>
      <c r="B101" t="s">
        <v>1465</v>
      </c>
      <c r="D101" t="s">
        <v>1205</v>
      </c>
      <c r="E101">
        <v>30103</v>
      </c>
      <c r="F101" t="s">
        <v>578</v>
      </c>
      <c r="G101">
        <v>1</v>
      </c>
      <c r="H101">
        <v>38.5</v>
      </c>
      <c r="I101">
        <v>3</v>
      </c>
      <c r="J101" t="s">
        <v>445</v>
      </c>
      <c r="K101">
        <v>5</v>
      </c>
      <c r="L101" s="145">
        <v>42058</v>
      </c>
    </row>
    <row r="102" spans="1:12">
      <c r="A102">
        <v>348345</v>
      </c>
      <c r="B102" t="s">
        <v>1465</v>
      </c>
      <c r="D102" t="s">
        <v>1714</v>
      </c>
      <c r="E102">
        <v>30107</v>
      </c>
      <c r="F102" t="s">
        <v>578</v>
      </c>
      <c r="G102">
        <v>4</v>
      </c>
      <c r="H102">
        <v>61.5</v>
      </c>
      <c r="I102">
        <v>22</v>
      </c>
      <c r="J102" t="s">
        <v>580</v>
      </c>
      <c r="K102">
        <v>5</v>
      </c>
      <c r="L102" s="145">
        <v>42061</v>
      </c>
    </row>
    <row r="103" spans="1:12">
      <c r="A103">
        <v>348346</v>
      </c>
      <c r="B103" t="s">
        <v>1465</v>
      </c>
      <c r="D103" t="s">
        <v>1760</v>
      </c>
      <c r="E103">
        <v>30104</v>
      </c>
      <c r="F103" t="s">
        <v>578</v>
      </c>
      <c r="G103">
        <v>1</v>
      </c>
      <c r="H103">
        <v>73</v>
      </c>
      <c r="I103">
        <v>19</v>
      </c>
      <c r="J103" t="s">
        <v>580</v>
      </c>
      <c r="K103">
        <v>0</v>
      </c>
    </row>
    <row r="104" spans="1:12">
      <c r="A104">
        <v>346800</v>
      </c>
      <c r="B104" t="s">
        <v>1465</v>
      </c>
      <c r="D104" t="s">
        <v>1981</v>
      </c>
      <c r="E104">
        <v>30603</v>
      </c>
      <c r="F104" t="s">
        <v>578</v>
      </c>
      <c r="G104">
        <v>1</v>
      </c>
      <c r="H104">
        <v>25</v>
      </c>
      <c r="I104">
        <v>82</v>
      </c>
      <c r="J104" t="s">
        <v>580</v>
      </c>
      <c r="K104">
        <v>5</v>
      </c>
      <c r="L104" s="145">
        <v>42061</v>
      </c>
    </row>
    <row r="105" spans="1:12">
      <c r="A105">
        <v>346801</v>
      </c>
      <c r="B105" t="s">
        <v>1465</v>
      </c>
      <c r="D105" t="s">
        <v>1982</v>
      </c>
      <c r="E105">
        <v>30603</v>
      </c>
      <c r="F105" t="s">
        <v>578</v>
      </c>
      <c r="G105">
        <v>2</v>
      </c>
      <c r="H105">
        <v>29</v>
      </c>
      <c r="I105">
        <v>19</v>
      </c>
      <c r="J105" t="s">
        <v>580</v>
      </c>
      <c r="K105">
        <v>15</v>
      </c>
      <c r="L105" s="145">
        <v>42061</v>
      </c>
    </row>
    <row r="106" spans="1:12">
      <c r="A106">
        <v>346802</v>
      </c>
      <c r="B106" t="s">
        <v>1465</v>
      </c>
      <c r="D106" t="s">
        <v>1983</v>
      </c>
      <c r="E106">
        <v>30603</v>
      </c>
      <c r="F106" t="s">
        <v>578</v>
      </c>
      <c r="G106">
        <v>3</v>
      </c>
      <c r="H106">
        <v>31</v>
      </c>
      <c r="I106">
        <v>36</v>
      </c>
      <c r="J106" t="s">
        <v>580</v>
      </c>
      <c r="K106">
        <v>10</v>
      </c>
      <c r="L106" s="145">
        <v>42061</v>
      </c>
    </row>
    <row r="107" spans="1:12">
      <c r="A107">
        <v>346803</v>
      </c>
      <c r="B107" t="s">
        <v>1465</v>
      </c>
      <c r="D107" t="s">
        <v>1984</v>
      </c>
      <c r="E107">
        <v>30603</v>
      </c>
      <c r="F107" t="s">
        <v>578</v>
      </c>
      <c r="G107">
        <v>4</v>
      </c>
      <c r="H107">
        <v>36</v>
      </c>
      <c r="I107">
        <v>28</v>
      </c>
      <c r="J107" t="s">
        <v>580</v>
      </c>
      <c r="K107">
        <v>0</v>
      </c>
    </row>
    <row r="108" spans="1:12">
      <c r="A108">
        <v>346804</v>
      </c>
      <c r="B108" t="s">
        <v>1465</v>
      </c>
      <c r="D108" t="s">
        <v>1985</v>
      </c>
      <c r="E108">
        <v>30603</v>
      </c>
      <c r="F108" t="s">
        <v>578</v>
      </c>
      <c r="G108">
        <v>5</v>
      </c>
      <c r="H108">
        <v>22.5</v>
      </c>
      <c r="I108">
        <v>31</v>
      </c>
      <c r="J108" t="s">
        <v>580</v>
      </c>
      <c r="K108">
        <v>5</v>
      </c>
      <c r="L108" s="145">
        <v>42061</v>
      </c>
    </row>
    <row r="109" spans="1:12">
      <c r="A109">
        <v>346809</v>
      </c>
      <c r="B109" t="s">
        <v>1465</v>
      </c>
      <c r="D109" t="s">
        <v>1990</v>
      </c>
      <c r="E109">
        <v>30104</v>
      </c>
      <c r="F109" t="s">
        <v>578</v>
      </c>
      <c r="G109">
        <v>2</v>
      </c>
      <c r="H109">
        <v>26.5</v>
      </c>
      <c r="I109">
        <v>6</v>
      </c>
      <c r="J109" t="s">
        <v>580</v>
      </c>
      <c r="K109">
        <v>10</v>
      </c>
      <c r="L109" s="145">
        <v>42061</v>
      </c>
    </row>
    <row r="110" spans="1:12">
      <c r="A110">
        <v>346640</v>
      </c>
      <c r="B110" t="s">
        <v>1465</v>
      </c>
      <c r="D110" t="s">
        <v>1946</v>
      </c>
      <c r="E110">
        <v>30402</v>
      </c>
      <c r="F110" t="s">
        <v>578</v>
      </c>
      <c r="G110">
        <v>1</v>
      </c>
      <c r="H110">
        <v>37</v>
      </c>
      <c r="I110">
        <v>36</v>
      </c>
      <c r="J110" t="s">
        <v>580</v>
      </c>
      <c r="K110">
        <v>0</v>
      </c>
    </row>
    <row r="111" spans="1:12">
      <c r="A111">
        <v>346641</v>
      </c>
      <c r="B111" t="s">
        <v>1465</v>
      </c>
      <c r="D111" t="s">
        <v>1947</v>
      </c>
      <c r="E111">
        <v>30402</v>
      </c>
      <c r="F111" t="s">
        <v>578</v>
      </c>
      <c r="G111">
        <v>2</v>
      </c>
      <c r="H111">
        <v>41.5</v>
      </c>
      <c r="I111">
        <v>9</v>
      </c>
      <c r="J111" t="s">
        <v>580</v>
      </c>
      <c r="K111">
        <v>0</v>
      </c>
    </row>
    <row r="112" spans="1:12">
      <c r="A112">
        <v>346642</v>
      </c>
      <c r="B112" t="s">
        <v>1465</v>
      </c>
      <c r="D112" t="s">
        <v>1948</v>
      </c>
      <c r="E112">
        <v>30402</v>
      </c>
      <c r="F112" t="s">
        <v>578</v>
      </c>
      <c r="G112">
        <v>3</v>
      </c>
      <c r="H112">
        <v>49</v>
      </c>
      <c r="I112">
        <v>29</v>
      </c>
      <c r="J112" t="s">
        <v>580</v>
      </c>
      <c r="K112">
        <v>0</v>
      </c>
    </row>
    <row r="113" spans="1:12">
      <c r="A113">
        <v>346643</v>
      </c>
      <c r="B113" t="s">
        <v>1465</v>
      </c>
      <c r="D113" t="s">
        <v>1949</v>
      </c>
      <c r="E113">
        <v>30402</v>
      </c>
      <c r="F113" t="s">
        <v>578</v>
      </c>
      <c r="G113">
        <v>4</v>
      </c>
      <c r="H113">
        <v>51</v>
      </c>
      <c r="I113">
        <v>10</v>
      </c>
      <c r="J113" t="s">
        <v>580</v>
      </c>
      <c r="K113">
        <v>0</v>
      </c>
    </row>
    <row r="114" spans="1:12">
      <c r="A114">
        <v>346644</v>
      </c>
      <c r="B114" t="s">
        <v>1465</v>
      </c>
      <c r="D114" t="s">
        <v>1950</v>
      </c>
      <c r="E114">
        <v>30402</v>
      </c>
      <c r="F114" t="s">
        <v>578</v>
      </c>
      <c r="G114">
        <v>5</v>
      </c>
      <c r="H114">
        <v>32.5</v>
      </c>
      <c r="I114">
        <v>1</v>
      </c>
      <c r="J114" t="s">
        <v>580</v>
      </c>
      <c r="K114">
        <v>5</v>
      </c>
      <c r="L114" s="145">
        <v>42061</v>
      </c>
    </row>
    <row r="115" spans="1:12">
      <c r="A115">
        <v>346649</v>
      </c>
      <c r="B115" t="s">
        <v>1465</v>
      </c>
      <c r="D115" t="s">
        <v>1955</v>
      </c>
      <c r="E115">
        <v>30102</v>
      </c>
      <c r="F115" t="s">
        <v>578</v>
      </c>
      <c r="G115">
        <v>1</v>
      </c>
      <c r="H115">
        <v>38.5</v>
      </c>
      <c r="I115">
        <v>10</v>
      </c>
      <c r="J115" t="s">
        <v>580</v>
      </c>
      <c r="K115">
        <v>0</v>
      </c>
    </row>
    <row r="116" spans="1:12">
      <c r="A116">
        <v>348342</v>
      </c>
      <c r="B116" t="s">
        <v>1465</v>
      </c>
      <c r="D116" t="s">
        <v>1713</v>
      </c>
      <c r="E116">
        <v>30102</v>
      </c>
      <c r="F116" t="s">
        <v>578</v>
      </c>
      <c r="G116">
        <v>4</v>
      </c>
      <c r="H116">
        <v>51.5</v>
      </c>
      <c r="I116">
        <v>35</v>
      </c>
      <c r="J116" t="s">
        <v>580</v>
      </c>
      <c r="K116">
        <v>0</v>
      </c>
    </row>
    <row r="117" spans="1:12">
      <c r="A117">
        <v>346960</v>
      </c>
      <c r="B117" t="s">
        <v>1465</v>
      </c>
      <c r="D117" t="s">
        <v>1228</v>
      </c>
      <c r="E117">
        <v>30803</v>
      </c>
      <c r="F117" t="s">
        <v>578</v>
      </c>
      <c r="G117">
        <v>1</v>
      </c>
      <c r="H117">
        <v>47</v>
      </c>
      <c r="I117">
        <v>12</v>
      </c>
      <c r="J117" t="s">
        <v>580</v>
      </c>
      <c r="K117">
        <v>5</v>
      </c>
      <c r="L117" s="145">
        <v>42061</v>
      </c>
    </row>
    <row r="118" spans="1:12">
      <c r="A118">
        <v>346961</v>
      </c>
      <c r="B118" t="s">
        <v>1465</v>
      </c>
      <c r="D118" t="s">
        <v>1229</v>
      </c>
      <c r="E118">
        <v>30803</v>
      </c>
      <c r="F118" t="s">
        <v>578</v>
      </c>
      <c r="G118">
        <v>2</v>
      </c>
      <c r="H118">
        <v>50</v>
      </c>
      <c r="I118">
        <v>8</v>
      </c>
      <c r="J118" t="s">
        <v>580</v>
      </c>
      <c r="K118">
        <v>0</v>
      </c>
    </row>
    <row r="119" spans="1:12">
      <c r="A119">
        <v>346962</v>
      </c>
      <c r="B119" t="s">
        <v>1465</v>
      </c>
      <c r="D119" t="s">
        <v>1230</v>
      </c>
      <c r="E119">
        <v>30803</v>
      </c>
      <c r="F119" t="s">
        <v>578</v>
      </c>
      <c r="G119">
        <v>3</v>
      </c>
      <c r="H119">
        <v>55</v>
      </c>
      <c r="I119">
        <v>6</v>
      </c>
      <c r="J119" t="s">
        <v>580</v>
      </c>
      <c r="K119">
        <v>0</v>
      </c>
    </row>
    <row r="120" spans="1:12">
      <c r="A120">
        <v>346963</v>
      </c>
      <c r="B120" t="s">
        <v>1465</v>
      </c>
      <c r="D120" t="s">
        <v>1231</v>
      </c>
      <c r="E120">
        <v>30803</v>
      </c>
      <c r="F120" t="s">
        <v>578</v>
      </c>
      <c r="G120">
        <v>4</v>
      </c>
      <c r="H120">
        <v>60</v>
      </c>
      <c r="I120">
        <v>19</v>
      </c>
      <c r="J120" t="s">
        <v>580</v>
      </c>
      <c r="K120">
        <v>0</v>
      </c>
    </row>
    <row r="121" spans="1:12">
      <c r="A121">
        <v>346965</v>
      </c>
      <c r="B121" t="s">
        <v>1465</v>
      </c>
      <c r="D121" t="s">
        <v>1233</v>
      </c>
      <c r="E121">
        <v>30803</v>
      </c>
      <c r="F121" t="s">
        <v>578</v>
      </c>
      <c r="G121">
        <v>5</v>
      </c>
      <c r="H121">
        <v>45</v>
      </c>
      <c r="I121">
        <v>12</v>
      </c>
      <c r="J121" t="s">
        <v>580</v>
      </c>
      <c r="K121">
        <v>0</v>
      </c>
    </row>
    <row r="122" spans="1:12">
      <c r="A122">
        <v>346966</v>
      </c>
      <c r="B122" t="s">
        <v>1465</v>
      </c>
      <c r="D122" t="s">
        <v>1234</v>
      </c>
      <c r="E122">
        <v>30102</v>
      </c>
      <c r="F122" t="s">
        <v>578</v>
      </c>
      <c r="G122">
        <v>3</v>
      </c>
      <c r="H122">
        <v>51</v>
      </c>
      <c r="I122">
        <v>5</v>
      </c>
      <c r="J122" t="s">
        <v>580</v>
      </c>
      <c r="K122">
        <v>0</v>
      </c>
    </row>
    <row r="123" spans="1:12">
      <c r="A123">
        <v>346966</v>
      </c>
      <c r="B123" t="s">
        <v>1465</v>
      </c>
      <c r="D123" t="s">
        <v>1234</v>
      </c>
      <c r="E123">
        <v>30107</v>
      </c>
      <c r="F123" t="s">
        <v>578</v>
      </c>
      <c r="G123">
        <v>5</v>
      </c>
      <c r="H123">
        <v>51</v>
      </c>
      <c r="I123">
        <v>5</v>
      </c>
      <c r="J123" t="s">
        <v>580</v>
      </c>
      <c r="K123">
        <v>0</v>
      </c>
    </row>
    <row r="124" spans="1:12">
      <c r="A124">
        <v>346979</v>
      </c>
      <c r="B124" t="s">
        <v>1465</v>
      </c>
      <c r="D124" t="s">
        <v>1759</v>
      </c>
      <c r="E124">
        <v>30103</v>
      </c>
      <c r="F124" t="s">
        <v>578</v>
      </c>
      <c r="G124">
        <v>3</v>
      </c>
      <c r="H124">
        <v>51</v>
      </c>
      <c r="I124">
        <v>6</v>
      </c>
      <c r="J124" t="s">
        <v>580</v>
      </c>
      <c r="K124">
        <v>0</v>
      </c>
    </row>
    <row r="125" spans="1:12">
      <c r="A125">
        <v>301585</v>
      </c>
      <c r="B125" t="s">
        <v>1465</v>
      </c>
      <c r="D125" t="s">
        <v>1880</v>
      </c>
      <c r="E125">
        <v>33000</v>
      </c>
      <c r="F125" t="s">
        <v>578</v>
      </c>
      <c r="G125">
        <v>37</v>
      </c>
      <c r="H125">
        <v>20.100000000000001</v>
      </c>
      <c r="I125">
        <v>0</v>
      </c>
      <c r="J125" t="s">
        <v>580</v>
      </c>
      <c r="K125">
        <v>0</v>
      </c>
    </row>
    <row r="126" spans="1:12">
      <c r="A126">
        <v>345002</v>
      </c>
      <c r="B126" t="s">
        <v>1465</v>
      </c>
      <c r="D126" t="s">
        <v>1021</v>
      </c>
      <c r="E126">
        <v>30604</v>
      </c>
      <c r="F126" t="s">
        <v>578</v>
      </c>
      <c r="G126">
        <v>11</v>
      </c>
      <c r="H126">
        <v>4.5</v>
      </c>
      <c r="I126">
        <v>39</v>
      </c>
      <c r="J126" t="s">
        <v>580</v>
      </c>
      <c r="K126">
        <v>0</v>
      </c>
    </row>
    <row r="127" spans="1:12">
      <c r="A127">
        <v>345003</v>
      </c>
      <c r="B127" t="s">
        <v>1465</v>
      </c>
      <c r="D127" t="s">
        <v>1022</v>
      </c>
      <c r="E127">
        <v>30604</v>
      </c>
      <c r="F127" t="s">
        <v>578</v>
      </c>
      <c r="G127">
        <v>4</v>
      </c>
      <c r="H127">
        <v>3.2</v>
      </c>
      <c r="I127">
        <v>23</v>
      </c>
      <c r="J127" t="s">
        <v>580</v>
      </c>
      <c r="K127">
        <v>0</v>
      </c>
    </row>
    <row r="128" spans="1:12">
      <c r="A128">
        <v>345000</v>
      </c>
      <c r="B128" t="s">
        <v>1465</v>
      </c>
      <c r="D128" t="s">
        <v>1019</v>
      </c>
      <c r="E128">
        <v>30604</v>
      </c>
      <c r="F128" t="s">
        <v>578</v>
      </c>
      <c r="G128">
        <v>6</v>
      </c>
      <c r="H128">
        <v>3.6</v>
      </c>
      <c r="I128">
        <v>30</v>
      </c>
      <c r="J128" t="s">
        <v>580</v>
      </c>
      <c r="K128">
        <v>0</v>
      </c>
    </row>
    <row r="129" spans="1:12">
      <c r="A129">
        <v>345006</v>
      </c>
      <c r="B129" t="s">
        <v>1465</v>
      </c>
      <c r="D129" t="s">
        <v>1756</v>
      </c>
      <c r="E129">
        <v>30604</v>
      </c>
      <c r="F129" t="s">
        <v>578</v>
      </c>
      <c r="G129">
        <v>7</v>
      </c>
      <c r="H129">
        <v>3.6</v>
      </c>
      <c r="I129">
        <v>19</v>
      </c>
      <c r="J129" t="s">
        <v>580</v>
      </c>
      <c r="K129">
        <v>0</v>
      </c>
    </row>
    <row r="130" spans="1:12">
      <c r="A130">
        <v>345004</v>
      </c>
      <c r="B130" t="s">
        <v>1465</v>
      </c>
      <c r="D130" t="s">
        <v>1026</v>
      </c>
      <c r="E130">
        <v>30604</v>
      </c>
      <c r="F130" t="s">
        <v>578</v>
      </c>
      <c r="G130">
        <v>8</v>
      </c>
      <c r="H130">
        <v>3.9</v>
      </c>
      <c r="I130">
        <v>90</v>
      </c>
      <c r="J130" t="s">
        <v>580</v>
      </c>
      <c r="K130">
        <v>0</v>
      </c>
    </row>
    <row r="131" spans="1:12">
      <c r="A131">
        <v>345001</v>
      </c>
      <c r="B131" t="s">
        <v>1465</v>
      </c>
      <c r="D131" t="s">
        <v>1020</v>
      </c>
      <c r="E131">
        <v>30604</v>
      </c>
      <c r="F131" t="s">
        <v>578</v>
      </c>
      <c r="G131">
        <v>10</v>
      </c>
      <c r="H131">
        <v>3.9</v>
      </c>
      <c r="I131">
        <v>41</v>
      </c>
      <c r="J131" t="s">
        <v>580</v>
      </c>
      <c r="K131">
        <v>0</v>
      </c>
    </row>
    <row r="132" spans="1:12">
      <c r="A132">
        <v>345005</v>
      </c>
      <c r="B132" t="s">
        <v>1465</v>
      </c>
      <c r="D132" t="s">
        <v>1027</v>
      </c>
      <c r="E132">
        <v>30604</v>
      </c>
      <c r="F132" t="s">
        <v>578</v>
      </c>
      <c r="G132">
        <v>9</v>
      </c>
      <c r="H132">
        <v>3.9</v>
      </c>
      <c r="I132">
        <v>26</v>
      </c>
      <c r="J132" t="s">
        <v>580</v>
      </c>
      <c r="K132">
        <v>0</v>
      </c>
    </row>
    <row r="133" spans="1:12">
      <c r="A133">
        <v>345007</v>
      </c>
      <c r="B133" t="s">
        <v>1465</v>
      </c>
      <c r="D133" t="s">
        <v>1757</v>
      </c>
      <c r="E133">
        <v>30604</v>
      </c>
      <c r="F133" t="s">
        <v>578</v>
      </c>
      <c r="G133">
        <v>2</v>
      </c>
      <c r="H133">
        <v>2.7</v>
      </c>
      <c r="I133">
        <v>20</v>
      </c>
      <c r="J133" t="s">
        <v>580</v>
      </c>
      <c r="K133">
        <v>0</v>
      </c>
    </row>
    <row r="134" spans="1:12">
      <c r="A134">
        <v>346485</v>
      </c>
      <c r="B134" t="s">
        <v>1465</v>
      </c>
      <c r="D134" t="s">
        <v>222</v>
      </c>
      <c r="E134">
        <v>30604</v>
      </c>
      <c r="F134" t="s">
        <v>578</v>
      </c>
      <c r="G134">
        <v>12</v>
      </c>
      <c r="H134">
        <v>3.5</v>
      </c>
      <c r="I134">
        <v>30</v>
      </c>
      <c r="J134" t="s">
        <v>580</v>
      </c>
      <c r="K134">
        <v>30</v>
      </c>
      <c r="L134" s="145">
        <v>42061</v>
      </c>
    </row>
    <row r="135" spans="1:12">
      <c r="A135">
        <v>346440</v>
      </c>
      <c r="B135" t="s">
        <v>1465</v>
      </c>
      <c r="D135" t="s">
        <v>219</v>
      </c>
      <c r="E135">
        <v>30604</v>
      </c>
      <c r="F135" t="s">
        <v>578</v>
      </c>
      <c r="G135">
        <v>13</v>
      </c>
      <c r="H135">
        <v>5</v>
      </c>
      <c r="I135">
        <v>66</v>
      </c>
      <c r="J135" t="s">
        <v>580</v>
      </c>
      <c r="K135">
        <v>0</v>
      </c>
    </row>
    <row r="136" spans="1:12">
      <c r="A136">
        <v>346998</v>
      </c>
      <c r="B136" t="s">
        <v>1465</v>
      </c>
      <c r="D136" t="s">
        <v>439</v>
      </c>
      <c r="E136">
        <v>30604</v>
      </c>
      <c r="F136" t="s">
        <v>578</v>
      </c>
      <c r="G136">
        <v>5</v>
      </c>
      <c r="H136">
        <v>3.4</v>
      </c>
      <c r="I136">
        <v>11</v>
      </c>
      <c r="J136" t="s">
        <v>580</v>
      </c>
      <c r="K136">
        <v>0</v>
      </c>
    </row>
    <row r="137" spans="1:12">
      <c r="A137">
        <v>345008</v>
      </c>
      <c r="B137" t="s">
        <v>1465</v>
      </c>
      <c r="D137" t="s">
        <v>1445</v>
      </c>
      <c r="E137">
        <v>30604</v>
      </c>
      <c r="F137" t="s">
        <v>578</v>
      </c>
      <c r="G137">
        <v>1</v>
      </c>
      <c r="H137">
        <v>1.5</v>
      </c>
      <c r="I137">
        <v>57</v>
      </c>
      <c r="J137" t="s">
        <v>445</v>
      </c>
      <c r="K137">
        <v>0</v>
      </c>
    </row>
    <row r="138" spans="1:12">
      <c r="A138">
        <v>345009</v>
      </c>
      <c r="B138" t="s">
        <v>1465</v>
      </c>
      <c r="D138" t="s">
        <v>1446</v>
      </c>
      <c r="E138">
        <v>30604</v>
      </c>
      <c r="F138" t="s">
        <v>578</v>
      </c>
      <c r="G138">
        <v>3</v>
      </c>
      <c r="H138">
        <v>2.9</v>
      </c>
      <c r="I138">
        <v>37</v>
      </c>
      <c r="J138" t="s">
        <v>445</v>
      </c>
      <c r="K138">
        <v>0</v>
      </c>
    </row>
    <row r="139" spans="1:12">
      <c r="A139">
        <v>343185</v>
      </c>
      <c r="B139" t="s">
        <v>1465</v>
      </c>
      <c r="D139" t="s">
        <v>1606</v>
      </c>
      <c r="E139">
        <v>30204</v>
      </c>
      <c r="F139" t="s">
        <v>578</v>
      </c>
      <c r="G139">
        <v>3</v>
      </c>
      <c r="H139">
        <v>13</v>
      </c>
      <c r="I139">
        <v>110</v>
      </c>
      <c r="J139" t="s">
        <v>445</v>
      </c>
      <c r="K139">
        <v>0</v>
      </c>
    </row>
    <row r="140" spans="1:12">
      <c r="A140">
        <v>343186</v>
      </c>
      <c r="B140" t="s">
        <v>1465</v>
      </c>
      <c r="D140" t="s">
        <v>1110</v>
      </c>
      <c r="E140">
        <v>30204</v>
      </c>
      <c r="F140" t="s">
        <v>578</v>
      </c>
      <c r="G140">
        <v>2</v>
      </c>
      <c r="H140">
        <v>16</v>
      </c>
      <c r="I140">
        <v>27</v>
      </c>
      <c r="J140" t="s">
        <v>445</v>
      </c>
      <c r="K140">
        <v>0</v>
      </c>
    </row>
    <row r="141" spans="1:12">
      <c r="A141">
        <v>343187</v>
      </c>
      <c r="B141" t="s">
        <v>1465</v>
      </c>
      <c r="D141" t="s">
        <v>1111</v>
      </c>
      <c r="E141">
        <v>30204</v>
      </c>
      <c r="F141" t="s">
        <v>578</v>
      </c>
      <c r="G141">
        <v>1</v>
      </c>
      <c r="H141">
        <v>22.1</v>
      </c>
      <c r="I141">
        <v>71</v>
      </c>
      <c r="J141" t="s">
        <v>445</v>
      </c>
      <c r="K141">
        <v>0</v>
      </c>
    </row>
    <row r="142" spans="1:12">
      <c r="A142">
        <v>343842</v>
      </c>
      <c r="B142" t="s">
        <v>1465</v>
      </c>
      <c r="D142" t="s">
        <v>1112</v>
      </c>
      <c r="E142">
        <v>30205</v>
      </c>
      <c r="F142" t="s">
        <v>578</v>
      </c>
      <c r="G142">
        <v>3</v>
      </c>
      <c r="H142">
        <v>25</v>
      </c>
      <c r="I142">
        <v>140</v>
      </c>
      <c r="J142" t="s">
        <v>445</v>
      </c>
      <c r="K142">
        <v>0</v>
      </c>
    </row>
    <row r="143" spans="1:12">
      <c r="A143">
        <v>343843</v>
      </c>
      <c r="B143" t="s">
        <v>1465</v>
      </c>
      <c r="D143" t="s">
        <v>1113</v>
      </c>
      <c r="E143">
        <v>30205</v>
      </c>
      <c r="F143" t="s">
        <v>578</v>
      </c>
      <c r="G143">
        <v>2</v>
      </c>
      <c r="H143">
        <v>31</v>
      </c>
      <c r="I143">
        <v>64</v>
      </c>
      <c r="J143" t="s">
        <v>445</v>
      </c>
      <c r="K143">
        <v>30</v>
      </c>
      <c r="L143" s="145">
        <v>42072</v>
      </c>
    </row>
    <row r="144" spans="1:12">
      <c r="A144">
        <v>343844</v>
      </c>
      <c r="B144" t="s">
        <v>1465</v>
      </c>
      <c r="D144" t="s">
        <v>1114</v>
      </c>
      <c r="E144">
        <v>30205</v>
      </c>
      <c r="F144" t="s">
        <v>578</v>
      </c>
      <c r="G144">
        <v>1</v>
      </c>
      <c r="H144">
        <v>42</v>
      </c>
      <c r="I144">
        <v>103</v>
      </c>
      <c r="J144" t="s">
        <v>445</v>
      </c>
      <c r="K144">
        <v>30</v>
      </c>
      <c r="L144" s="145">
        <v>42072</v>
      </c>
    </row>
    <row r="145" spans="1:12">
      <c r="A145">
        <v>343846</v>
      </c>
      <c r="B145" t="s">
        <v>1465</v>
      </c>
      <c r="D145" t="s">
        <v>1115</v>
      </c>
      <c r="E145">
        <v>30108</v>
      </c>
      <c r="F145" t="s">
        <v>578</v>
      </c>
      <c r="G145">
        <v>2</v>
      </c>
      <c r="H145">
        <v>38.5</v>
      </c>
      <c r="I145">
        <v>34</v>
      </c>
      <c r="J145" t="s">
        <v>445</v>
      </c>
      <c r="K145">
        <v>24</v>
      </c>
      <c r="L145" s="145">
        <v>42072</v>
      </c>
    </row>
    <row r="146" spans="1:12">
      <c r="A146">
        <v>343847</v>
      </c>
      <c r="B146" t="s">
        <v>1465</v>
      </c>
      <c r="D146" t="s">
        <v>1116</v>
      </c>
      <c r="E146">
        <v>30108</v>
      </c>
      <c r="F146" t="s">
        <v>578</v>
      </c>
      <c r="G146">
        <v>1</v>
      </c>
      <c r="H146">
        <v>45</v>
      </c>
      <c r="I146">
        <v>75</v>
      </c>
      <c r="J146" t="s">
        <v>445</v>
      </c>
      <c r="K146">
        <v>0</v>
      </c>
    </row>
    <row r="147" spans="1:12">
      <c r="A147">
        <v>343848</v>
      </c>
      <c r="B147" t="s">
        <v>1465</v>
      </c>
      <c r="D147" t="s">
        <v>1117</v>
      </c>
      <c r="E147">
        <v>30107</v>
      </c>
      <c r="F147" t="s">
        <v>578</v>
      </c>
      <c r="G147">
        <v>1</v>
      </c>
      <c r="H147">
        <v>34</v>
      </c>
      <c r="I147">
        <v>4</v>
      </c>
      <c r="J147" t="s">
        <v>445</v>
      </c>
      <c r="K147">
        <v>9</v>
      </c>
      <c r="L147" s="145">
        <v>42072</v>
      </c>
    </row>
    <row r="148" spans="1:12">
      <c r="A148">
        <v>343849</v>
      </c>
      <c r="B148" t="s">
        <v>1465</v>
      </c>
      <c r="D148" t="s">
        <v>1118</v>
      </c>
      <c r="E148">
        <v>30107</v>
      </c>
      <c r="F148" t="s">
        <v>578</v>
      </c>
      <c r="G148">
        <v>3</v>
      </c>
      <c r="H148">
        <v>39</v>
      </c>
      <c r="I148">
        <v>3</v>
      </c>
      <c r="J148" t="s">
        <v>445</v>
      </c>
      <c r="K148">
        <v>8</v>
      </c>
      <c r="L148" s="145">
        <v>42072</v>
      </c>
    </row>
    <row r="149" spans="1:12">
      <c r="A149">
        <v>343853</v>
      </c>
      <c r="B149" t="s">
        <v>1465</v>
      </c>
      <c r="D149" t="s">
        <v>1119</v>
      </c>
      <c r="E149">
        <v>30107</v>
      </c>
      <c r="F149" t="s">
        <v>578</v>
      </c>
      <c r="G149">
        <v>2</v>
      </c>
      <c r="H149">
        <v>34</v>
      </c>
      <c r="I149">
        <v>6</v>
      </c>
      <c r="J149" t="s">
        <v>445</v>
      </c>
      <c r="K149">
        <v>0</v>
      </c>
    </row>
    <row r="150" spans="1:12">
      <c r="A150">
        <v>343457</v>
      </c>
      <c r="B150" t="s">
        <v>1465</v>
      </c>
      <c r="D150" t="s">
        <v>1822</v>
      </c>
      <c r="E150">
        <v>30804</v>
      </c>
      <c r="F150" t="s">
        <v>578</v>
      </c>
      <c r="G150">
        <v>11</v>
      </c>
      <c r="H150">
        <v>39.5</v>
      </c>
      <c r="I150">
        <v>3</v>
      </c>
      <c r="J150" t="s">
        <v>580</v>
      </c>
      <c r="K150">
        <v>0</v>
      </c>
    </row>
    <row r="151" spans="1:12">
      <c r="A151">
        <v>343426</v>
      </c>
      <c r="B151" t="s">
        <v>1465</v>
      </c>
      <c r="D151" t="s">
        <v>1821</v>
      </c>
      <c r="E151">
        <v>30804</v>
      </c>
      <c r="F151" t="s">
        <v>578</v>
      </c>
      <c r="G151">
        <v>1</v>
      </c>
      <c r="H151">
        <v>39.5</v>
      </c>
      <c r="I151">
        <v>6</v>
      </c>
      <c r="J151" t="s">
        <v>580</v>
      </c>
      <c r="K151">
        <v>0</v>
      </c>
    </row>
    <row r="152" spans="1:12">
      <c r="A152">
        <v>343421</v>
      </c>
      <c r="B152" t="s">
        <v>1465</v>
      </c>
      <c r="D152" t="s">
        <v>1818</v>
      </c>
      <c r="E152">
        <v>30804</v>
      </c>
      <c r="F152" t="s">
        <v>578</v>
      </c>
      <c r="G152">
        <v>2</v>
      </c>
      <c r="H152">
        <v>39.5</v>
      </c>
      <c r="I152">
        <v>5</v>
      </c>
      <c r="J152" t="s">
        <v>580</v>
      </c>
      <c r="K152">
        <v>0</v>
      </c>
    </row>
    <row r="153" spans="1:12">
      <c r="A153">
        <v>343420</v>
      </c>
      <c r="B153" t="s">
        <v>1465</v>
      </c>
      <c r="D153" t="s">
        <v>1817</v>
      </c>
      <c r="E153">
        <v>30804</v>
      </c>
      <c r="F153" t="s">
        <v>578</v>
      </c>
      <c r="G153">
        <v>9</v>
      </c>
      <c r="H153">
        <v>39.5</v>
      </c>
      <c r="I153">
        <v>5</v>
      </c>
      <c r="J153" t="s">
        <v>580</v>
      </c>
      <c r="K153">
        <v>0</v>
      </c>
    </row>
    <row r="154" spans="1:12">
      <c r="A154">
        <v>343680</v>
      </c>
      <c r="B154" t="s">
        <v>1465</v>
      </c>
      <c r="D154" t="s">
        <v>1827</v>
      </c>
      <c r="E154">
        <v>30804</v>
      </c>
      <c r="F154" t="s">
        <v>578</v>
      </c>
      <c r="G154">
        <v>6</v>
      </c>
      <c r="H154">
        <v>39.5</v>
      </c>
      <c r="I154">
        <v>6</v>
      </c>
      <c r="J154" t="s">
        <v>580</v>
      </c>
      <c r="K154">
        <v>0</v>
      </c>
    </row>
    <row r="155" spans="1:12">
      <c r="A155">
        <v>343683</v>
      </c>
      <c r="B155" t="s">
        <v>1791</v>
      </c>
      <c r="C155" s="145">
        <v>41703</v>
      </c>
      <c r="D155" t="s">
        <v>1938</v>
      </c>
      <c r="E155">
        <v>30804</v>
      </c>
      <c r="F155" t="s">
        <v>578</v>
      </c>
      <c r="G155">
        <v>8</v>
      </c>
      <c r="H155">
        <v>31.2</v>
      </c>
      <c r="I155">
        <v>1</v>
      </c>
      <c r="J155" t="s">
        <v>580</v>
      </c>
      <c r="K155">
        <v>0</v>
      </c>
    </row>
    <row r="156" spans="1:12">
      <c r="A156">
        <v>343684</v>
      </c>
      <c r="B156" t="s">
        <v>1465</v>
      </c>
      <c r="D156" t="s">
        <v>373</v>
      </c>
      <c r="E156">
        <v>30804</v>
      </c>
      <c r="F156" t="s">
        <v>578</v>
      </c>
      <c r="G156">
        <v>4</v>
      </c>
      <c r="H156">
        <v>39.5</v>
      </c>
      <c r="I156">
        <v>12</v>
      </c>
      <c r="J156" t="s">
        <v>580</v>
      </c>
      <c r="K156">
        <v>0</v>
      </c>
    </row>
    <row r="157" spans="1:12">
      <c r="A157">
        <v>343685</v>
      </c>
      <c r="B157" t="s">
        <v>1465</v>
      </c>
      <c r="D157" t="s">
        <v>1779</v>
      </c>
      <c r="E157">
        <v>30804</v>
      </c>
      <c r="F157" t="s">
        <v>578</v>
      </c>
      <c r="G157">
        <v>7</v>
      </c>
      <c r="H157">
        <v>39.5</v>
      </c>
      <c r="I157">
        <v>4</v>
      </c>
      <c r="J157" t="s">
        <v>580</v>
      </c>
      <c r="K157">
        <v>0</v>
      </c>
    </row>
    <row r="158" spans="1:12">
      <c r="A158">
        <v>343686</v>
      </c>
      <c r="B158" t="s">
        <v>1465</v>
      </c>
      <c r="D158" t="s">
        <v>1780</v>
      </c>
      <c r="E158">
        <v>30804</v>
      </c>
      <c r="F158" t="s">
        <v>578</v>
      </c>
      <c r="G158">
        <v>3</v>
      </c>
      <c r="H158">
        <v>39.5</v>
      </c>
      <c r="I158">
        <v>2</v>
      </c>
      <c r="J158" t="s">
        <v>580</v>
      </c>
      <c r="K158">
        <v>0</v>
      </c>
    </row>
    <row r="159" spans="1:12">
      <c r="A159">
        <v>345788</v>
      </c>
      <c r="B159" t="s">
        <v>1465</v>
      </c>
      <c r="D159" t="s">
        <v>542</v>
      </c>
      <c r="E159">
        <v>30805</v>
      </c>
      <c r="F159" t="s">
        <v>578</v>
      </c>
      <c r="G159">
        <v>18</v>
      </c>
      <c r="H159">
        <v>5.7</v>
      </c>
      <c r="I159">
        <v>69</v>
      </c>
      <c r="J159" t="s">
        <v>580</v>
      </c>
      <c r="K159">
        <v>24</v>
      </c>
      <c r="L159" s="145">
        <v>42061</v>
      </c>
    </row>
    <row r="160" spans="1:12">
      <c r="A160">
        <v>346857</v>
      </c>
      <c r="B160" t="s">
        <v>1465</v>
      </c>
      <c r="D160" t="s">
        <v>596</v>
      </c>
      <c r="E160">
        <v>30804</v>
      </c>
      <c r="F160" t="s">
        <v>578</v>
      </c>
      <c r="G160">
        <v>5</v>
      </c>
      <c r="H160">
        <v>39.5</v>
      </c>
      <c r="I160">
        <v>8</v>
      </c>
      <c r="J160" t="s">
        <v>580</v>
      </c>
      <c r="K160">
        <v>0</v>
      </c>
    </row>
    <row r="161" spans="1:12">
      <c r="A161">
        <v>343860</v>
      </c>
      <c r="B161" t="s">
        <v>1465</v>
      </c>
      <c r="D161" t="s">
        <v>1650</v>
      </c>
      <c r="E161">
        <v>30605</v>
      </c>
      <c r="F161" t="s">
        <v>578</v>
      </c>
      <c r="G161">
        <v>1</v>
      </c>
      <c r="H161">
        <v>2.8</v>
      </c>
      <c r="I161">
        <v>65</v>
      </c>
      <c r="J161" t="s">
        <v>580</v>
      </c>
      <c r="K161">
        <v>0</v>
      </c>
    </row>
    <row r="162" spans="1:12">
      <c r="A162">
        <v>343865</v>
      </c>
      <c r="B162" t="s">
        <v>1791</v>
      </c>
      <c r="C162" s="145">
        <v>41734</v>
      </c>
      <c r="D162" t="s">
        <v>1654</v>
      </c>
      <c r="E162">
        <v>30608</v>
      </c>
      <c r="F162" t="s">
        <v>578</v>
      </c>
      <c r="G162">
        <v>1</v>
      </c>
      <c r="H162">
        <v>9.9</v>
      </c>
      <c r="I162">
        <v>3</v>
      </c>
      <c r="J162" t="s">
        <v>580</v>
      </c>
      <c r="K162">
        <v>0</v>
      </c>
    </row>
    <row r="163" spans="1:12">
      <c r="A163">
        <v>343862</v>
      </c>
      <c r="B163" t="s">
        <v>1465</v>
      </c>
      <c r="D163" t="s">
        <v>1652</v>
      </c>
      <c r="E163">
        <v>30704</v>
      </c>
      <c r="F163" t="s">
        <v>578</v>
      </c>
      <c r="G163">
        <v>1</v>
      </c>
      <c r="H163">
        <v>2.95</v>
      </c>
      <c r="I163">
        <v>118</v>
      </c>
      <c r="J163" t="s">
        <v>580</v>
      </c>
      <c r="K163">
        <v>0</v>
      </c>
    </row>
    <row r="164" spans="1:12">
      <c r="A164">
        <v>343866</v>
      </c>
      <c r="B164" t="s">
        <v>1465</v>
      </c>
      <c r="D164" t="s">
        <v>1655</v>
      </c>
      <c r="E164">
        <v>30605</v>
      </c>
      <c r="F164" t="s">
        <v>578</v>
      </c>
      <c r="G164">
        <v>4</v>
      </c>
      <c r="H164">
        <v>35.200000000000003</v>
      </c>
      <c r="I164">
        <v>6</v>
      </c>
      <c r="J164" t="s">
        <v>580</v>
      </c>
      <c r="K164">
        <v>0</v>
      </c>
    </row>
    <row r="165" spans="1:12">
      <c r="A165">
        <v>343863</v>
      </c>
      <c r="B165" t="s">
        <v>1465</v>
      </c>
      <c r="D165" t="s">
        <v>1653</v>
      </c>
      <c r="E165">
        <v>30704</v>
      </c>
      <c r="F165" t="s">
        <v>578</v>
      </c>
      <c r="G165">
        <v>2</v>
      </c>
      <c r="H165">
        <v>3.95</v>
      </c>
      <c r="I165">
        <v>91</v>
      </c>
      <c r="J165" t="s">
        <v>580</v>
      </c>
      <c r="K165">
        <v>0</v>
      </c>
    </row>
    <row r="166" spans="1:12">
      <c r="A166">
        <v>343867</v>
      </c>
      <c r="B166" t="s">
        <v>1465</v>
      </c>
      <c r="D166" t="s">
        <v>1656</v>
      </c>
      <c r="E166">
        <v>30705</v>
      </c>
      <c r="F166" t="s">
        <v>578</v>
      </c>
      <c r="G166">
        <v>2</v>
      </c>
      <c r="H166">
        <v>36.200000000000003</v>
      </c>
      <c r="I166">
        <v>11</v>
      </c>
      <c r="J166" t="s">
        <v>580</v>
      </c>
      <c r="K166">
        <v>0</v>
      </c>
    </row>
    <row r="167" spans="1:12">
      <c r="A167">
        <v>343867</v>
      </c>
      <c r="B167" t="s">
        <v>1465</v>
      </c>
      <c r="D167" t="s">
        <v>1656</v>
      </c>
      <c r="E167">
        <v>30706</v>
      </c>
      <c r="F167" t="s">
        <v>578</v>
      </c>
      <c r="G167">
        <v>3</v>
      </c>
      <c r="H167">
        <v>36.200000000000003</v>
      </c>
      <c r="I167">
        <v>11</v>
      </c>
      <c r="J167" t="s">
        <v>580</v>
      </c>
      <c r="K167">
        <v>0</v>
      </c>
    </row>
    <row r="168" spans="1:12">
      <c r="A168">
        <v>343867</v>
      </c>
      <c r="B168" t="s">
        <v>1465</v>
      </c>
      <c r="D168" t="s">
        <v>1656</v>
      </c>
      <c r="E168">
        <v>30707</v>
      </c>
      <c r="F168" t="s">
        <v>578</v>
      </c>
      <c r="G168">
        <v>2</v>
      </c>
      <c r="H168">
        <v>36.200000000000003</v>
      </c>
      <c r="I168">
        <v>11</v>
      </c>
      <c r="J168" t="s">
        <v>580</v>
      </c>
      <c r="K168">
        <v>0</v>
      </c>
    </row>
    <row r="169" spans="1:12">
      <c r="A169">
        <v>343868</v>
      </c>
      <c r="B169" t="s">
        <v>1465</v>
      </c>
      <c r="D169" t="s">
        <v>1657</v>
      </c>
      <c r="E169">
        <v>30605</v>
      </c>
      <c r="F169" t="s">
        <v>578</v>
      </c>
      <c r="G169">
        <v>5</v>
      </c>
      <c r="H169">
        <v>28.5</v>
      </c>
      <c r="I169">
        <v>30</v>
      </c>
      <c r="J169" t="s">
        <v>580</v>
      </c>
      <c r="K169">
        <v>10</v>
      </c>
      <c r="L169" s="145">
        <v>40477</v>
      </c>
    </row>
    <row r="170" spans="1:12">
      <c r="A170">
        <v>343879</v>
      </c>
      <c r="B170" t="s">
        <v>1465</v>
      </c>
      <c r="D170" t="s">
        <v>1663</v>
      </c>
      <c r="E170">
        <v>30705</v>
      </c>
      <c r="F170" t="s">
        <v>578</v>
      </c>
      <c r="G170">
        <v>3</v>
      </c>
      <c r="H170">
        <v>39.9</v>
      </c>
      <c r="I170">
        <v>3</v>
      </c>
      <c r="J170" t="s">
        <v>580</v>
      </c>
      <c r="K170">
        <v>16</v>
      </c>
      <c r="L170" s="145">
        <v>42054</v>
      </c>
    </row>
    <row r="171" spans="1:12">
      <c r="A171">
        <v>343900</v>
      </c>
      <c r="B171" t="s">
        <v>1465</v>
      </c>
      <c r="D171" t="s">
        <v>1664</v>
      </c>
      <c r="E171">
        <v>30704</v>
      </c>
      <c r="F171" t="s">
        <v>578</v>
      </c>
      <c r="G171">
        <v>3</v>
      </c>
      <c r="H171">
        <v>7.95</v>
      </c>
      <c r="I171">
        <v>28</v>
      </c>
      <c r="J171" t="s">
        <v>580</v>
      </c>
      <c r="K171">
        <v>0</v>
      </c>
    </row>
    <row r="172" spans="1:12">
      <c r="A172">
        <v>343877</v>
      </c>
      <c r="B172" t="s">
        <v>1465</v>
      </c>
      <c r="D172" t="s">
        <v>1661</v>
      </c>
      <c r="E172">
        <v>30705</v>
      </c>
      <c r="F172" t="s">
        <v>578</v>
      </c>
      <c r="G172">
        <v>4</v>
      </c>
      <c r="H172">
        <v>129</v>
      </c>
      <c r="I172">
        <v>1</v>
      </c>
      <c r="J172" t="s">
        <v>580</v>
      </c>
      <c r="K172">
        <v>3</v>
      </c>
      <c r="L172" s="145">
        <v>42061</v>
      </c>
    </row>
    <row r="173" spans="1:12">
      <c r="A173">
        <v>343878</v>
      </c>
      <c r="B173" t="s">
        <v>1465</v>
      </c>
      <c r="D173" t="s">
        <v>1662</v>
      </c>
      <c r="E173">
        <v>30706</v>
      </c>
      <c r="F173" t="s">
        <v>578</v>
      </c>
      <c r="G173">
        <v>1</v>
      </c>
      <c r="H173">
        <v>139</v>
      </c>
      <c r="I173">
        <v>2</v>
      </c>
      <c r="J173" t="s">
        <v>580</v>
      </c>
      <c r="K173">
        <v>0</v>
      </c>
    </row>
    <row r="174" spans="1:12">
      <c r="A174">
        <v>343876</v>
      </c>
      <c r="B174" t="s">
        <v>1465</v>
      </c>
      <c r="D174" t="s">
        <v>1660</v>
      </c>
      <c r="E174">
        <v>30707</v>
      </c>
      <c r="F174" t="s">
        <v>578</v>
      </c>
      <c r="G174">
        <v>1</v>
      </c>
      <c r="H174">
        <v>160</v>
      </c>
      <c r="I174">
        <v>4</v>
      </c>
      <c r="J174" t="s">
        <v>580</v>
      </c>
      <c r="K174">
        <v>0</v>
      </c>
    </row>
    <row r="175" spans="1:12">
      <c r="A175">
        <v>343873</v>
      </c>
      <c r="B175" t="s">
        <v>1465</v>
      </c>
      <c r="D175" t="s">
        <v>1659</v>
      </c>
      <c r="E175">
        <v>30705</v>
      </c>
      <c r="F175" t="s">
        <v>578</v>
      </c>
      <c r="G175">
        <v>1</v>
      </c>
      <c r="H175">
        <v>170</v>
      </c>
      <c r="I175">
        <v>4</v>
      </c>
      <c r="J175" t="s">
        <v>580</v>
      </c>
      <c r="K175">
        <v>5</v>
      </c>
      <c r="L175" s="145">
        <v>42061</v>
      </c>
    </row>
    <row r="176" spans="1:12">
      <c r="A176">
        <v>343873</v>
      </c>
      <c r="B176" t="s">
        <v>1465</v>
      </c>
      <c r="D176" t="s">
        <v>1659</v>
      </c>
      <c r="E176">
        <v>30706</v>
      </c>
      <c r="F176" t="s">
        <v>578</v>
      </c>
      <c r="G176">
        <v>2</v>
      </c>
      <c r="H176">
        <v>170</v>
      </c>
      <c r="I176">
        <v>4</v>
      </c>
      <c r="J176" t="s">
        <v>580</v>
      </c>
      <c r="K176">
        <v>5</v>
      </c>
      <c r="L176" s="145">
        <v>42061</v>
      </c>
    </row>
    <row r="177" spans="1:12">
      <c r="A177">
        <v>343418</v>
      </c>
      <c r="B177" t="s">
        <v>1465</v>
      </c>
      <c r="D177" t="s">
        <v>341</v>
      </c>
      <c r="E177">
        <v>30704</v>
      </c>
      <c r="F177" t="s">
        <v>578</v>
      </c>
      <c r="G177">
        <v>7</v>
      </c>
      <c r="H177">
        <v>5.95</v>
      </c>
      <c r="I177">
        <v>158</v>
      </c>
      <c r="J177" t="s">
        <v>580</v>
      </c>
      <c r="K177">
        <v>0</v>
      </c>
    </row>
    <row r="178" spans="1:12">
      <c r="A178">
        <v>343417</v>
      </c>
      <c r="B178" t="s">
        <v>1465</v>
      </c>
      <c r="D178" t="s">
        <v>1814</v>
      </c>
      <c r="E178">
        <v>30704</v>
      </c>
      <c r="F178" t="s">
        <v>578</v>
      </c>
      <c r="G178">
        <v>8</v>
      </c>
      <c r="H178">
        <v>8.6</v>
      </c>
      <c r="I178">
        <v>56</v>
      </c>
      <c r="J178" t="s">
        <v>580</v>
      </c>
      <c r="K178">
        <v>0</v>
      </c>
    </row>
    <row r="179" spans="1:12">
      <c r="A179">
        <v>343419</v>
      </c>
      <c r="B179" t="s">
        <v>1465</v>
      </c>
      <c r="D179" t="s">
        <v>1816</v>
      </c>
      <c r="E179">
        <v>30704</v>
      </c>
      <c r="F179" t="s">
        <v>578</v>
      </c>
      <c r="G179">
        <v>6</v>
      </c>
      <c r="H179">
        <v>6.95</v>
      </c>
      <c r="I179">
        <v>6</v>
      </c>
      <c r="J179" t="s">
        <v>580</v>
      </c>
      <c r="K179">
        <v>0</v>
      </c>
    </row>
    <row r="180" spans="1:12">
      <c r="A180">
        <v>343606</v>
      </c>
      <c r="B180" t="s">
        <v>1465</v>
      </c>
      <c r="D180" t="s">
        <v>1826</v>
      </c>
      <c r="E180">
        <v>30704</v>
      </c>
      <c r="F180" t="s">
        <v>578</v>
      </c>
      <c r="G180">
        <v>5</v>
      </c>
      <c r="H180">
        <v>6.95</v>
      </c>
      <c r="I180">
        <v>10</v>
      </c>
      <c r="J180" t="s">
        <v>580</v>
      </c>
      <c r="K180">
        <v>0</v>
      </c>
    </row>
    <row r="181" spans="1:12">
      <c r="A181">
        <v>345905</v>
      </c>
      <c r="B181" t="s">
        <v>1465</v>
      </c>
      <c r="D181" t="s">
        <v>549</v>
      </c>
      <c r="E181">
        <v>39106</v>
      </c>
      <c r="F181" t="s">
        <v>578</v>
      </c>
      <c r="G181">
        <v>1</v>
      </c>
      <c r="H181">
        <v>15.35</v>
      </c>
      <c r="I181">
        <v>8</v>
      </c>
      <c r="J181" t="s">
        <v>445</v>
      </c>
      <c r="K181">
        <v>0</v>
      </c>
    </row>
    <row r="182" spans="1:12">
      <c r="A182">
        <v>345789</v>
      </c>
      <c r="B182" t="s">
        <v>1465</v>
      </c>
      <c r="D182" t="s">
        <v>1126</v>
      </c>
      <c r="E182">
        <v>39006</v>
      </c>
      <c r="F182" t="s">
        <v>578</v>
      </c>
      <c r="G182">
        <v>1</v>
      </c>
      <c r="H182">
        <v>15.5</v>
      </c>
      <c r="I182">
        <v>19</v>
      </c>
      <c r="J182" t="s">
        <v>445</v>
      </c>
      <c r="K182">
        <v>30</v>
      </c>
      <c r="L182" s="145">
        <v>42061</v>
      </c>
    </row>
    <row r="183" spans="1:12">
      <c r="A183">
        <v>345792</v>
      </c>
      <c r="B183" t="s">
        <v>1465</v>
      </c>
      <c r="D183" t="s">
        <v>1129</v>
      </c>
      <c r="E183">
        <v>39005</v>
      </c>
      <c r="F183" t="s">
        <v>578</v>
      </c>
      <c r="G183">
        <v>1</v>
      </c>
      <c r="H183">
        <v>15.5</v>
      </c>
      <c r="I183">
        <v>72</v>
      </c>
      <c r="J183" t="s">
        <v>445</v>
      </c>
      <c r="K183">
        <v>60</v>
      </c>
      <c r="L183" s="145">
        <v>42061</v>
      </c>
    </row>
    <row r="184" spans="1:12">
      <c r="A184">
        <v>345790</v>
      </c>
      <c r="B184" t="s">
        <v>1465</v>
      </c>
      <c r="D184" t="s">
        <v>1127</v>
      </c>
      <c r="E184">
        <v>39004</v>
      </c>
      <c r="F184" t="s">
        <v>578</v>
      </c>
      <c r="G184">
        <v>1</v>
      </c>
      <c r="H184">
        <v>15.5</v>
      </c>
      <c r="I184">
        <v>72</v>
      </c>
      <c r="J184" t="s">
        <v>445</v>
      </c>
      <c r="K184">
        <v>30</v>
      </c>
      <c r="L184" s="145">
        <v>42061</v>
      </c>
    </row>
    <row r="185" spans="1:12">
      <c r="A185">
        <v>345791</v>
      </c>
      <c r="B185" t="s">
        <v>1465</v>
      </c>
      <c r="D185" t="s">
        <v>1128</v>
      </c>
      <c r="E185">
        <v>39104</v>
      </c>
      <c r="F185" t="s">
        <v>578</v>
      </c>
      <c r="G185">
        <v>1</v>
      </c>
      <c r="H185">
        <v>15.5</v>
      </c>
      <c r="I185">
        <v>33</v>
      </c>
      <c r="J185" t="s">
        <v>445</v>
      </c>
      <c r="K185">
        <v>30</v>
      </c>
      <c r="L185" s="145">
        <v>42065</v>
      </c>
    </row>
    <row r="186" spans="1:12">
      <c r="A186">
        <v>345793</v>
      </c>
      <c r="B186" t="s">
        <v>1465</v>
      </c>
      <c r="D186" t="s">
        <v>1130</v>
      </c>
      <c r="E186">
        <v>39105</v>
      </c>
      <c r="F186" t="s">
        <v>578</v>
      </c>
      <c r="G186">
        <v>1</v>
      </c>
      <c r="H186">
        <v>15.5</v>
      </c>
      <c r="I186">
        <v>47</v>
      </c>
      <c r="J186" t="s">
        <v>445</v>
      </c>
      <c r="K186">
        <v>30</v>
      </c>
      <c r="L186" s="145">
        <v>42061</v>
      </c>
    </row>
    <row r="187" spans="1:12">
      <c r="A187">
        <v>345920</v>
      </c>
      <c r="B187" t="s">
        <v>1465</v>
      </c>
      <c r="D187" t="s">
        <v>1393</v>
      </c>
      <c r="E187">
        <v>39113</v>
      </c>
      <c r="F187" t="s">
        <v>578</v>
      </c>
      <c r="G187">
        <v>1</v>
      </c>
      <c r="H187">
        <v>47</v>
      </c>
      <c r="I187">
        <v>27</v>
      </c>
      <c r="J187" t="s">
        <v>445</v>
      </c>
      <c r="K187">
        <v>0</v>
      </c>
    </row>
    <row r="188" spans="1:12">
      <c r="A188">
        <v>345921</v>
      </c>
      <c r="B188" t="s">
        <v>1465</v>
      </c>
      <c r="D188" t="s">
        <v>1394</v>
      </c>
      <c r="E188">
        <v>39112</v>
      </c>
      <c r="F188" t="s">
        <v>578</v>
      </c>
      <c r="G188">
        <v>1</v>
      </c>
      <c r="H188">
        <v>47</v>
      </c>
      <c r="I188">
        <v>91</v>
      </c>
      <c r="J188" t="s">
        <v>445</v>
      </c>
      <c r="K188">
        <v>0</v>
      </c>
    </row>
    <row r="189" spans="1:12">
      <c r="A189">
        <v>345922</v>
      </c>
      <c r="B189" t="s">
        <v>1465</v>
      </c>
      <c r="D189" t="s">
        <v>1395</v>
      </c>
      <c r="E189">
        <v>39121</v>
      </c>
      <c r="F189" t="s">
        <v>578</v>
      </c>
      <c r="G189">
        <v>1</v>
      </c>
      <c r="H189">
        <v>47</v>
      </c>
      <c r="I189">
        <v>36</v>
      </c>
      <c r="J189" t="s">
        <v>445</v>
      </c>
      <c r="K189">
        <v>0</v>
      </c>
    </row>
    <row r="190" spans="1:12">
      <c r="A190">
        <v>345923</v>
      </c>
      <c r="B190" t="s">
        <v>1465</v>
      </c>
      <c r="D190" t="s">
        <v>1396</v>
      </c>
      <c r="E190">
        <v>39120</v>
      </c>
      <c r="F190" t="s">
        <v>578</v>
      </c>
      <c r="G190">
        <v>1</v>
      </c>
      <c r="H190">
        <v>47</v>
      </c>
      <c r="I190">
        <v>33</v>
      </c>
      <c r="J190" t="s">
        <v>445</v>
      </c>
      <c r="K190">
        <v>0</v>
      </c>
    </row>
    <row r="191" spans="1:12">
      <c r="A191">
        <v>345986</v>
      </c>
      <c r="B191" t="s">
        <v>1465</v>
      </c>
      <c r="D191" t="s">
        <v>951</v>
      </c>
      <c r="E191">
        <v>39135</v>
      </c>
      <c r="F191" t="s">
        <v>578</v>
      </c>
      <c r="G191">
        <v>1</v>
      </c>
      <c r="H191">
        <v>90</v>
      </c>
      <c r="I191">
        <v>20</v>
      </c>
      <c r="J191" t="s">
        <v>445</v>
      </c>
      <c r="K191">
        <v>0</v>
      </c>
    </row>
    <row r="192" spans="1:12">
      <c r="A192">
        <v>345988</v>
      </c>
      <c r="B192" t="s">
        <v>1465</v>
      </c>
      <c r="D192" t="s">
        <v>1750</v>
      </c>
      <c r="E192">
        <v>39136</v>
      </c>
      <c r="F192" t="s">
        <v>578</v>
      </c>
      <c r="G192">
        <v>1</v>
      </c>
      <c r="H192">
        <v>90</v>
      </c>
      <c r="I192">
        <v>51</v>
      </c>
      <c r="J192" t="s">
        <v>445</v>
      </c>
      <c r="K192">
        <v>0</v>
      </c>
    </row>
    <row r="193" spans="1:12">
      <c r="A193">
        <v>346003</v>
      </c>
      <c r="B193" t="s">
        <v>1465</v>
      </c>
      <c r="D193" t="s">
        <v>1448</v>
      </c>
      <c r="E193">
        <v>39134</v>
      </c>
      <c r="F193" t="s">
        <v>578</v>
      </c>
      <c r="G193">
        <v>1</v>
      </c>
      <c r="H193">
        <v>99</v>
      </c>
      <c r="I193">
        <v>34</v>
      </c>
      <c r="J193" t="s">
        <v>445</v>
      </c>
      <c r="K193">
        <v>0</v>
      </c>
    </row>
    <row r="194" spans="1:12">
      <c r="A194">
        <v>346007</v>
      </c>
      <c r="B194" t="s">
        <v>1465</v>
      </c>
      <c r="D194" t="s">
        <v>2007</v>
      </c>
      <c r="E194">
        <v>39128</v>
      </c>
      <c r="F194" t="s">
        <v>578</v>
      </c>
      <c r="G194">
        <v>1</v>
      </c>
      <c r="H194">
        <v>99</v>
      </c>
      <c r="I194">
        <v>49</v>
      </c>
      <c r="J194" t="s">
        <v>445</v>
      </c>
      <c r="K194">
        <v>0</v>
      </c>
    </row>
    <row r="195" spans="1:12">
      <c r="A195">
        <v>345718</v>
      </c>
      <c r="B195" t="s">
        <v>1109</v>
      </c>
      <c r="D195" t="s">
        <v>2008</v>
      </c>
      <c r="E195">
        <v>39129</v>
      </c>
      <c r="F195" t="s">
        <v>578</v>
      </c>
      <c r="G195">
        <v>1</v>
      </c>
      <c r="H195">
        <v>54.9</v>
      </c>
      <c r="I195">
        <v>1</v>
      </c>
      <c r="J195" t="s">
        <v>580</v>
      </c>
      <c r="K195">
        <v>0</v>
      </c>
    </row>
    <row r="196" spans="1:12">
      <c r="A196">
        <v>343410</v>
      </c>
      <c r="B196" t="s">
        <v>1465</v>
      </c>
      <c r="D196" t="s">
        <v>1562</v>
      </c>
      <c r="E196">
        <v>39111</v>
      </c>
      <c r="F196" t="s">
        <v>578</v>
      </c>
      <c r="G196">
        <v>1</v>
      </c>
      <c r="H196">
        <v>92</v>
      </c>
      <c r="I196">
        <v>7</v>
      </c>
      <c r="J196" t="s">
        <v>580</v>
      </c>
      <c r="K196">
        <v>20</v>
      </c>
      <c r="L196" s="145">
        <v>42054</v>
      </c>
    </row>
    <row r="197" spans="1:12">
      <c r="A197">
        <v>345880</v>
      </c>
      <c r="B197" t="s">
        <v>1465</v>
      </c>
      <c r="D197" t="s">
        <v>547</v>
      </c>
      <c r="E197">
        <v>30606</v>
      </c>
      <c r="F197" t="s">
        <v>578</v>
      </c>
      <c r="G197">
        <v>1</v>
      </c>
      <c r="H197">
        <v>45</v>
      </c>
      <c r="I197">
        <v>19</v>
      </c>
      <c r="J197" t="s">
        <v>580</v>
      </c>
      <c r="K197">
        <v>0</v>
      </c>
    </row>
    <row r="198" spans="1:12">
      <c r="A198">
        <v>345880</v>
      </c>
      <c r="B198" t="s">
        <v>1465</v>
      </c>
      <c r="D198" t="s">
        <v>547</v>
      </c>
      <c r="E198">
        <v>30607</v>
      </c>
      <c r="F198" t="s">
        <v>578</v>
      </c>
      <c r="G198">
        <v>1</v>
      </c>
      <c r="H198">
        <v>45</v>
      </c>
      <c r="I198">
        <v>19</v>
      </c>
      <c r="J198" t="s">
        <v>580</v>
      </c>
      <c r="K198">
        <v>0</v>
      </c>
    </row>
    <row r="199" spans="1:12">
      <c r="A199">
        <v>345930</v>
      </c>
      <c r="B199" t="s">
        <v>1465</v>
      </c>
      <c r="D199" t="s">
        <v>1421</v>
      </c>
      <c r="E199">
        <v>30606</v>
      </c>
      <c r="F199" t="s">
        <v>578</v>
      </c>
      <c r="G199">
        <v>2</v>
      </c>
      <c r="H199">
        <v>69.900000000000006</v>
      </c>
      <c r="I199">
        <v>8</v>
      </c>
      <c r="J199" t="s">
        <v>580</v>
      </c>
      <c r="K199">
        <v>4</v>
      </c>
      <c r="L199" s="145">
        <v>42061</v>
      </c>
    </row>
    <row r="200" spans="1:12">
      <c r="A200">
        <v>345883</v>
      </c>
      <c r="B200" t="s">
        <v>1465</v>
      </c>
      <c r="D200" t="s">
        <v>1137</v>
      </c>
      <c r="E200">
        <v>39126</v>
      </c>
      <c r="F200" t="s">
        <v>578</v>
      </c>
      <c r="G200">
        <v>1</v>
      </c>
      <c r="H200">
        <v>85</v>
      </c>
      <c r="I200">
        <v>21</v>
      </c>
      <c r="J200" t="s">
        <v>445</v>
      </c>
      <c r="K200">
        <v>0</v>
      </c>
    </row>
    <row r="201" spans="1:12">
      <c r="A201">
        <v>345885</v>
      </c>
      <c r="B201" t="s">
        <v>1465</v>
      </c>
      <c r="D201" t="s">
        <v>1138</v>
      </c>
      <c r="E201">
        <v>39119</v>
      </c>
      <c r="F201" t="s">
        <v>578</v>
      </c>
      <c r="G201">
        <v>1</v>
      </c>
      <c r="H201">
        <v>87</v>
      </c>
      <c r="I201">
        <v>25</v>
      </c>
      <c r="J201" t="s">
        <v>445</v>
      </c>
      <c r="K201">
        <v>0</v>
      </c>
    </row>
    <row r="202" spans="1:12">
      <c r="A202">
        <v>345886</v>
      </c>
      <c r="B202" t="s">
        <v>1465</v>
      </c>
      <c r="D202" t="s">
        <v>1392</v>
      </c>
      <c r="E202">
        <v>39118</v>
      </c>
      <c r="F202" t="s">
        <v>578</v>
      </c>
      <c r="G202">
        <v>1</v>
      </c>
      <c r="H202">
        <v>87</v>
      </c>
      <c r="I202">
        <v>8</v>
      </c>
      <c r="J202" t="s">
        <v>445</v>
      </c>
      <c r="K202">
        <v>0</v>
      </c>
    </row>
    <row r="203" spans="1:12">
      <c r="A203">
        <v>345990</v>
      </c>
      <c r="B203" t="s">
        <v>1465</v>
      </c>
      <c r="D203" t="s">
        <v>1419</v>
      </c>
      <c r="E203">
        <v>30607</v>
      </c>
      <c r="F203" t="s">
        <v>578</v>
      </c>
      <c r="G203">
        <v>4</v>
      </c>
      <c r="H203">
        <v>29.9</v>
      </c>
      <c r="I203">
        <v>2</v>
      </c>
      <c r="J203" t="s">
        <v>580</v>
      </c>
      <c r="K203">
        <v>10</v>
      </c>
      <c r="L203" s="145">
        <v>42061</v>
      </c>
    </row>
    <row r="204" spans="1:12">
      <c r="A204">
        <v>345991</v>
      </c>
      <c r="B204" t="s">
        <v>1465</v>
      </c>
      <c r="D204" t="s">
        <v>1420</v>
      </c>
      <c r="E204">
        <v>30608</v>
      </c>
      <c r="F204" t="s">
        <v>578</v>
      </c>
      <c r="G204">
        <v>4</v>
      </c>
      <c r="H204">
        <v>39.9</v>
      </c>
      <c r="I204">
        <v>5</v>
      </c>
      <c r="J204" t="s">
        <v>580</v>
      </c>
      <c r="K204">
        <v>6</v>
      </c>
      <c r="L204" s="145">
        <v>42061</v>
      </c>
    </row>
    <row r="205" spans="1:12">
      <c r="A205">
        <v>345995</v>
      </c>
      <c r="B205" t="s">
        <v>1465</v>
      </c>
      <c r="D205" t="s">
        <v>1422</v>
      </c>
      <c r="E205">
        <v>30607</v>
      </c>
      <c r="F205" t="s">
        <v>578</v>
      </c>
      <c r="G205">
        <v>2</v>
      </c>
      <c r="H205">
        <v>29.9</v>
      </c>
      <c r="I205">
        <v>15</v>
      </c>
      <c r="J205" t="s">
        <v>580</v>
      </c>
      <c r="K205">
        <v>2</v>
      </c>
      <c r="L205" s="145">
        <v>42061</v>
      </c>
    </row>
    <row r="206" spans="1:12">
      <c r="A206">
        <v>345996</v>
      </c>
      <c r="B206" t="s">
        <v>1465</v>
      </c>
      <c r="D206" t="s">
        <v>1423</v>
      </c>
      <c r="E206">
        <v>30608</v>
      </c>
      <c r="F206" t="s">
        <v>578</v>
      </c>
      <c r="G206">
        <v>2</v>
      </c>
      <c r="H206">
        <v>39.9</v>
      </c>
      <c r="I206">
        <v>9</v>
      </c>
      <c r="J206" t="s">
        <v>580</v>
      </c>
      <c r="K206">
        <v>2</v>
      </c>
      <c r="L206" s="145">
        <v>42061</v>
      </c>
    </row>
    <row r="207" spans="1:12">
      <c r="A207">
        <v>345997</v>
      </c>
      <c r="B207" t="s">
        <v>1465</v>
      </c>
      <c r="D207" t="s">
        <v>1424</v>
      </c>
      <c r="E207">
        <v>30607</v>
      </c>
      <c r="F207" t="s">
        <v>578</v>
      </c>
      <c r="G207">
        <v>3</v>
      </c>
      <c r="H207">
        <v>29.9</v>
      </c>
      <c r="I207">
        <v>12</v>
      </c>
      <c r="J207" t="s">
        <v>580</v>
      </c>
      <c r="K207">
        <v>8</v>
      </c>
      <c r="L207" s="145">
        <v>42061</v>
      </c>
    </row>
    <row r="208" spans="1:12">
      <c r="A208">
        <v>345998</v>
      </c>
      <c r="B208" t="s">
        <v>1465</v>
      </c>
      <c r="D208" t="s">
        <v>1425</v>
      </c>
      <c r="E208">
        <v>30608</v>
      </c>
      <c r="F208" t="s">
        <v>578</v>
      </c>
      <c r="G208">
        <v>3</v>
      </c>
      <c r="H208">
        <v>39.9</v>
      </c>
      <c r="I208">
        <v>12</v>
      </c>
      <c r="J208" t="s">
        <v>580</v>
      </c>
      <c r="K208">
        <v>0</v>
      </c>
    </row>
    <row r="209" spans="1:11">
      <c r="A209">
        <v>346100</v>
      </c>
      <c r="B209" t="s">
        <v>1465</v>
      </c>
      <c r="D209" t="s">
        <v>1883</v>
      </c>
      <c r="E209">
        <v>39127</v>
      </c>
      <c r="F209" t="s">
        <v>578</v>
      </c>
      <c r="G209">
        <v>1</v>
      </c>
      <c r="H209">
        <v>95</v>
      </c>
      <c r="I209">
        <v>25</v>
      </c>
      <c r="J209" t="s">
        <v>445</v>
      </c>
      <c r="K209">
        <v>0</v>
      </c>
    </row>
    <row r="210" spans="1:11">
      <c r="A210">
        <v>345802</v>
      </c>
      <c r="B210" t="s">
        <v>1465</v>
      </c>
      <c r="D210" t="s">
        <v>1135</v>
      </c>
      <c r="E210">
        <v>30805</v>
      </c>
      <c r="F210" t="s">
        <v>578</v>
      </c>
      <c r="G210">
        <v>9</v>
      </c>
      <c r="H210">
        <v>6.95</v>
      </c>
      <c r="I210">
        <v>25</v>
      </c>
      <c r="J210" t="s">
        <v>445</v>
      </c>
      <c r="K210">
        <v>0</v>
      </c>
    </row>
    <row r="211" spans="1:11">
      <c r="A211">
        <v>345802</v>
      </c>
      <c r="B211" t="s">
        <v>1465</v>
      </c>
      <c r="D211" t="s">
        <v>1135</v>
      </c>
      <c r="E211">
        <v>33000</v>
      </c>
      <c r="F211" t="s">
        <v>578</v>
      </c>
      <c r="G211">
        <v>14</v>
      </c>
      <c r="H211">
        <v>6.95</v>
      </c>
      <c r="I211">
        <v>25</v>
      </c>
      <c r="J211" t="s">
        <v>445</v>
      </c>
      <c r="K211">
        <v>0</v>
      </c>
    </row>
    <row r="212" spans="1:11">
      <c r="A212">
        <v>345795</v>
      </c>
      <c r="B212" t="s">
        <v>1465</v>
      </c>
      <c r="D212" t="s">
        <v>1131</v>
      </c>
      <c r="E212">
        <v>33000</v>
      </c>
      <c r="F212" t="s">
        <v>578</v>
      </c>
      <c r="G212">
        <v>12</v>
      </c>
      <c r="H212">
        <v>4.95</v>
      </c>
      <c r="I212">
        <v>14</v>
      </c>
      <c r="J212" t="s">
        <v>445</v>
      </c>
      <c r="K212">
        <v>0</v>
      </c>
    </row>
    <row r="213" spans="1:11">
      <c r="A213">
        <v>345795</v>
      </c>
      <c r="B213" t="s">
        <v>1465</v>
      </c>
      <c r="D213" t="s">
        <v>1131</v>
      </c>
      <c r="E213">
        <v>30805</v>
      </c>
      <c r="F213" t="s">
        <v>578</v>
      </c>
      <c r="G213">
        <v>13</v>
      </c>
      <c r="H213">
        <v>4.95</v>
      </c>
      <c r="I213">
        <v>14</v>
      </c>
      <c r="J213" t="s">
        <v>445</v>
      </c>
      <c r="K213">
        <v>0</v>
      </c>
    </row>
    <row r="214" spans="1:11">
      <c r="A214">
        <v>345796</v>
      </c>
      <c r="B214" t="s">
        <v>1465</v>
      </c>
      <c r="D214" t="s">
        <v>1132</v>
      </c>
      <c r="E214">
        <v>30805</v>
      </c>
      <c r="F214" t="s">
        <v>578</v>
      </c>
      <c r="G214">
        <v>12</v>
      </c>
      <c r="H214">
        <v>4.95</v>
      </c>
      <c r="I214">
        <v>29</v>
      </c>
      <c r="J214" t="s">
        <v>445</v>
      </c>
      <c r="K214">
        <v>0</v>
      </c>
    </row>
    <row r="215" spans="1:11">
      <c r="A215">
        <v>345796</v>
      </c>
      <c r="B215" t="s">
        <v>1465</v>
      </c>
      <c r="D215" t="s">
        <v>1132</v>
      </c>
      <c r="E215">
        <v>33000</v>
      </c>
      <c r="F215" t="s">
        <v>578</v>
      </c>
      <c r="G215">
        <v>10</v>
      </c>
      <c r="H215">
        <v>4.95</v>
      </c>
      <c r="I215">
        <v>29</v>
      </c>
      <c r="J215" t="s">
        <v>445</v>
      </c>
      <c r="K215">
        <v>0</v>
      </c>
    </row>
    <row r="216" spans="1:11">
      <c r="A216">
        <v>345797</v>
      </c>
      <c r="B216" t="s">
        <v>1465</v>
      </c>
      <c r="D216" t="s">
        <v>1133</v>
      </c>
      <c r="E216">
        <v>30805</v>
      </c>
      <c r="F216" t="s">
        <v>578</v>
      </c>
      <c r="G216">
        <v>14</v>
      </c>
      <c r="H216">
        <v>4.95</v>
      </c>
      <c r="I216">
        <v>15</v>
      </c>
      <c r="J216" t="s">
        <v>445</v>
      </c>
      <c r="K216">
        <v>0</v>
      </c>
    </row>
    <row r="217" spans="1:11">
      <c r="A217">
        <v>345797</v>
      </c>
      <c r="B217" t="s">
        <v>1465</v>
      </c>
      <c r="D217" t="s">
        <v>1133</v>
      </c>
      <c r="E217">
        <v>33000</v>
      </c>
      <c r="F217" t="s">
        <v>578</v>
      </c>
      <c r="G217">
        <v>13</v>
      </c>
      <c r="H217">
        <v>4.95</v>
      </c>
      <c r="I217">
        <v>15</v>
      </c>
      <c r="J217" t="s">
        <v>445</v>
      </c>
      <c r="K217">
        <v>0</v>
      </c>
    </row>
    <row r="218" spans="1:11">
      <c r="A218">
        <v>345798</v>
      </c>
      <c r="B218" t="s">
        <v>1465</v>
      </c>
      <c r="D218" t="s">
        <v>1134</v>
      </c>
      <c r="E218">
        <v>30805</v>
      </c>
      <c r="F218" t="s">
        <v>578</v>
      </c>
      <c r="G218">
        <v>11</v>
      </c>
      <c r="H218">
        <v>4.95</v>
      </c>
      <c r="I218">
        <v>15</v>
      </c>
      <c r="J218" t="s">
        <v>445</v>
      </c>
      <c r="K218">
        <v>0</v>
      </c>
    </row>
    <row r="219" spans="1:11">
      <c r="A219">
        <v>345798</v>
      </c>
      <c r="B219" t="s">
        <v>1465</v>
      </c>
      <c r="D219" t="s">
        <v>1134</v>
      </c>
      <c r="E219">
        <v>30805</v>
      </c>
      <c r="F219" t="s">
        <v>578</v>
      </c>
      <c r="G219">
        <v>15</v>
      </c>
      <c r="H219">
        <v>4.95</v>
      </c>
      <c r="I219">
        <v>15</v>
      </c>
      <c r="J219" t="s">
        <v>445</v>
      </c>
      <c r="K219">
        <v>0</v>
      </c>
    </row>
    <row r="220" spans="1:11">
      <c r="A220">
        <v>345798</v>
      </c>
      <c r="B220" t="s">
        <v>1465</v>
      </c>
      <c r="D220" t="s">
        <v>1134</v>
      </c>
      <c r="E220">
        <v>33000</v>
      </c>
      <c r="F220" t="s">
        <v>578</v>
      </c>
      <c r="G220">
        <v>11</v>
      </c>
      <c r="H220">
        <v>4.95</v>
      </c>
      <c r="I220">
        <v>15</v>
      </c>
      <c r="J220" t="s">
        <v>445</v>
      </c>
      <c r="K220">
        <v>0</v>
      </c>
    </row>
    <row r="221" spans="1:11">
      <c r="A221">
        <v>345754</v>
      </c>
      <c r="B221" t="s">
        <v>1465</v>
      </c>
      <c r="D221" t="s">
        <v>950</v>
      </c>
      <c r="E221">
        <v>30805</v>
      </c>
      <c r="F221" t="s">
        <v>578</v>
      </c>
      <c r="G221">
        <v>7</v>
      </c>
      <c r="H221">
        <v>6.95</v>
      </c>
      <c r="I221">
        <v>22</v>
      </c>
      <c r="J221" t="s">
        <v>445</v>
      </c>
      <c r="K221">
        <v>0</v>
      </c>
    </row>
    <row r="222" spans="1:11">
      <c r="A222">
        <v>345760</v>
      </c>
      <c r="B222" t="s">
        <v>1465</v>
      </c>
      <c r="D222" t="s">
        <v>1121</v>
      </c>
      <c r="E222">
        <v>30805</v>
      </c>
      <c r="F222" t="s">
        <v>578</v>
      </c>
      <c r="G222">
        <v>5</v>
      </c>
      <c r="H222">
        <v>3.95</v>
      </c>
      <c r="I222">
        <v>13</v>
      </c>
      <c r="J222" t="s">
        <v>445</v>
      </c>
      <c r="K222">
        <v>0</v>
      </c>
    </row>
    <row r="223" spans="1:11">
      <c r="A223">
        <v>345761</v>
      </c>
      <c r="B223" t="s">
        <v>1465</v>
      </c>
      <c r="D223" t="s">
        <v>1122</v>
      </c>
      <c r="E223">
        <v>30805</v>
      </c>
      <c r="F223" t="s">
        <v>578</v>
      </c>
      <c r="G223">
        <v>3</v>
      </c>
      <c r="H223">
        <v>3.95</v>
      </c>
      <c r="I223">
        <v>22</v>
      </c>
      <c r="J223" t="s">
        <v>445</v>
      </c>
      <c r="K223">
        <v>0</v>
      </c>
    </row>
    <row r="224" spans="1:11">
      <c r="A224">
        <v>345762</v>
      </c>
      <c r="B224" t="s">
        <v>1465</v>
      </c>
      <c r="D224" t="s">
        <v>1123</v>
      </c>
      <c r="E224">
        <v>30805</v>
      </c>
      <c r="F224" t="s">
        <v>578</v>
      </c>
      <c r="G224">
        <v>1</v>
      </c>
      <c r="H224">
        <v>3.95</v>
      </c>
      <c r="I224">
        <v>25</v>
      </c>
      <c r="J224" t="s">
        <v>445</v>
      </c>
      <c r="K224">
        <v>0</v>
      </c>
    </row>
    <row r="225" spans="1:12">
      <c r="A225">
        <v>345763</v>
      </c>
      <c r="B225" t="s">
        <v>1465</v>
      </c>
      <c r="D225" t="s">
        <v>1124</v>
      </c>
      <c r="E225">
        <v>30805</v>
      </c>
      <c r="F225" t="s">
        <v>578</v>
      </c>
      <c r="G225">
        <v>4</v>
      </c>
      <c r="H225">
        <v>3.95</v>
      </c>
      <c r="I225">
        <v>4</v>
      </c>
      <c r="J225" t="s">
        <v>445</v>
      </c>
      <c r="K225">
        <v>24</v>
      </c>
      <c r="L225" s="145">
        <v>42075</v>
      </c>
    </row>
    <row r="226" spans="1:12">
      <c r="A226">
        <v>345770</v>
      </c>
      <c r="B226" t="s">
        <v>1465</v>
      </c>
      <c r="D226" t="s">
        <v>1666</v>
      </c>
      <c r="E226">
        <v>33000</v>
      </c>
      <c r="F226" t="s">
        <v>578</v>
      </c>
      <c r="G226">
        <v>26</v>
      </c>
      <c r="H226">
        <v>10</v>
      </c>
      <c r="I226">
        <v>87</v>
      </c>
      <c r="J226" t="s">
        <v>580</v>
      </c>
      <c r="K226">
        <v>0</v>
      </c>
    </row>
    <row r="227" spans="1:12">
      <c r="A227">
        <v>345770</v>
      </c>
      <c r="B227" t="s">
        <v>1465</v>
      </c>
      <c r="D227" t="s">
        <v>1666</v>
      </c>
      <c r="E227">
        <v>30806</v>
      </c>
      <c r="F227" t="s">
        <v>578</v>
      </c>
      <c r="G227">
        <v>4</v>
      </c>
      <c r="H227">
        <v>10</v>
      </c>
      <c r="I227">
        <v>87</v>
      </c>
      <c r="J227" t="s">
        <v>580</v>
      </c>
      <c r="K227">
        <v>0</v>
      </c>
    </row>
    <row r="228" spans="1:12">
      <c r="A228">
        <v>345764</v>
      </c>
      <c r="B228" t="s">
        <v>1465</v>
      </c>
      <c r="D228" t="s">
        <v>1125</v>
      </c>
      <c r="E228">
        <v>30805</v>
      </c>
      <c r="F228" t="s">
        <v>578</v>
      </c>
      <c r="G228">
        <v>2</v>
      </c>
      <c r="H228">
        <v>3.95</v>
      </c>
      <c r="I228">
        <v>19</v>
      </c>
      <c r="J228" t="s">
        <v>445</v>
      </c>
      <c r="K228">
        <v>0</v>
      </c>
    </row>
    <row r="229" spans="1:12">
      <c r="A229">
        <v>345751</v>
      </c>
      <c r="B229" t="s">
        <v>1791</v>
      </c>
      <c r="C229" s="145">
        <v>42040</v>
      </c>
      <c r="D229" t="s">
        <v>1120</v>
      </c>
      <c r="E229">
        <v>33000</v>
      </c>
      <c r="F229" t="s">
        <v>578</v>
      </c>
      <c r="G229">
        <v>4</v>
      </c>
      <c r="H229">
        <v>6.95</v>
      </c>
      <c r="I229">
        <v>33</v>
      </c>
      <c r="J229" t="s">
        <v>445</v>
      </c>
      <c r="K229">
        <v>0</v>
      </c>
    </row>
    <row r="230" spans="1:12">
      <c r="A230">
        <v>345751</v>
      </c>
      <c r="B230" t="s">
        <v>1791</v>
      </c>
      <c r="C230" s="145">
        <v>42040</v>
      </c>
      <c r="D230" t="s">
        <v>1120</v>
      </c>
      <c r="E230">
        <v>30805</v>
      </c>
      <c r="F230" t="s">
        <v>578</v>
      </c>
      <c r="G230">
        <v>6</v>
      </c>
      <c r="H230">
        <v>6.95</v>
      </c>
      <c r="I230">
        <v>33</v>
      </c>
      <c r="J230" t="s">
        <v>445</v>
      </c>
      <c r="K230">
        <v>0</v>
      </c>
    </row>
    <row r="231" spans="1:12">
      <c r="A231">
        <v>345992</v>
      </c>
      <c r="B231" t="s">
        <v>1465</v>
      </c>
      <c r="D231" t="s">
        <v>1751</v>
      </c>
      <c r="E231">
        <v>30805</v>
      </c>
      <c r="F231" t="s">
        <v>578</v>
      </c>
      <c r="G231">
        <v>8</v>
      </c>
      <c r="H231">
        <v>6.95</v>
      </c>
      <c r="I231">
        <v>29</v>
      </c>
      <c r="J231" t="s">
        <v>445</v>
      </c>
      <c r="K231">
        <v>0</v>
      </c>
    </row>
    <row r="232" spans="1:12">
      <c r="A232">
        <v>345765</v>
      </c>
      <c r="B232" t="s">
        <v>1465</v>
      </c>
      <c r="D232" t="s">
        <v>1447</v>
      </c>
      <c r="E232">
        <v>30805</v>
      </c>
      <c r="F232" t="s">
        <v>578</v>
      </c>
      <c r="G232">
        <v>10</v>
      </c>
      <c r="H232">
        <v>6.95</v>
      </c>
      <c r="I232">
        <v>22</v>
      </c>
      <c r="J232" t="s">
        <v>445</v>
      </c>
      <c r="K232">
        <v>0</v>
      </c>
    </row>
    <row r="233" spans="1:12">
      <c r="A233">
        <v>345771</v>
      </c>
      <c r="B233" t="s">
        <v>1465</v>
      </c>
      <c r="D233" t="s">
        <v>1667</v>
      </c>
      <c r="E233">
        <v>30806</v>
      </c>
      <c r="F233" t="s">
        <v>578</v>
      </c>
      <c r="G233">
        <v>3</v>
      </c>
      <c r="H233">
        <v>10</v>
      </c>
      <c r="I233">
        <v>19</v>
      </c>
      <c r="J233" t="s">
        <v>580</v>
      </c>
      <c r="K233">
        <v>20</v>
      </c>
      <c r="L233" s="145">
        <v>42061</v>
      </c>
    </row>
    <row r="234" spans="1:12">
      <c r="A234">
        <v>345771</v>
      </c>
      <c r="B234" t="s">
        <v>1465</v>
      </c>
      <c r="D234" t="s">
        <v>1667</v>
      </c>
      <c r="E234">
        <v>33000</v>
      </c>
      <c r="F234" t="s">
        <v>578</v>
      </c>
      <c r="G234">
        <v>27</v>
      </c>
      <c r="H234">
        <v>10</v>
      </c>
      <c r="I234">
        <v>19</v>
      </c>
      <c r="J234" t="s">
        <v>580</v>
      </c>
      <c r="K234">
        <v>20</v>
      </c>
      <c r="L234" s="145">
        <v>42061</v>
      </c>
    </row>
    <row r="235" spans="1:12">
      <c r="A235">
        <v>345772</v>
      </c>
      <c r="B235" t="s">
        <v>1465</v>
      </c>
      <c r="D235" t="s">
        <v>1668</v>
      </c>
      <c r="E235">
        <v>30806</v>
      </c>
      <c r="F235" t="s">
        <v>578</v>
      </c>
      <c r="G235">
        <v>2</v>
      </c>
      <c r="H235">
        <v>10</v>
      </c>
      <c r="I235">
        <v>165</v>
      </c>
      <c r="J235" t="s">
        <v>580</v>
      </c>
      <c r="K235">
        <v>40</v>
      </c>
      <c r="L235" s="145">
        <v>42061</v>
      </c>
    </row>
    <row r="236" spans="1:12">
      <c r="A236">
        <v>345772</v>
      </c>
      <c r="B236" t="s">
        <v>1465</v>
      </c>
      <c r="D236" t="s">
        <v>1668</v>
      </c>
      <c r="E236">
        <v>33000</v>
      </c>
      <c r="F236" t="s">
        <v>578</v>
      </c>
      <c r="G236">
        <v>28</v>
      </c>
      <c r="H236">
        <v>10</v>
      </c>
      <c r="I236">
        <v>165</v>
      </c>
      <c r="J236" t="s">
        <v>580</v>
      </c>
      <c r="K236">
        <v>40</v>
      </c>
      <c r="L236" s="145">
        <v>42061</v>
      </c>
    </row>
    <row r="237" spans="1:12">
      <c r="A237">
        <v>345773</v>
      </c>
      <c r="B237" t="s">
        <v>1465</v>
      </c>
      <c r="D237" t="s">
        <v>1669</v>
      </c>
      <c r="E237">
        <v>33000</v>
      </c>
      <c r="F237" t="s">
        <v>578</v>
      </c>
      <c r="G237">
        <v>20</v>
      </c>
      <c r="H237">
        <v>11.9</v>
      </c>
      <c r="I237">
        <v>29</v>
      </c>
      <c r="J237" t="s">
        <v>580</v>
      </c>
      <c r="K237">
        <v>0</v>
      </c>
    </row>
    <row r="238" spans="1:12">
      <c r="A238">
        <v>345774</v>
      </c>
      <c r="B238" t="s">
        <v>1465</v>
      </c>
      <c r="D238" t="s">
        <v>1670</v>
      </c>
      <c r="E238">
        <v>30806</v>
      </c>
      <c r="F238" t="s">
        <v>578</v>
      </c>
      <c r="G238">
        <v>6</v>
      </c>
      <c r="H238">
        <v>11.9</v>
      </c>
      <c r="I238">
        <v>15</v>
      </c>
      <c r="J238" t="s">
        <v>580</v>
      </c>
      <c r="K238">
        <v>20</v>
      </c>
      <c r="L238" s="145">
        <v>42061</v>
      </c>
    </row>
    <row r="239" spans="1:12">
      <c r="A239">
        <v>345774</v>
      </c>
      <c r="B239" t="s">
        <v>1465</v>
      </c>
      <c r="D239" t="s">
        <v>1670</v>
      </c>
      <c r="E239">
        <v>30806</v>
      </c>
      <c r="F239" t="s">
        <v>578</v>
      </c>
      <c r="G239">
        <v>7</v>
      </c>
      <c r="H239">
        <v>11.9</v>
      </c>
      <c r="I239">
        <v>15</v>
      </c>
      <c r="J239" t="s">
        <v>580</v>
      </c>
      <c r="K239">
        <v>20</v>
      </c>
      <c r="L239" s="145">
        <v>42061</v>
      </c>
    </row>
    <row r="240" spans="1:12">
      <c r="A240">
        <v>345774</v>
      </c>
      <c r="B240" t="s">
        <v>1465</v>
      </c>
      <c r="D240" t="s">
        <v>1670</v>
      </c>
      <c r="E240">
        <v>33000</v>
      </c>
      <c r="F240" t="s">
        <v>578</v>
      </c>
      <c r="G240">
        <v>21</v>
      </c>
      <c r="H240">
        <v>11.9</v>
      </c>
      <c r="I240">
        <v>15</v>
      </c>
      <c r="J240" t="s">
        <v>580</v>
      </c>
      <c r="K240">
        <v>20</v>
      </c>
      <c r="L240" s="145">
        <v>42061</v>
      </c>
    </row>
    <row r="241" spans="1:12">
      <c r="A241">
        <v>345775</v>
      </c>
      <c r="B241" t="s">
        <v>1465</v>
      </c>
      <c r="D241" t="s">
        <v>1671</v>
      </c>
      <c r="E241">
        <v>30806</v>
      </c>
      <c r="F241" t="s">
        <v>578</v>
      </c>
      <c r="G241">
        <v>5</v>
      </c>
      <c r="H241">
        <v>11.9</v>
      </c>
      <c r="I241">
        <v>29</v>
      </c>
      <c r="J241" t="s">
        <v>580</v>
      </c>
      <c r="K241">
        <v>0</v>
      </c>
    </row>
    <row r="242" spans="1:12">
      <c r="A242">
        <v>345775</v>
      </c>
      <c r="B242" t="s">
        <v>1465</v>
      </c>
      <c r="D242" t="s">
        <v>1671</v>
      </c>
      <c r="E242">
        <v>33000</v>
      </c>
      <c r="F242" t="s">
        <v>578</v>
      </c>
      <c r="G242">
        <v>22</v>
      </c>
      <c r="H242">
        <v>11.9</v>
      </c>
      <c r="I242">
        <v>29</v>
      </c>
      <c r="J242" t="s">
        <v>580</v>
      </c>
      <c r="K242">
        <v>0</v>
      </c>
    </row>
    <row r="243" spans="1:12">
      <c r="A243">
        <v>345779</v>
      </c>
      <c r="B243" t="s">
        <v>1791</v>
      </c>
      <c r="C243" s="145">
        <v>41978</v>
      </c>
      <c r="D243" t="s">
        <v>1965</v>
      </c>
      <c r="E243">
        <v>33000</v>
      </c>
      <c r="F243" t="s">
        <v>578</v>
      </c>
      <c r="G243">
        <v>29</v>
      </c>
      <c r="H243">
        <v>8.9</v>
      </c>
      <c r="I243">
        <v>8</v>
      </c>
      <c r="J243" t="s">
        <v>580</v>
      </c>
      <c r="K243">
        <v>0</v>
      </c>
    </row>
    <row r="244" spans="1:12">
      <c r="A244">
        <v>345780</v>
      </c>
      <c r="B244" t="s">
        <v>1791</v>
      </c>
      <c r="C244" s="145">
        <v>42040</v>
      </c>
      <c r="D244" t="s">
        <v>1966</v>
      </c>
      <c r="E244">
        <v>33000</v>
      </c>
      <c r="F244" t="s">
        <v>578</v>
      </c>
      <c r="G244">
        <v>30</v>
      </c>
      <c r="H244">
        <v>8.9</v>
      </c>
      <c r="I244">
        <v>25</v>
      </c>
      <c r="J244" t="s">
        <v>580</v>
      </c>
      <c r="K244">
        <v>0</v>
      </c>
    </row>
    <row r="245" spans="1:12">
      <c r="A245">
        <v>345782</v>
      </c>
      <c r="B245" t="s">
        <v>1465</v>
      </c>
      <c r="D245" t="s">
        <v>1967</v>
      </c>
      <c r="E245">
        <v>33000</v>
      </c>
      <c r="F245" t="s">
        <v>578</v>
      </c>
      <c r="G245">
        <v>23</v>
      </c>
      <c r="H245">
        <v>9.1999999999999993</v>
      </c>
      <c r="I245">
        <v>28</v>
      </c>
      <c r="J245" t="s">
        <v>580</v>
      </c>
      <c r="K245">
        <v>0</v>
      </c>
    </row>
    <row r="246" spans="1:12">
      <c r="A246">
        <v>345783</v>
      </c>
      <c r="B246" t="s">
        <v>1465</v>
      </c>
      <c r="D246" t="s">
        <v>1968</v>
      </c>
      <c r="E246">
        <v>33000</v>
      </c>
      <c r="F246" t="s">
        <v>578</v>
      </c>
      <c r="G246">
        <v>24</v>
      </c>
      <c r="H246">
        <v>9.1999999999999993</v>
      </c>
      <c r="I246">
        <v>20</v>
      </c>
      <c r="J246" t="s">
        <v>580</v>
      </c>
      <c r="K246">
        <v>0</v>
      </c>
    </row>
    <row r="247" spans="1:12">
      <c r="A247">
        <v>345784</v>
      </c>
      <c r="B247" t="s">
        <v>1791</v>
      </c>
      <c r="C247" s="145">
        <v>42009</v>
      </c>
      <c r="D247" t="s">
        <v>544</v>
      </c>
      <c r="E247">
        <v>33000</v>
      </c>
      <c r="F247" t="s">
        <v>578</v>
      </c>
      <c r="G247">
        <v>25</v>
      </c>
      <c r="H247">
        <v>9.1999999999999993</v>
      </c>
      <c r="I247">
        <v>8</v>
      </c>
      <c r="J247" t="s">
        <v>580</v>
      </c>
      <c r="K247">
        <v>0</v>
      </c>
    </row>
    <row r="248" spans="1:12">
      <c r="A248">
        <v>345785</v>
      </c>
      <c r="B248" t="s">
        <v>1465</v>
      </c>
      <c r="D248" t="s">
        <v>545</v>
      </c>
      <c r="E248">
        <v>33000</v>
      </c>
      <c r="F248" t="s">
        <v>578</v>
      </c>
      <c r="G248">
        <v>19</v>
      </c>
      <c r="H248">
        <v>10.95</v>
      </c>
      <c r="I248">
        <v>67</v>
      </c>
      <c r="J248" t="s">
        <v>580</v>
      </c>
      <c r="K248">
        <v>0</v>
      </c>
    </row>
    <row r="249" spans="1:12">
      <c r="A249">
        <v>345785</v>
      </c>
      <c r="B249" t="s">
        <v>1465</v>
      </c>
      <c r="D249" t="s">
        <v>545</v>
      </c>
      <c r="E249">
        <v>33000</v>
      </c>
      <c r="F249" t="s">
        <v>578</v>
      </c>
      <c r="G249">
        <v>1</v>
      </c>
      <c r="H249">
        <v>10.95</v>
      </c>
      <c r="I249">
        <v>67</v>
      </c>
      <c r="J249" t="s">
        <v>580</v>
      </c>
      <c r="K249">
        <v>0</v>
      </c>
    </row>
    <row r="250" spans="1:12">
      <c r="A250">
        <v>345786</v>
      </c>
      <c r="B250" t="s">
        <v>1465</v>
      </c>
      <c r="D250" t="s">
        <v>546</v>
      </c>
      <c r="E250">
        <v>30704</v>
      </c>
      <c r="F250" t="s">
        <v>578</v>
      </c>
      <c r="G250">
        <v>4</v>
      </c>
      <c r="H250">
        <v>3.95</v>
      </c>
      <c r="I250">
        <v>26</v>
      </c>
      <c r="J250" t="s">
        <v>580</v>
      </c>
      <c r="K250">
        <v>25</v>
      </c>
      <c r="L250" s="145">
        <v>42061</v>
      </c>
    </row>
    <row r="251" spans="1:12">
      <c r="A251">
        <v>345776</v>
      </c>
      <c r="B251" t="s">
        <v>1465</v>
      </c>
      <c r="D251" t="s">
        <v>1962</v>
      </c>
      <c r="E251">
        <v>30806</v>
      </c>
      <c r="F251" t="s">
        <v>578</v>
      </c>
      <c r="G251">
        <v>10</v>
      </c>
      <c r="H251">
        <v>11.9</v>
      </c>
      <c r="I251">
        <v>14</v>
      </c>
      <c r="J251" t="s">
        <v>580</v>
      </c>
      <c r="K251">
        <v>20</v>
      </c>
      <c r="L251" s="145">
        <v>42061</v>
      </c>
    </row>
    <row r="252" spans="1:12">
      <c r="A252">
        <v>345776</v>
      </c>
      <c r="B252" t="s">
        <v>1465</v>
      </c>
      <c r="D252" t="s">
        <v>1962</v>
      </c>
      <c r="E252">
        <v>33000</v>
      </c>
      <c r="F252" t="s">
        <v>578</v>
      </c>
      <c r="G252">
        <v>32</v>
      </c>
      <c r="H252">
        <v>11.9</v>
      </c>
      <c r="I252">
        <v>14</v>
      </c>
      <c r="J252" t="s">
        <v>580</v>
      </c>
      <c r="K252">
        <v>20</v>
      </c>
      <c r="L252" s="145">
        <v>42061</v>
      </c>
    </row>
    <row r="253" spans="1:12">
      <c r="A253">
        <v>345777</v>
      </c>
      <c r="B253" t="s">
        <v>1465</v>
      </c>
      <c r="D253" t="s">
        <v>1963</v>
      </c>
      <c r="E253">
        <v>30806</v>
      </c>
      <c r="F253" t="s">
        <v>578</v>
      </c>
      <c r="G253">
        <v>9</v>
      </c>
      <c r="H253">
        <v>11.9</v>
      </c>
      <c r="I253">
        <v>13</v>
      </c>
      <c r="J253" t="s">
        <v>580</v>
      </c>
      <c r="K253">
        <v>20</v>
      </c>
      <c r="L253" s="145">
        <v>42061</v>
      </c>
    </row>
    <row r="254" spans="1:12">
      <c r="A254">
        <v>345777</v>
      </c>
      <c r="B254" t="s">
        <v>1465</v>
      </c>
      <c r="D254" t="s">
        <v>1963</v>
      </c>
      <c r="E254">
        <v>33000</v>
      </c>
      <c r="F254" t="s">
        <v>578</v>
      </c>
      <c r="G254">
        <v>33</v>
      </c>
      <c r="H254">
        <v>11.9</v>
      </c>
      <c r="I254">
        <v>13</v>
      </c>
      <c r="J254" t="s">
        <v>580</v>
      </c>
      <c r="K254">
        <v>20</v>
      </c>
      <c r="L254" s="145">
        <v>42061</v>
      </c>
    </row>
    <row r="255" spans="1:12">
      <c r="A255">
        <v>345778</v>
      </c>
      <c r="B255" t="s">
        <v>1465</v>
      </c>
      <c r="D255" t="s">
        <v>1964</v>
      </c>
      <c r="E255">
        <v>39129</v>
      </c>
      <c r="F255" t="s">
        <v>578</v>
      </c>
      <c r="G255">
        <v>5</v>
      </c>
      <c r="H255">
        <v>11.9</v>
      </c>
      <c r="I255">
        <v>95</v>
      </c>
      <c r="J255" t="s">
        <v>580</v>
      </c>
      <c r="K255">
        <v>0</v>
      </c>
    </row>
    <row r="256" spans="1:12">
      <c r="A256">
        <v>345778</v>
      </c>
      <c r="B256" t="s">
        <v>1465</v>
      </c>
      <c r="D256" t="s">
        <v>1964</v>
      </c>
      <c r="E256">
        <v>33000</v>
      </c>
      <c r="F256" t="s">
        <v>578</v>
      </c>
      <c r="G256">
        <v>35</v>
      </c>
      <c r="H256">
        <v>11.9</v>
      </c>
      <c r="I256">
        <v>95</v>
      </c>
      <c r="J256" t="s">
        <v>580</v>
      </c>
      <c r="K256">
        <v>0</v>
      </c>
    </row>
    <row r="257" spans="1:12">
      <c r="A257">
        <v>345778</v>
      </c>
      <c r="B257" t="s">
        <v>1465</v>
      </c>
      <c r="D257" t="s">
        <v>1964</v>
      </c>
      <c r="E257">
        <v>33000</v>
      </c>
      <c r="F257" t="s">
        <v>578</v>
      </c>
      <c r="G257">
        <v>34</v>
      </c>
      <c r="H257">
        <v>11.9</v>
      </c>
      <c r="I257">
        <v>95</v>
      </c>
      <c r="J257" t="s">
        <v>580</v>
      </c>
      <c r="K257">
        <v>0</v>
      </c>
    </row>
    <row r="258" spans="1:12">
      <c r="A258">
        <v>345778</v>
      </c>
      <c r="B258" t="s">
        <v>1465</v>
      </c>
      <c r="D258" t="s">
        <v>1964</v>
      </c>
      <c r="E258">
        <v>30806</v>
      </c>
      <c r="F258" t="s">
        <v>578</v>
      </c>
      <c r="G258">
        <v>8</v>
      </c>
      <c r="H258">
        <v>11.9</v>
      </c>
      <c r="I258">
        <v>95</v>
      </c>
      <c r="J258" t="s">
        <v>580</v>
      </c>
      <c r="K258">
        <v>0</v>
      </c>
    </row>
    <row r="259" spans="1:12">
      <c r="A259">
        <v>343861</v>
      </c>
      <c r="B259" t="s">
        <v>1465</v>
      </c>
      <c r="D259" t="s">
        <v>1651</v>
      </c>
      <c r="E259">
        <v>30805</v>
      </c>
      <c r="F259" t="s">
        <v>578</v>
      </c>
      <c r="G259">
        <v>16</v>
      </c>
      <c r="H259">
        <v>15.7</v>
      </c>
      <c r="I259">
        <v>3</v>
      </c>
      <c r="J259" t="s">
        <v>580</v>
      </c>
      <c r="K259">
        <v>20</v>
      </c>
      <c r="L259" s="145">
        <v>42061</v>
      </c>
    </row>
    <row r="260" spans="1:12">
      <c r="A260">
        <v>343859</v>
      </c>
      <c r="B260" t="s">
        <v>1465</v>
      </c>
      <c r="D260" t="s">
        <v>1649</v>
      </c>
      <c r="E260">
        <v>30805</v>
      </c>
      <c r="F260" t="s">
        <v>578</v>
      </c>
      <c r="G260">
        <v>17</v>
      </c>
      <c r="H260">
        <v>15.95</v>
      </c>
      <c r="I260">
        <v>70</v>
      </c>
      <c r="J260" t="s">
        <v>580</v>
      </c>
      <c r="K260">
        <v>0</v>
      </c>
    </row>
    <row r="261" spans="1:12">
      <c r="A261">
        <v>301752</v>
      </c>
      <c r="B261" t="s">
        <v>1465</v>
      </c>
      <c r="D261" t="s">
        <v>1092</v>
      </c>
      <c r="E261">
        <v>37000</v>
      </c>
      <c r="F261" t="s">
        <v>578</v>
      </c>
      <c r="G261">
        <v>4</v>
      </c>
      <c r="H261">
        <v>10.28</v>
      </c>
      <c r="I261">
        <v>335</v>
      </c>
      <c r="J261" t="s">
        <v>2009</v>
      </c>
      <c r="K261">
        <v>0</v>
      </c>
    </row>
    <row r="262" spans="1:12">
      <c r="A262">
        <v>301752</v>
      </c>
      <c r="B262" t="s">
        <v>1465</v>
      </c>
      <c r="D262" t="s">
        <v>1092</v>
      </c>
      <c r="E262">
        <v>37504</v>
      </c>
      <c r="F262" t="s">
        <v>578</v>
      </c>
      <c r="G262">
        <v>6</v>
      </c>
      <c r="H262">
        <v>10.28</v>
      </c>
      <c r="I262">
        <v>335</v>
      </c>
      <c r="J262" t="s">
        <v>2009</v>
      </c>
      <c r="K262">
        <v>0</v>
      </c>
    </row>
    <row r="263" spans="1:12">
      <c r="A263">
        <v>301752</v>
      </c>
      <c r="B263" t="s">
        <v>1465</v>
      </c>
      <c r="D263" t="s">
        <v>1092</v>
      </c>
      <c r="E263">
        <v>37505</v>
      </c>
      <c r="F263" t="s">
        <v>578</v>
      </c>
      <c r="G263">
        <v>4</v>
      </c>
      <c r="H263">
        <v>10.28</v>
      </c>
      <c r="I263">
        <v>335</v>
      </c>
      <c r="J263" t="s">
        <v>2009</v>
      </c>
      <c r="K263">
        <v>0</v>
      </c>
    </row>
    <row r="264" spans="1:12">
      <c r="A264">
        <v>301753</v>
      </c>
      <c r="B264" t="s">
        <v>1465</v>
      </c>
      <c r="D264" t="s">
        <v>1093</v>
      </c>
      <c r="E264">
        <v>37505</v>
      </c>
      <c r="F264" t="s">
        <v>578</v>
      </c>
      <c r="G264">
        <v>5</v>
      </c>
      <c r="H264">
        <v>7.98</v>
      </c>
      <c r="I264">
        <v>424</v>
      </c>
      <c r="J264" t="s">
        <v>2009</v>
      </c>
      <c r="K264">
        <v>0</v>
      </c>
    </row>
    <row r="265" spans="1:12">
      <c r="A265">
        <v>301753</v>
      </c>
      <c r="B265" t="s">
        <v>1465</v>
      </c>
      <c r="D265" t="s">
        <v>1093</v>
      </c>
      <c r="E265">
        <v>37504</v>
      </c>
      <c r="F265" t="s">
        <v>578</v>
      </c>
      <c r="G265">
        <v>9</v>
      </c>
      <c r="H265">
        <v>7.98</v>
      </c>
      <c r="I265">
        <v>424</v>
      </c>
      <c r="J265" t="s">
        <v>2009</v>
      </c>
      <c r="K265">
        <v>0</v>
      </c>
    </row>
    <row r="266" spans="1:12">
      <c r="A266">
        <v>301753</v>
      </c>
      <c r="B266" t="s">
        <v>1465</v>
      </c>
      <c r="D266" t="s">
        <v>1093</v>
      </c>
      <c r="E266">
        <v>37000</v>
      </c>
      <c r="F266" t="s">
        <v>578</v>
      </c>
      <c r="G266">
        <v>6</v>
      </c>
      <c r="H266">
        <v>7.98</v>
      </c>
      <c r="I266">
        <v>424</v>
      </c>
      <c r="J266" t="s">
        <v>2009</v>
      </c>
      <c r="K266">
        <v>0</v>
      </c>
    </row>
    <row r="267" spans="1:12">
      <c r="A267">
        <v>301788</v>
      </c>
      <c r="B267" t="s">
        <v>1465</v>
      </c>
      <c r="D267" t="s">
        <v>1097</v>
      </c>
      <c r="E267">
        <v>37505</v>
      </c>
      <c r="F267" t="s">
        <v>578</v>
      </c>
      <c r="G267">
        <v>2</v>
      </c>
      <c r="H267">
        <v>15.48</v>
      </c>
      <c r="I267">
        <v>111</v>
      </c>
      <c r="J267" t="s">
        <v>2009</v>
      </c>
      <c r="K267">
        <v>0</v>
      </c>
    </row>
    <row r="268" spans="1:12">
      <c r="A268">
        <v>301788</v>
      </c>
      <c r="B268" t="s">
        <v>1465</v>
      </c>
      <c r="D268" t="s">
        <v>1097</v>
      </c>
      <c r="E268">
        <v>37000</v>
      </c>
      <c r="F268" t="s">
        <v>578</v>
      </c>
      <c r="G268">
        <v>2</v>
      </c>
      <c r="H268">
        <v>15.48</v>
      </c>
      <c r="I268">
        <v>111</v>
      </c>
      <c r="J268" t="s">
        <v>2009</v>
      </c>
      <c r="K268">
        <v>0</v>
      </c>
    </row>
    <row r="269" spans="1:12">
      <c r="A269">
        <v>302001</v>
      </c>
      <c r="B269" t="s">
        <v>1465</v>
      </c>
      <c r="D269" t="s">
        <v>1102</v>
      </c>
      <c r="E269">
        <v>37505</v>
      </c>
      <c r="F269" t="s">
        <v>578</v>
      </c>
      <c r="G269">
        <v>3</v>
      </c>
      <c r="H269">
        <v>15.48</v>
      </c>
      <c r="I269">
        <v>152</v>
      </c>
      <c r="J269" t="s">
        <v>2009</v>
      </c>
      <c r="K269">
        <v>0</v>
      </c>
    </row>
    <row r="270" spans="1:12">
      <c r="A270">
        <v>302001</v>
      </c>
      <c r="B270" t="s">
        <v>1465</v>
      </c>
      <c r="D270" t="s">
        <v>1102</v>
      </c>
      <c r="E270">
        <v>37504</v>
      </c>
      <c r="F270" t="s">
        <v>578</v>
      </c>
      <c r="G270">
        <v>3</v>
      </c>
      <c r="H270">
        <v>15.48</v>
      </c>
      <c r="I270">
        <v>152</v>
      </c>
      <c r="J270" t="s">
        <v>2009</v>
      </c>
      <c r="K270">
        <v>0</v>
      </c>
    </row>
    <row r="271" spans="1:12">
      <c r="A271">
        <v>302010</v>
      </c>
      <c r="B271" t="s">
        <v>1465</v>
      </c>
      <c r="D271" t="s">
        <v>1104</v>
      </c>
      <c r="E271">
        <v>37404</v>
      </c>
      <c r="F271" t="s">
        <v>578</v>
      </c>
      <c r="G271">
        <v>7</v>
      </c>
      <c r="H271">
        <v>16.57</v>
      </c>
      <c r="I271">
        <v>82</v>
      </c>
      <c r="J271" t="s">
        <v>2009</v>
      </c>
      <c r="K271">
        <v>0</v>
      </c>
    </row>
    <row r="272" spans="1:12">
      <c r="A272">
        <v>302010</v>
      </c>
      <c r="B272" t="s">
        <v>1465</v>
      </c>
      <c r="D272" t="s">
        <v>1104</v>
      </c>
      <c r="E272">
        <v>37000</v>
      </c>
      <c r="F272" t="s">
        <v>578</v>
      </c>
      <c r="G272">
        <v>3</v>
      </c>
      <c r="H272">
        <v>16.57</v>
      </c>
      <c r="I272">
        <v>82</v>
      </c>
      <c r="J272" t="s">
        <v>2009</v>
      </c>
      <c r="K272">
        <v>0</v>
      </c>
    </row>
    <row r="273" spans="1:12">
      <c r="A273">
        <v>302020</v>
      </c>
      <c r="B273" t="s">
        <v>1465</v>
      </c>
      <c r="D273" t="s">
        <v>328</v>
      </c>
      <c r="E273">
        <v>37000</v>
      </c>
      <c r="F273" t="s">
        <v>578</v>
      </c>
      <c r="G273">
        <v>9</v>
      </c>
      <c r="H273">
        <v>16.57</v>
      </c>
      <c r="I273">
        <v>361</v>
      </c>
      <c r="J273" t="s">
        <v>2009</v>
      </c>
      <c r="K273">
        <v>48</v>
      </c>
      <c r="L273" s="145">
        <v>42072</v>
      </c>
    </row>
    <row r="274" spans="1:12">
      <c r="A274">
        <v>302020</v>
      </c>
      <c r="B274" t="s">
        <v>1465</v>
      </c>
      <c r="D274" t="s">
        <v>328</v>
      </c>
      <c r="E274">
        <v>37504</v>
      </c>
      <c r="F274" t="s">
        <v>578</v>
      </c>
      <c r="G274">
        <v>12</v>
      </c>
      <c r="H274">
        <v>16.57</v>
      </c>
      <c r="I274">
        <v>361</v>
      </c>
      <c r="J274" t="s">
        <v>2009</v>
      </c>
      <c r="K274">
        <v>48</v>
      </c>
      <c r="L274" s="145">
        <v>42072</v>
      </c>
    </row>
    <row r="275" spans="1:12">
      <c r="A275">
        <v>302000</v>
      </c>
      <c r="B275" t="s">
        <v>1465</v>
      </c>
      <c r="D275" t="s">
        <v>1101</v>
      </c>
      <c r="E275">
        <v>37405</v>
      </c>
      <c r="F275" t="s">
        <v>578</v>
      </c>
      <c r="G275">
        <v>3</v>
      </c>
      <c r="H275">
        <v>16.57</v>
      </c>
      <c r="I275">
        <v>156</v>
      </c>
      <c r="J275" t="s">
        <v>2009</v>
      </c>
      <c r="K275">
        <v>0</v>
      </c>
    </row>
    <row r="276" spans="1:12">
      <c r="A276">
        <v>302000</v>
      </c>
      <c r="B276" t="s">
        <v>1465</v>
      </c>
      <c r="D276" t="s">
        <v>1101</v>
      </c>
      <c r="E276">
        <v>37404</v>
      </c>
      <c r="F276" t="s">
        <v>578</v>
      </c>
      <c r="G276">
        <v>10</v>
      </c>
      <c r="H276">
        <v>16.57</v>
      </c>
      <c r="I276">
        <v>156</v>
      </c>
      <c r="J276" t="s">
        <v>2009</v>
      </c>
      <c r="K276">
        <v>0</v>
      </c>
    </row>
    <row r="277" spans="1:12">
      <c r="A277">
        <v>302000</v>
      </c>
      <c r="B277" t="s">
        <v>1465</v>
      </c>
      <c r="D277" t="s">
        <v>1101</v>
      </c>
      <c r="E277">
        <v>37000</v>
      </c>
      <c r="F277" t="s">
        <v>578</v>
      </c>
      <c r="G277">
        <v>5</v>
      </c>
      <c r="H277">
        <v>16.57</v>
      </c>
      <c r="I277">
        <v>156</v>
      </c>
      <c r="J277" t="s">
        <v>2009</v>
      </c>
      <c r="K277">
        <v>0</v>
      </c>
    </row>
    <row r="278" spans="1:12">
      <c r="A278">
        <v>301761</v>
      </c>
      <c r="B278" t="s">
        <v>1465</v>
      </c>
      <c r="D278" t="s">
        <v>1094</v>
      </c>
      <c r="E278">
        <v>37304</v>
      </c>
      <c r="F278" t="s">
        <v>578</v>
      </c>
      <c r="G278">
        <v>6</v>
      </c>
      <c r="H278">
        <v>16.87</v>
      </c>
      <c r="I278">
        <v>125</v>
      </c>
      <c r="J278" t="s">
        <v>2009</v>
      </c>
      <c r="K278">
        <v>0</v>
      </c>
    </row>
    <row r="279" spans="1:12">
      <c r="A279">
        <v>301761</v>
      </c>
      <c r="B279" t="s">
        <v>1465</v>
      </c>
      <c r="D279" t="s">
        <v>1094</v>
      </c>
      <c r="E279">
        <v>37305</v>
      </c>
      <c r="F279" t="s">
        <v>578</v>
      </c>
      <c r="G279">
        <v>4</v>
      </c>
      <c r="H279">
        <v>16.87</v>
      </c>
      <c r="I279">
        <v>125</v>
      </c>
      <c r="J279" t="s">
        <v>2009</v>
      </c>
      <c r="K279">
        <v>0</v>
      </c>
    </row>
    <row r="280" spans="1:12">
      <c r="A280">
        <v>301764</v>
      </c>
      <c r="B280" t="s">
        <v>1465</v>
      </c>
      <c r="D280" t="s">
        <v>1095</v>
      </c>
      <c r="E280">
        <v>37305</v>
      </c>
      <c r="F280" t="s">
        <v>578</v>
      </c>
      <c r="G280">
        <v>5</v>
      </c>
      <c r="H280">
        <v>16.829999999999998</v>
      </c>
      <c r="I280">
        <v>54</v>
      </c>
      <c r="J280" t="s">
        <v>2009</v>
      </c>
      <c r="K280">
        <v>0</v>
      </c>
    </row>
    <row r="281" spans="1:12">
      <c r="A281">
        <v>301764</v>
      </c>
      <c r="B281" t="s">
        <v>1465</v>
      </c>
      <c r="D281" t="s">
        <v>1095</v>
      </c>
      <c r="E281">
        <v>37304</v>
      </c>
      <c r="F281" t="s">
        <v>578</v>
      </c>
      <c r="G281">
        <v>9</v>
      </c>
      <c r="H281">
        <v>16.829999999999998</v>
      </c>
      <c r="I281">
        <v>54</v>
      </c>
      <c r="J281" t="s">
        <v>2009</v>
      </c>
      <c r="K281">
        <v>0</v>
      </c>
    </row>
    <row r="282" spans="1:12">
      <c r="A282">
        <v>301765</v>
      </c>
      <c r="B282" t="s">
        <v>1465</v>
      </c>
      <c r="D282" t="s">
        <v>1096</v>
      </c>
      <c r="E282">
        <v>37305</v>
      </c>
      <c r="F282" t="s">
        <v>578</v>
      </c>
      <c r="G282">
        <v>3</v>
      </c>
      <c r="H282">
        <v>16.87</v>
      </c>
      <c r="I282">
        <v>89</v>
      </c>
      <c r="J282" t="s">
        <v>2009</v>
      </c>
      <c r="K282">
        <v>0</v>
      </c>
    </row>
    <row r="283" spans="1:12">
      <c r="A283">
        <v>301765</v>
      </c>
      <c r="B283" t="s">
        <v>1465</v>
      </c>
      <c r="D283" t="s">
        <v>1096</v>
      </c>
      <c r="E283">
        <v>37304</v>
      </c>
      <c r="F283" t="s">
        <v>578</v>
      </c>
      <c r="G283">
        <v>3</v>
      </c>
      <c r="H283">
        <v>16.87</v>
      </c>
      <c r="I283">
        <v>89</v>
      </c>
      <c r="J283" t="s">
        <v>2009</v>
      </c>
      <c r="K283">
        <v>0</v>
      </c>
    </row>
    <row r="284" spans="1:12">
      <c r="A284">
        <v>301790</v>
      </c>
      <c r="B284" t="s">
        <v>1465</v>
      </c>
      <c r="D284" t="s">
        <v>1098</v>
      </c>
      <c r="E284">
        <v>37404</v>
      </c>
      <c r="F284" t="s">
        <v>578</v>
      </c>
      <c r="G284">
        <v>1</v>
      </c>
      <c r="H284">
        <v>16.829999999999998</v>
      </c>
      <c r="I284">
        <v>39</v>
      </c>
      <c r="J284" t="s">
        <v>2009</v>
      </c>
      <c r="K284">
        <v>0</v>
      </c>
    </row>
    <row r="285" spans="1:12">
      <c r="A285">
        <v>301790</v>
      </c>
      <c r="B285" t="s">
        <v>1465</v>
      </c>
      <c r="D285" t="s">
        <v>1098</v>
      </c>
      <c r="E285">
        <v>37405</v>
      </c>
      <c r="F285" t="s">
        <v>578</v>
      </c>
      <c r="G285">
        <v>1</v>
      </c>
      <c r="H285">
        <v>16.829999999999998</v>
      </c>
      <c r="I285">
        <v>39</v>
      </c>
      <c r="J285" t="s">
        <v>2009</v>
      </c>
      <c r="K285">
        <v>0</v>
      </c>
    </row>
    <row r="286" spans="1:12">
      <c r="A286">
        <v>302008</v>
      </c>
      <c r="B286" t="s">
        <v>1465</v>
      </c>
      <c r="D286" t="s">
        <v>1103</v>
      </c>
      <c r="E286">
        <v>37204</v>
      </c>
      <c r="F286" t="s">
        <v>578</v>
      </c>
      <c r="G286">
        <v>7</v>
      </c>
      <c r="H286">
        <v>20.71</v>
      </c>
      <c r="I286">
        <v>80</v>
      </c>
      <c r="J286" t="s">
        <v>2009</v>
      </c>
      <c r="K286">
        <v>0</v>
      </c>
    </row>
    <row r="287" spans="1:12">
      <c r="A287">
        <v>302008</v>
      </c>
      <c r="B287" t="s">
        <v>1465</v>
      </c>
      <c r="D287" t="s">
        <v>1103</v>
      </c>
      <c r="E287">
        <v>37205</v>
      </c>
      <c r="F287" t="s">
        <v>578</v>
      </c>
      <c r="G287">
        <v>3</v>
      </c>
      <c r="H287">
        <v>20.71</v>
      </c>
      <c r="I287">
        <v>80</v>
      </c>
      <c r="J287" t="s">
        <v>2009</v>
      </c>
      <c r="K287">
        <v>0</v>
      </c>
    </row>
    <row r="288" spans="1:12">
      <c r="A288">
        <v>301791</v>
      </c>
      <c r="B288" t="s">
        <v>1465</v>
      </c>
      <c r="D288" t="s">
        <v>1099</v>
      </c>
      <c r="E288">
        <v>37204</v>
      </c>
      <c r="F288" t="s">
        <v>578</v>
      </c>
      <c r="G288">
        <v>4</v>
      </c>
      <c r="H288">
        <v>20.67</v>
      </c>
      <c r="I288">
        <v>61</v>
      </c>
      <c r="J288" t="s">
        <v>2009</v>
      </c>
      <c r="K288">
        <v>0</v>
      </c>
    </row>
    <row r="289" spans="1:12">
      <c r="A289">
        <v>301791</v>
      </c>
      <c r="B289" t="s">
        <v>1465</v>
      </c>
      <c r="D289" t="s">
        <v>1099</v>
      </c>
      <c r="E289">
        <v>37205</v>
      </c>
      <c r="F289" t="s">
        <v>578</v>
      </c>
      <c r="G289">
        <v>2</v>
      </c>
      <c r="H289">
        <v>20.67</v>
      </c>
      <c r="I289">
        <v>61</v>
      </c>
      <c r="J289" t="s">
        <v>2009</v>
      </c>
      <c r="K289">
        <v>0</v>
      </c>
    </row>
    <row r="290" spans="1:12">
      <c r="A290">
        <v>301792</v>
      </c>
      <c r="B290" t="s">
        <v>1465</v>
      </c>
      <c r="D290" t="s">
        <v>1100</v>
      </c>
      <c r="E290">
        <v>37204</v>
      </c>
      <c r="F290" t="s">
        <v>578</v>
      </c>
      <c r="G290">
        <v>1</v>
      </c>
      <c r="H290">
        <v>20.67</v>
      </c>
      <c r="I290">
        <v>47</v>
      </c>
      <c r="J290" t="s">
        <v>2009</v>
      </c>
      <c r="K290">
        <v>0</v>
      </c>
    </row>
    <row r="291" spans="1:12">
      <c r="A291">
        <v>302007</v>
      </c>
      <c r="B291" t="s">
        <v>1465</v>
      </c>
      <c r="D291" t="s">
        <v>1752</v>
      </c>
      <c r="E291">
        <v>37404</v>
      </c>
      <c r="F291" t="s">
        <v>578</v>
      </c>
      <c r="G291">
        <v>4</v>
      </c>
      <c r="H291">
        <v>17.29</v>
      </c>
      <c r="I291">
        <v>157</v>
      </c>
      <c r="J291" t="s">
        <v>2010</v>
      </c>
      <c r="K291">
        <v>0</v>
      </c>
    </row>
    <row r="292" spans="1:12">
      <c r="A292">
        <v>302007</v>
      </c>
      <c r="B292" t="s">
        <v>1465</v>
      </c>
      <c r="D292" t="s">
        <v>1752</v>
      </c>
      <c r="E292">
        <v>37405</v>
      </c>
      <c r="F292" t="s">
        <v>578</v>
      </c>
      <c r="G292">
        <v>2</v>
      </c>
      <c r="H292">
        <v>17.29</v>
      </c>
      <c r="I292">
        <v>157</v>
      </c>
      <c r="J292" t="s">
        <v>2010</v>
      </c>
      <c r="K292">
        <v>0</v>
      </c>
    </row>
    <row r="293" spans="1:12">
      <c r="A293">
        <v>302011</v>
      </c>
      <c r="B293" t="s">
        <v>1465</v>
      </c>
      <c r="D293" t="s">
        <v>1105</v>
      </c>
      <c r="E293">
        <v>37000</v>
      </c>
      <c r="F293" t="s">
        <v>578</v>
      </c>
      <c r="G293">
        <v>7</v>
      </c>
      <c r="H293">
        <v>23.78</v>
      </c>
      <c r="I293">
        <v>77</v>
      </c>
      <c r="J293" t="s">
        <v>2009</v>
      </c>
      <c r="K293">
        <v>0</v>
      </c>
    </row>
    <row r="294" spans="1:12">
      <c r="A294">
        <v>302011</v>
      </c>
      <c r="B294" t="s">
        <v>1465</v>
      </c>
      <c r="D294" t="s">
        <v>1105</v>
      </c>
      <c r="E294">
        <v>37304</v>
      </c>
      <c r="F294" t="s">
        <v>578</v>
      </c>
      <c r="G294">
        <v>1</v>
      </c>
      <c r="H294">
        <v>23.78</v>
      </c>
      <c r="I294">
        <v>77</v>
      </c>
      <c r="J294" t="s">
        <v>2009</v>
      </c>
      <c r="K294">
        <v>0</v>
      </c>
    </row>
    <row r="295" spans="1:12">
      <c r="A295">
        <v>302011</v>
      </c>
      <c r="B295" t="s">
        <v>1465</v>
      </c>
      <c r="D295" t="s">
        <v>1105</v>
      </c>
      <c r="E295">
        <v>37305</v>
      </c>
      <c r="F295" t="s">
        <v>578</v>
      </c>
      <c r="G295">
        <v>2</v>
      </c>
      <c r="H295">
        <v>23.78</v>
      </c>
      <c r="I295">
        <v>77</v>
      </c>
      <c r="J295" t="s">
        <v>2009</v>
      </c>
      <c r="K295">
        <v>0</v>
      </c>
    </row>
    <row r="296" spans="1:12">
      <c r="A296">
        <v>302013</v>
      </c>
      <c r="B296" t="s">
        <v>1465</v>
      </c>
      <c r="D296" t="s">
        <v>1106</v>
      </c>
      <c r="E296">
        <v>37305</v>
      </c>
      <c r="F296" t="s">
        <v>578</v>
      </c>
      <c r="G296">
        <v>1</v>
      </c>
      <c r="H296">
        <v>23.73</v>
      </c>
      <c r="I296">
        <v>0</v>
      </c>
      <c r="J296" t="s">
        <v>2009</v>
      </c>
      <c r="K296">
        <v>0</v>
      </c>
    </row>
    <row r="297" spans="1:12">
      <c r="A297">
        <v>302018</v>
      </c>
      <c r="B297" t="s">
        <v>1465</v>
      </c>
      <c r="D297" t="s">
        <v>226</v>
      </c>
      <c r="E297">
        <v>37000</v>
      </c>
      <c r="F297" t="s">
        <v>578</v>
      </c>
      <c r="G297">
        <v>8</v>
      </c>
      <c r="H297">
        <v>23.78</v>
      </c>
      <c r="I297">
        <v>67</v>
      </c>
      <c r="J297" t="s">
        <v>2009</v>
      </c>
      <c r="K297">
        <v>0</v>
      </c>
    </row>
    <row r="298" spans="1:12">
      <c r="A298">
        <v>302018</v>
      </c>
      <c r="B298" t="s">
        <v>1465</v>
      </c>
      <c r="D298" t="s">
        <v>226</v>
      </c>
      <c r="E298">
        <v>37304</v>
      </c>
      <c r="F298" t="s">
        <v>578</v>
      </c>
      <c r="G298">
        <v>12</v>
      </c>
      <c r="H298">
        <v>23.78</v>
      </c>
      <c r="I298">
        <v>67</v>
      </c>
      <c r="J298" t="s">
        <v>2009</v>
      </c>
      <c r="K298">
        <v>0</v>
      </c>
    </row>
    <row r="299" spans="1:12">
      <c r="A299">
        <v>302012</v>
      </c>
      <c r="B299" t="s">
        <v>1465</v>
      </c>
      <c r="D299" t="s">
        <v>1777</v>
      </c>
      <c r="E299">
        <v>37104</v>
      </c>
      <c r="F299" t="s">
        <v>578</v>
      </c>
      <c r="G299">
        <v>4</v>
      </c>
      <c r="H299">
        <v>25.89</v>
      </c>
      <c r="I299">
        <v>38</v>
      </c>
      <c r="J299" t="s">
        <v>2010</v>
      </c>
      <c r="K299">
        <v>0</v>
      </c>
    </row>
    <row r="300" spans="1:12">
      <c r="A300">
        <v>302012</v>
      </c>
      <c r="B300" t="s">
        <v>1465</v>
      </c>
      <c r="D300" t="s">
        <v>1777</v>
      </c>
      <c r="E300">
        <v>37105</v>
      </c>
      <c r="F300" t="s">
        <v>578</v>
      </c>
      <c r="G300">
        <v>3</v>
      </c>
      <c r="H300">
        <v>25.89</v>
      </c>
      <c r="I300">
        <v>38</v>
      </c>
      <c r="J300" t="s">
        <v>2010</v>
      </c>
      <c r="K300">
        <v>0</v>
      </c>
    </row>
    <row r="301" spans="1:12">
      <c r="A301">
        <v>302019</v>
      </c>
      <c r="B301" t="s">
        <v>1465</v>
      </c>
      <c r="D301" t="s">
        <v>227</v>
      </c>
      <c r="E301">
        <v>37204</v>
      </c>
      <c r="F301" t="s">
        <v>578</v>
      </c>
      <c r="G301">
        <v>10</v>
      </c>
      <c r="H301">
        <v>28.11</v>
      </c>
      <c r="I301">
        <v>145</v>
      </c>
      <c r="J301" t="s">
        <v>2009</v>
      </c>
      <c r="K301">
        <v>0</v>
      </c>
    </row>
    <row r="302" spans="1:12">
      <c r="A302">
        <v>302009</v>
      </c>
      <c r="B302" t="s">
        <v>1465</v>
      </c>
      <c r="D302" t="s">
        <v>1753</v>
      </c>
      <c r="E302">
        <v>37104</v>
      </c>
      <c r="F302" t="s">
        <v>578</v>
      </c>
      <c r="G302">
        <v>1</v>
      </c>
      <c r="H302">
        <v>23.93</v>
      </c>
      <c r="I302">
        <v>32</v>
      </c>
      <c r="J302" t="s">
        <v>2010</v>
      </c>
      <c r="K302">
        <v>48</v>
      </c>
      <c r="L302" s="145">
        <v>42067</v>
      </c>
    </row>
    <row r="303" spans="1:12">
      <c r="A303">
        <v>302009</v>
      </c>
      <c r="B303" t="s">
        <v>1465</v>
      </c>
      <c r="D303" t="s">
        <v>1753</v>
      </c>
      <c r="E303">
        <v>37105</v>
      </c>
      <c r="F303" t="s">
        <v>578</v>
      </c>
      <c r="G303">
        <v>2</v>
      </c>
      <c r="H303">
        <v>23.93</v>
      </c>
      <c r="I303">
        <v>32</v>
      </c>
      <c r="J303" t="s">
        <v>2010</v>
      </c>
      <c r="K303">
        <v>48</v>
      </c>
      <c r="L303" s="145">
        <v>42067</v>
      </c>
    </row>
    <row r="304" spans="1:12">
      <c r="A304">
        <v>302021</v>
      </c>
      <c r="B304" t="s">
        <v>1465</v>
      </c>
      <c r="D304" t="s">
        <v>1828</v>
      </c>
      <c r="E304">
        <v>37104</v>
      </c>
      <c r="F304" t="s">
        <v>578</v>
      </c>
      <c r="G304">
        <v>7</v>
      </c>
      <c r="H304">
        <v>23.22</v>
      </c>
      <c r="I304">
        <v>146</v>
      </c>
      <c r="J304" t="s">
        <v>2009</v>
      </c>
      <c r="K304">
        <v>60</v>
      </c>
      <c r="L304" s="145">
        <v>42072</v>
      </c>
    </row>
    <row r="305" spans="1:12">
      <c r="A305">
        <v>302021</v>
      </c>
      <c r="B305" t="s">
        <v>1465</v>
      </c>
      <c r="D305" t="s">
        <v>1828</v>
      </c>
      <c r="E305">
        <v>37105</v>
      </c>
      <c r="F305" t="s">
        <v>578</v>
      </c>
      <c r="G305">
        <v>1</v>
      </c>
      <c r="H305">
        <v>23.22</v>
      </c>
      <c r="I305">
        <v>146</v>
      </c>
      <c r="J305" t="s">
        <v>2009</v>
      </c>
      <c r="K305">
        <v>60</v>
      </c>
      <c r="L305" s="145">
        <v>42072</v>
      </c>
    </row>
    <row r="306" spans="1:12">
      <c r="A306">
        <v>300065</v>
      </c>
      <c r="B306" t="s">
        <v>1791</v>
      </c>
      <c r="C306" s="145">
        <v>41948</v>
      </c>
      <c r="D306" t="s">
        <v>1383</v>
      </c>
      <c r="E306">
        <v>37000</v>
      </c>
      <c r="F306" t="s">
        <v>578</v>
      </c>
      <c r="G306">
        <v>10</v>
      </c>
      <c r="H306">
        <v>14.32</v>
      </c>
      <c r="I306">
        <v>20</v>
      </c>
      <c r="J306" t="s">
        <v>2010</v>
      </c>
      <c r="K306">
        <v>0</v>
      </c>
    </row>
    <row r="307" spans="1:12">
      <c r="A307">
        <v>300092</v>
      </c>
      <c r="B307" t="s">
        <v>1109</v>
      </c>
      <c r="D307" t="s">
        <v>2011</v>
      </c>
      <c r="E307">
        <v>37000</v>
      </c>
      <c r="F307" t="s">
        <v>578</v>
      </c>
      <c r="G307">
        <v>20</v>
      </c>
      <c r="H307">
        <v>16.97</v>
      </c>
      <c r="I307">
        <v>44</v>
      </c>
      <c r="J307" t="s">
        <v>2009</v>
      </c>
      <c r="K307">
        <v>0</v>
      </c>
    </row>
    <row r="308" spans="1:12">
      <c r="A308">
        <v>300094</v>
      </c>
      <c r="B308" t="s">
        <v>1109</v>
      </c>
      <c r="D308" t="s">
        <v>2012</v>
      </c>
      <c r="E308">
        <v>37000</v>
      </c>
      <c r="F308" t="s">
        <v>578</v>
      </c>
      <c r="G308">
        <v>21</v>
      </c>
      <c r="H308">
        <v>16.97</v>
      </c>
      <c r="I308">
        <v>0</v>
      </c>
      <c r="J308" t="s">
        <v>2009</v>
      </c>
      <c r="K308">
        <v>0</v>
      </c>
    </row>
    <row r="309" spans="1:12">
      <c r="A309">
        <v>300089</v>
      </c>
      <c r="B309" t="s">
        <v>1109</v>
      </c>
      <c r="D309" t="s">
        <v>2013</v>
      </c>
      <c r="E309">
        <v>37000</v>
      </c>
      <c r="F309" t="s">
        <v>578</v>
      </c>
      <c r="G309">
        <v>12</v>
      </c>
      <c r="H309">
        <v>12.05</v>
      </c>
      <c r="I309">
        <v>101</v>
      </c>
      <c r="J309" t="s">
        <v>2010</v>
      </c>
      <c r="K309">
        <v>0</v>
      </c>
    </row>
    <row r="310" spans="1:12">
      <c r="A310">
        <v>300089</v>
      </c>
      <c r="B310" t="s">
        <v>1109</v>
      </c>
      <c r="D310" t="s">
        <v>2013</v>
      </c>
      <c r="E310">
        <v>37000</v>
      </c>
      <c r="F310" t="s">
        <v>578</v>
      </c>
      <c r="G310">
        <v>11</v>
      </c>
      <c r="H310">
        <v>12.05</v>
      </c>
      <c r="I310">
        <v>101</v>
      </c>
      <c r="J310" t="s">
        <v>2010</v>
      </c>
      <c r="K310">
        <v>0</v>
      </c>
    </row>
    <row r="311" spans="1:12">
      <c r="A311">
        <v>301771</v>
      </c>
      <c r="B311" t="s">
        <v>1465</v>
      </c>
      <c r="D311" t="s">
        <v>586</v>
      </c>
      <c r="E311">
        <v>38604</v>
      </c>
      <c r="F311" t="s">
        <v>578</v>
      </c>
      <c r="G311">
        <v>2</v>
      </c>
      <c r="H311">
        <v>23.89</v>
      </c>
      <c r="I311">
        <v>64</v>
      </c>
      <c r="J311" t="s">
        <v>580</v>
      </c>
      <c r="K311">
        <v>0</v>
      </c>
    </row>
    <row r="312" spans="1:12">
      <c r="A312">
        <v>301773</v>
      </c>
      <c r="B312" t="s">
        <v>1465</v>
      </c>
      <c r="D312" t="s">
        <v>587</v>
      </c>
      <c r="E312">
        <v>38603</v>
      </c>
      <c r="F312" t="s">
        <v>578</v>
      </c>
      <c r="G312">
        <v>1</v>
      </c>
      <c r="H312">
        <v>24.49</v>
      </c>
      <c r="I312">
        <v>75</v>
      </c>
      <c r="J312" t="s">
        <v>580</v>
      </c>
      <c r="K312">
        <v>0</v>
      </c>
    </row>
    <row r="313" spans="1:12">
      <c r="A313">
        <v>301774</v>
      </c>
      <c r="B313" t="s">
        <v>1465</v>
      </c>
      <c r="D313" t="s">
        <v>588</v>
      </c>
      <c r="E313">
        <v>38604</v>
      </c>
      <c r="F313" t="s">
        <v>578</v>
      </c>
      <c r="G313">
        <v>3</v>
      </c>
      <c r="H313">
        <v>27.16</v>
      </c>
      <c r="I313">
        <v>80</v>
      </c>
      <c r="J313" t="s">
        <v>580</v>
      </c>
      <c r="K313">
        <v>0</v>
      </c>
    </row>
    <row r="314" spans="1:12">
      <c r="A314">
        <v>301770</v>
      </c>
      <c r="B314" t="s">
        <v>1465</v>
      </c>
      <c r="D314" t="s">
        <v>589</v>
      </c>
      <c r="E314">
        <v>38604</v>
      </c>
      <c r="F314" t="s">
        <v>578</v>
      </c>
      <c r="G314">
        <v>1</v>
      </c>
      <c r="H314">
        <v>37.200000000000003</v>
      </c>
      <c r="I314">
        <v>76</v>
      </c>
      <c r="J314" t="s">
        <v>580</v>
      </c>
      <c r="K314">
        <v>0</v>
      </c>
    </row>
    <row r="315" spans="1:12">
      <c r="A315">
        <v>301578</v>
      </c>
      <c r="B315" t="s">
        <v>1465</v>
      </c>
      <c r="D315" t="s">
        <v>1602</v>
      </c>
      <c r="E315">
        <v>38603</v>
      </c>
      <c r="F315" t="s">
        <v>578</v>
      </c>
      <c r="G315">
        <v>3</v>
      </c>
      <c r="H315">
        <v>39.21</v>
      </c>
      <c r="I315">
        <v>48</v>
      </c>
      <c r="J315" t="s">
        <v>580</v>
      </c>
      <c r="K315">
        <v>0</v>
      </c>
    </row>
    <row r="316" spans="1:12">
      <c r="A316">
        <v>303012</v>
      </c>
      <c r="B316" t="s">
        <v>1465</v>
      </c>
      <c r="D316" t="s">
        <v>568</v>
      </c>
      <c r="E316">
        <v>38202</v>
      </c>
      <c r="F316" t="s">
        <v>578</v>
      </c>
      <c r="G316">
        <v>17</v>
      </c>
      <c r="H316">
        <v>6.95</v>
      </c>
      <c r="I316">
        <v>16</v>
      </c>
      <c r="J316" t="s">
        <v>580</v>
      </c>
      <c r="K316">
        <v>20</v>
      </c>
      <c r="L316" s="145">
        <v>42061</v>
      </c>
    </row>
    <row r="317" spans="1:12">
      <c r="A317">
        <v>303012</v>
      </c>
      <c r="B317" t="s">
        <v>1465</v>
      </c>
      <c r="D317" t="s">
        <v>568</v>
      </c>
      <c r="E317">
        <v>37504</v>
      </c>
      <c r="F317" t="s">
        <v>578</v>
      </c>
      <c r="G317">
        <v>8</v>
      </c>
      <c r="H317">
        <v>6.95</v>
      </c>
      <c r="I317">
        <v>16</v>
      </c>
      <c r="J317" t="s">
        <v>580</v>
      </c>
      <c r="K317">
        <v>20</v>
      </c>
      <c r="L317" s="145">
        <v>42061</v>
      </c>
    </row>
    <row r="318" spans="1:12">
      <c r="A318">
        <v>303094</v>
      </c>
      <c r="B318" t="s">
        <v>1465</v>
      </c>
      <c r="D318" t="s">
        <v>1212</v>
      </c>
      <c r="E318">
        <v>38202</v>
      </c>
      <c r="F318" t="s">
        <v>578</v>
      </c>
      <c r="G318">
        <v>16</v>
      </c>
      <c r="H318">
        <v>9.8000000000000007</v>
      </c>
      <c r="I318">
        <v>14</v>
      </c>
      <c r="J318" t="s">
        <v>580</v>
      </c>
      <c r="K318">
        <v>0</v>
      </c>
    </row>
    <row r="319" spans="1:12">
      <c r="A319">
        <v>303013</v>
      </c>
      <c r="B319" t="s">
        <v>1465</v>
      </c>
      <c r="D319" t="s">
        <v>569</v>
      </c>
      <c r="E319">
        <v>38202</v>
      </c>
      <c r="F319" t="s">
        <v>578</v>
      </c>
      <c r="G319">
        <v>18</v>
      </c>
      <c r="H319">
        <v>6.95</v>
      </c>
      <c r="I319">
        <v>29</v>
      </c>
      <c r="J319" t="s">
        <v>580</v>
      </c>
      <c r="K319">
        <v>0</v>
      </c>
    </row>
    <row r="320" spans="1:12">
      <c r="A320">
        <v>303013</v>
      </c>
      <c r="B320" t="s">
        <v>1465</v>
      </c>
      <c r="D320" t="s">
        <v>569</v>
      </c>
      <c r="E320">
        <v>37504</v>
      </c>
      <c r="F320" t="s">
        <v>578</v>
      </c>
      <c r="G320">
        <v>11</v>
      </c>
      <c r="H320">
        <v>6.95</v>
      </c>
      <c r="I320">
        <v>29</v>
      </c>
      <c r="J320" t="s">
        <v>580</v>
      </c>
      <c r="K320">
        <v>0</v>
      </c>
    </row>
    <row r="321" spans="1:12">
      <c r="A321">
        <v>301832</v>
      </c>
      <c r="B321" t="s">
        <v>1465</v>
      </c>
      <c r="D321" t="s">
        <v>1209</v>
      </c>
      <c r="E321">
        <v>38304</v>
      </c>
      <c r="F321" t="s">
        <v>578</v>
      </c>
      <c r="G321">
        <v>2</v>
      </c>
      <c r="H321">
        <v>11.8</v>
      </c>
      <c r="I321">
        <v>139</v>
      </c>
      <c r="J321" t="s">
        <v>580</v>
      </c>
      <c r="K321">
        <v>100</v>
      </c>
      <c r="L321" s="145">
        <v>42068</v>
      </c>
    </row>
    <row r="322" spans="1:12">
      <c r="A322">
        <v>303708</v>
      </c>
      <c r="B322" t="s">
        <v>1465</v>
      </c>
      <c r="D322" t="s">
        <v>1214</v>
      </c>
      <c r="E322">
        <v>38202</v>
      </c>
      <c r="F322" t="s">
        <v>578</v>
      </c>
      <c r="G322">
        <v>5</v>
      </c>
      <c r="H322">
        <v>3.99</v>
      </c>
      <c r="I322">
        <v>39</v>
      </c>
      <c r="J322" t="s">
        <v>580</v>
      </c>
      <c r="K322">
        <v>0</v>
      </c>
    </row>
    <row r="323" spans="1:12">
      <c r="A323">
        <v>303710</v>
      </c>
      <c r="B323" t="s">
        <v>1465</v>
      </c>
      <c r="D323" t="s">
        <v>1216</v>
      </c>
      <c r="E323">
        <v>38202</v>
      </c>
      <c r="F323" t="s">
        <v>578</v>
      </c>
      <c r="G323">
        <v>3</v>
      </c>
      <c r="H323">
        <v>3.99</v>
      </c>
      <c r="I323">
        <v>42</v>
      </c>
      <c r="J323" t="s">
        <v>580</v>
      </c>
      <c r="K323">
        <v>0</v>
      </c>
    </row>
    <row r="324" spans="1:12">
      <c r="A324">
        <v>303712</v>
      </c>
      <c r="B324" t="s">
        <v>1465</v>
      </c>
      <c r="D324" t="s">
        <v>1218</v>
      </c>
      <c r="E324">
        <v>38202</v>
      </c>
      <c r="F324" t="s">
        <v>578</v>
      </c>
      <c r="G324">
        <v>1</v>
      </c>
      <c r="H324">
        <v>3.99</v>
      </c>
      <c r="I324">
        <v>40</v>
      </c>
      <c r="J324" t="s">
        <v>580</v>
      </c>
      <c r="K324">
        <v>0</v>
      </c>
    </row>
    <row r="325" spans="1:12">
      <c r="A325">
        <v>303709</v>
      </c>
      <c r="B325" t="s">
        <v>1465</v>
      </c>
      <c r="D325" t="s">
        <v>1215</v>
      </c>
      <c r="E325">
        <v>38202</v>
      </c>
      <c r="F325" t="s">
        <v>578</v>
      </c>
      <c r="G325">
        <v>6</v>
      </c>
      <c r="H325">
        <v>5.6</v>
      </c>
      <c r="I325">
        <v>16</v>
      </c>
      <c r="J325" t="s">
        <v>580</v>
      </c>
      <c r="K325">
        <v>0</v>
      </c>
    </row>
    <row r="326" spans="1:12">
      <c r="A326">
        <v>303711</v>
      </c>
      <c r="B326" t="s">
        <v>1465</v>
      </c>
      <c r="D326" t="s">
        <v>1217</v>
      </c>
      <c r="E326">
        <v>38202</v>
      </c>
      <c r="F326" t="s">
        <v>578</v>
      </c>
      <c r="G326">
        <v>4</v>
      </c>
      <c r="H326">
        <v>5.6</v>
      </c>
      <c r="I326">
        <v>29</v>
      </c>
      <c r="J326" t="s">
        <v>580</v>
      </c>
      <c r="K326">
        <v>0</v>
      </c>
    </row>
    <row r="327" spans="1:12">
      <c r="A327">
        <v>303713</v>
      </c>
      <c r="B327" t="s">
        <v>1465</v>
      </c>
      <c r="D327" t="s">
        <v>1219</v>
      </c>
      <c r="E327">
        <v>38202</v>
      </c>
      <c r="F327" t="s">
        <v>578</v>
      </c>
      <c r="G327">
        <v>2</v>
      </c>
      <c r="H327">
        <v>5.6</v>
      </c>
      <c r="I327">
        <v>35</v>
      </c>
      <c r="J327" t="s">
        <v>580</v>
      </c>
      <c r="K327">
        <v>0</v>
      </c>
    </row>
    <row r="328" spans="1:12">
      <c r="A328">
        <v>303105</v>
      </c>
      <c r="B328" t="s">
        <v>1465</v>
      </c>
      <c r="D328" t="s">
        <v>369</v>
      </c>
      <c r="E328">
        <v>38202</v>
      </c>
      <c r="F328" t="s">
        <v>578</v>
      </c>
      <c r="G328">
        <v>15</v>
      </c>
      <c r="H328">
        <v>13.9</v>
      </c>
      <c r="I328">
        <v>10</v>
      </c>
      <c r="J328" t="s">
        <v>580</v>
      </c>
      <c r="K328">
        <v>0</v>
      </c>
    </row>
    <row r="329" spans="1:12">
      <c r="A329">
        <v>303153</v>
      </c>
      <c r="B329" t="s">
        <v>1465</v>
      </c>
      <c r="D329" t="s">
        <v>370</v>
      </c>
      <c r="E329">
        <v>38202</v>
      </c>
      <c r="F329" t="s">
        <v>578</v>
      </c>
      <c r="G329">
        <v>7</v>
      </c>
      <c r="H329">
        <v>3.95</v>
      </c>
      <c r="I329">
        <v>15</v>
      </c>
      <c r="J329" t="s">
        <v>580</v>
      </c>
      <c r="K329">
        <v>0</v>
      </c>
    </row>
    <row r="330" spans="1:12">
      <c r="A330">
        <v>303154</v>
      </c>
      <c r="B330" t="s">
        <v>1465</v>
      </c>
      <c r="D330" t="s">
        <v>371</v>
      </c>
      <c r="E330">
        <v>38202</v>
      </c>
      <c r="F330" t="s">
        <v>578</v>
      </c>
      <c r="G330">
        <v>9</v>
      </c>
      <c r="H330">
        <v>3.95</v>
      </c>
      <c r="I330">
        <v>12</v>
      </c>
      <c r="J330" t="s">
        <v>580</v>
      </c>
      <c r="K330">
        <v>0</v>
      </c>
    </row>
    <row r="331" spans="1:12">
      <c r="A331">
        <v>303155</v>
      </c>
      <c r="B331" t="s">
        <v>1465</v>
      </c>
      <c r="D331" t="s">
        <v>372</v>
      </c>
      <c r="E331">
        <v>38202</v>
      </c>
      <c r="F331" t="s">
        <v>578</v>
      </c>
      <c r="G331">
        <v>8</v>
      </c>
      <c r="H331">
        <v>3.95</v>
      </c>
      <c r="I331">
        <v>16</v>
      </c>
      <c r="J331" t="s">
        <v>580</v>
      </c>
      <c r="K331">
        <v>0</v>
      </c>
    </row>
    <row r="332" spans="1:12">
      <c r="A332">
        <v>301840</v>
      </c>
      <c r="B332" t="s">
        <v>1465</v>
      </c>
      <c r="D332" t="s">
        <v>354</v>
      </c>
      <c r="E332">
        <v>38202</v>
      </c>
      <c r="F332" t="s">
        <v>578</v>
      </c>
      <c r="G332">
        <v>13</v>
      </c>
      <c r="H332">
        <v>13.9</v>
      </c>
      <c r="I332">
        <v>0</v>
      </c>
      <c r="J332" t="s">
        <v>580</v>
      </c>
      <c r="K332">
        <v>0</v>
      </c>
    </row>
    <row r="333" spans="1:12">
      <c r="A333">
        <v>303132</v>
      </c>
      <c r="B333" t="s">
        <v>1465</v>
      </c>
      <c r="D333" t="s">
        <v>570</v>
      </c>
      <c r="E333">
        <v>38302</v>
      </c>
      <c r="F333" t="s">
        <v>578</v>
      </c>
      <c r="G333">
        <v>11</v>
      </c>
      <c r="H333">
        <v>6.95</v>
      </c>
      <c r="I333">
        <v>57</v>
      </c>
      <c r="J333" t="s">
        <v>580</v>
      </c>
      <c r="K333">
        <v>0</v>
      </c>
    </row>
    <row r="334" spans="1:12">
      <c r="A334">
        <v>303132</v>
      </c>
      <c r="B334" t="s">
        <v>1465</v>
      </c>
      <c r="D334" t="s">
        <v>570</v>
      </c>
      <c r="E334">
        <v>37304</v>
      </c>
      <c r="F334" t="s">
        <v>578</v>
      </c>
      <c r="G334">
        <v>7</v>
      </c>
      <c r="H334">
        <v>6.95</v>
      </c>
      <c r="I334">
        <v>57</v>
      </c>
      <c r="J334" t="s">
        <v>580</v>
      </c>
      <c r="K334">
        <v>0</v>
      </c>
    </row>
    <row r="335" spans="1:12">
      <c r="A335">
        <v>303173</v>
      </c>
      <c r="B335" t="s">
        <v>1465</v>
      </c>
      <c r="D335" t="s">
        <v>571</v>
      </c>
      <c r="E335">
        <v>38302</v>
      </c>
      <c r="F335" t="s">
        <v>578</v>
      </c>
      <c r="G335">
        <v>12</v>
      </c>
      <c r="H335">
        <v>6.95</v>
      </c>
      <c r="I335">
        <v>58</v>
      </c>
      <c r="J335" t="s">
        <v>580</v>
      </c>
      <c r="K335">
        <v>0</v>
      </c>
    </row>
    <row r="336" spans="1:12">
      <c r="A336">
        <v>303173</v>
      </c>
      <c r="B336" t="s">
        <v>1465</v>
      </c>
      <c r="D336" t="s">
        <v>571</v>
      </c>
      <c r="E336">
        <v>37304</v>
      </c>
      <c r="F336" t="s">
        <v>578</v>
      </c>
      <c r="G336">
        <v>5</v>
      </c>
      <c r="H336">
        <v>6.95</v>
      </c>
      <c r="I336">
        <v>58</v>
      </c>
      <c r="J336" t="s">
        <v>580</v>
      </c>
      <c r="K336">
        <v>0</v>
      </c>
    </row>
    <row r="337" spans="1:12">
      <c r="A337">
        <v>301822</v>
      </c>
      <c r="B337" t="s">
        <v>1465</v>
      </c>
      <c r="D337" t="s">
        <v>1208</v>
      </c>
      <c r="E337">
        <v>37504</v>
      </c>
      <c r="F337" t="s">
        <v>578</v>
      </c>
      <c r="G337">
        <v>2</v>
      </c>
      <c r="H337">
        <v>6.95</v>
      </c>
      <c r="I337">
        <v>24</v>
      </c>
      <c r="J337" t="s">
        <v>580</v>
      </c>
      <c r="K337">
        <v>0</v>
      </c>
    </row>
    <row r="338" spans="1:12">
      <c r="A338">
        <v>301822</v>
      </c>
      <c r="B338" t="s">
        <v>1465</v>
      </c>
      <c r="D338" t="s">
        <v>1208</v>
      </c>
      <c r="E338">
        <v>38302</v>
      </c>
      <c r="F338" t="s">
        <v>578</v>
      </c>
      <c r="G338">
        <v>2</v>
      </c>
      <c r="H338">
        <v>6.95</v>
      </c>
      <c r="I338">
        <v>24</v>
      </c>
      <c r="J338" t="s">
        <v>580</v>
      </c>
      <c r="K338">
        <v>0</v>
      </c>
    </row>
    <row r="339" spans="1:12">
      <c r="A339">
        <v>301826</v>
      </c>
      <c r="B339" t="s">
        <v>1465</v>
      </c>
      <c r="D339" t="s">
        <v>1405</v>
      </c>
      <c r="E339">
        <v>37204</v>
      </c>
      <c r="F339" t="s">
        <v>578</v>
      </c>
      <c r="G339">
        <v>3</v>
      </c>
      <c r="H339">
        <v>7.55</v>
      </c>
      <c r="I339">
        <v>44</v>
      </c>
      <c r="J339" t="s">
        <v>580</v>
      </c>
      <c r="K339">
        <v>0</v>
      </c>
    </row>
    <row r="340" spans="1:12">
      <c r="A340">
        <v>301826</v>
      </c>
      <c r="B340" t="s">
        <v>1465</v>
      </c>
      <c r="D340" t="s">
        <v>1405</v>
      </c>
      <c r="E340">
        <v>38302</v>
      </c>
      <c r="F340" t="s">
        <v>578</v>
      </c>
      <c r="G340">
        <v>17</v>
      </c>
      <c r="H340">
        <v>7.55</v>
      </c>
      <c r="I340">
        <v>44</v>
      </c>
      <c r="J340" t="s">
        <v>580</v>
      </c>
      <c r="K340">
        <v>0</v>
      </c>
    </row>
    <row r="341" spans="1:12">
      <c r="A341">
        <v>301829</v>
      </c>
      <c r="B341" t="s">
        <v>1465</v>
      </c>
      <c r="D341" t="s">
        <v>1406</v>
      </c>
      <c r="E341">
        <v>37304</v>
      </c>
      <c r="F341" t="s">
        <v>578</v>
      </c>
      <c r="G341">
        <v>10</v>
      </c>
      <c r="H341">
        <v>7.55</v>
      </c>
      <c r="I341">
        <v>128</v>
      </c>
      <c r="J341" t="s">
        <v>580</v>
      </c>
      <c r="K341">
        <v>0</v>
      </c>
    </row>
    <row r="342" spans="1:12">
      <c r="A342">
        <v>301829</v>
      </c>
      <c r="B342" t="s">
        <v>1465</v>
      </c>
      <c r="D342" t="s">
        <v>1406</v>
      </c>
      <c r="E342">
        <v>38302</v>
      </c>
      <c r="F342" t="s">
        <v>578</v>
      </c>
      <c r="G342">
        <v>9</v>
      </c>
      <c r="H342">
        <v>7.55</v>
      </c>
      <c r="I342">
        <v>128</v>
      </c>
      <c r="J342" t="s">
        <v>580</v>
      </c>
      <c r="K342">
        <v>0</v>
      </c>
    </row>
    <row r="343" spans="1:12">
      <c r="A343">
        <v>301824</v>
      </c>
      <c r="B343" t="s">
        <v>1465</v>
      </c>
      <c r="D343" t="s">
        <v>1403</v>
      </c>
      <c r="E343">
        <v>38302</v>
      </c>
      <c r="F343" t="s">
        <v>578</v>
      </c>
      <c r="G343">
        <v>8</v>
      </c>
      <c r="H343">
        <v>7.55</v>
      </c>
      <c r="I343">
        <v>99</v>
      </c>
      <c r="J343" t="s">
        <v>580</v>
      </c>
      <c r="K343">
        <v>0</v>
      </c>
    </row>
    <row r="344" spans="1:12">
      <c r="A344">
        <v>301824</v>
      </c>
      <c r="B344" t="s">
        <v>1465</v>
      </c>
      <c r="D344" t="s">
        <v>1403</v>
      </c>
      <c r="E344">
        <v>37404</v>
      </c>
      <c r="F344" t="s">
        <v>578</v>
      </c>
      <c r="G344">
        <v>3</v>
      </c>
      <c r="H344">
        <v>7.55</v>
      </c>
      <c r="I344">
        <v>99</v>
      </c>
      <c r="J344" t="s">
        <v>580</v>
      </c>
      <c r="K344">
        <v>0</v>
      </c>
    </row>
    <row r="345" spans="1:12">
      <c r="A345">
        <v>301825</v>
      </c>
      <c r="B345" t="s">
        <v>1465</v>
      </c>
      <c r="D345" t="s">
        <v>1404</v>
      </c>
      <c r="E345">
        <v>38302</v>
      </c>
      <c r="F345" t="s">
        <v>578</v>
      </c>
      <c r="G345">
        <v>16</v>
      </c>
      <c r="H345">
        <v>7.55</v>
      </c>
      <c r="I345">
        <v>139</v>
      </c>
      <c r="J345" t="s">
        <v>580</v>
      </c>
      <c r="K345">
        <v>0</v>
      </c>
    </row>
    <row r="346" spans="1:12">
      <c r="A346">
        <v>301825</v>
      </c>
      <c r="B346" t="s">
        <v>1465</v>
      </c>
      <c r="D346" t="s">
        <v>1404</v>
      </c>
      <c r="E346">
        <v>37204</v>
      </c>
      <c r="F346" t="s">
        <v>578</v>
      </c>
      <c r="G346">
        <v>6</v>
      </c>
      <c r="H346">
        <v>7.55</v>
      </c>
      <c r="I346">
        <v>139</v>
      </c>
      <c r="J346" t="s">
        <v>580</v>
      </c>
      <c r="K346">
        <v>0</v>
      </c>
    </row>
    <row r="347" spans="1:12">
      <c r="A347">
        <v>301896</v>
      </c>
      <c r="B347" t="s">
        <v>1465</v>
      </c>
      <c r="D347" t="s">
        <v>358</v>
      </c>
      <c r="E347">
        <v>38202</v>
      </c>
      <c r="F347" t="s">
        <v>578</v>
      </c>
      <c r="G347">
        <v>11</v>
      </c>
      <c r="H347">
        <v>8.5500000000000007</v>
      </c>
      <c r="I347">
        <v>34</v>
      </c>
      <c r="J347" t="s">
        <v>580</v>
      </c>
      <c r="K347">
        <v>0</v>
      </c>
    </row>
    <row r="348" spans="1:12">
      <c r="A348">
        <v>301897</v>
      </c>
      <c r="B348" t="s">
        <v>1465</v>
      </c>
      <c r="D348" t="s">
        <v>359</v>
      </c>
      <c r="E348">
        <v>38202</v>
      </c>
      <c r="F348" t="s">
        <v>578</v>
      </c>
      <c r="G348">
        <v>10</v>
      </c>
      <c r="H348">
        <v>6.95</v>
      </c>
      <c r="I348">
        <v>14</v>
      </c>
      <c r="J348" t="s">
        <v>580</v>
      </c>
      <c r="K348">
        <v>0</v>
      </c>
    </row>
    <row r="349" spans="1:12">
      <c r="A349">
        <v>301895</v>
      </c>
      <c r="B349" t="s">
        <v>1465</v>
      </c>
      <c r="D349" t="s">
        <v>357</v>
      </c>
      <c r="E349">
        <v>38202</v>
      </c>
      <c r="F349" t="s">
        <v>578</v>
      </c>
      <c r="G349">
        <v>12</v>
      </c>
      <c r="H349">
        <v>11.05</v>
      </c>
      <c r="I349">
        <v>17</v>
      </c>
      <c r="J349" t="s">
        <v>580</v>
      </c>
      <c r="K349">
        <v>0</v>
      </c>
    </row>
    <row r="350" spans="1:12">
      <c r="A350">
        <v>301836</v>
      </c>
      <c r="B350" t="s">
        <v>1465</v>
      </c>
      <c r="D350" t="s">
        <v>1407</v>
      </c>
      <c r="E350">
        <v>38302</v>
      </c>
      <c r="F350" t="s">
        <v>578</v>
      </c>
      <c r="G350">
        <v>10</v>
      </c>
      <c r="H350">
        <v>6.95</v>
      </c>
      <c r="I350">
        <v>65</v>
      </c>
      <c r="J350" t="s">
        <v>580</v>
      </c>
      <c r="K350">
        <v>0</v>
      </c>
    </row>
    <row r="351" spans="1:12">
      <c r="A351">
        <v>301836</v>
      </c>
      <c r="B351" t="s">
        <v>1465</v>
      </c>
      <c r="D351" t="s">
        <v>1407</v>
      </c>
      <c r="E351">
        <v>37404</v>
      </c>
      <c r="F351" t="s">
        <v>578</v>
      </c>
      <c r="G351">
        <v>9</v>
      </c>
      <c r="H351">
        <v>6.95</v>
      </c>
      <c r="I351">
        <v>65</v>
      </c>
      <c r="J351" t="s">
        <v>580</v>
      </c>
      <c r="K351">
        <v>0</v>
      </c>
    </row>
    <row r="352" spans="1:12">
      <c r="A352">
        <v>301837</v>
      </c>
      <c r="B352" t="s">
        <v>1465</v>
      </c>
      <c r="D352" t="s">
        <v>1408</v>
      </c>
      <c r="E352">
        <v>37504</v>
      </c>
      <c r="F352" t="s">
        <v>578</v>
      </c>
      <c r="G352">
        <v>5</v>
      </c>
      <c r="H352">
        <v>6.95</v>
      </c>
      <c r="I352">
        <v>12</v>
      </c>
      <c r="J352" t="s">
        <v>580</v>
      </c>
      <c r="K352">
        <v>10</v>
      </c>
      <c r="L352" s="145">
        <v>42061</v>
      </c>
    </row>
    <row r="353" spans="1:12">
      <c r="A353">
        <v>301837</v>
      </c>
      <c r="B353" t="s">
        <v>1465</v>
      </c>
      <c r="D353" t="s">
        <v>1408</v>
      </c>
      <c r="E353">
        <v>38302</v>
      </c>
      <c r="F353" t="s">
        <v>578</v>
      </c>
      <c r="G353">
        <v>3</v>
      </c>
      <c r="H353">
        <v>6.95</v>
      </c>
      <c r="I353">
        <v>12</v>
      </c>
      <c r="J353" t="s">
        <v>580</v>
      </c>
      <c r="K353">
        <v>10</v>
      </c>
      <c r="L353" s="145">
        <v>42061</v>
      </c>
    </row>
    <row r="354" spans="1:12">
      <c r="A354">
        <v>303191</v>
      </c>
      <c r="B354" t="s">
        <v>1465</v>
      </c>
      <c r="D354" t="s">
        <v>1830</v>
      </c>
      <c r="E354">
        <v>38302</v>
      </c>
      <c r="F354" t="s">
        <v>578</v>
      </c>
      <c r="G354">
        <v>7</v>
      </c>
      <c r="H354">
        <v>6.95</v>
      </c>
      <c r="I354">
        <v>1</v>
      </c>
      <c r="J354" t="s">
        <v>580</v>
      </c>
      <c r="K354">
        <v>30</v>
      </c>
      <c r="L354" s="145">
        <v>42061</v>
      </c>
    </row>
    <row r="355" spans="1:12">
      <c r="A355">
        <v>303191</v>
      </c>
      <c r="B355" t="s">
        <v>1465</v>
      </c>
      <c r="D355" t="s">
        <v>1830</v>
      </c>
      <c r="E355">
        <v>37304</v>
      </c>
      <c r="F355" t="s">
        <v>578</v>
      </c>
      <c r="G355">
        <v>13</v>
      </c>
      <c r="H355">
        <v>6.95</v>
      </c>
      <c r="I355">
        <v>1</v>
      </c>
      <c r="J355" t="s">
        <v>580</v>
      </c>
      <c r="K355">
        <v>30</v>
      </c>
      <c r="L355" s="145">
        <v>42061</v>
      </c>
    </row>
    <row r="356" spans="1:12">
      <c r="A356">
        <v>303197</v>
      </c>
      <c r="B356" t="s">
        <v>1465</v>
      </c>
      <c r="D356" t="s">
        <v>1811</v>
      </c>
      <c r="E356">
        <v>37104</v>
      </c>
      <c r="F356" t="s">
        <v>578</v>
      </c>
      <c r="G356">
        <v>9</v>
      </c>
      <c r="H356">
        <v>6.95</v>
      </c>
      <c r="I356">
        <v>6</v>
      </c>
      <c r="J356" t="s">
        <v>580</v>
      </c>
      <c r="K356">
        <v>10</v>
      </c>
      <c r="L356" s="145">
        <v>42061</v>
      </c>
    </row>
    <row r="357" spans="1:12">
      <c r="A357">
        <v>303197</v>
      </c>
      <c r="B357" t="s">
        <v>1465</v>
      </c>
      <c r="D357" t="s">
        <v>1811</v>
      </c>
      <c r="E357">
        <v>38302</v>
      </c>
      <c r="F357" t="s">
        <v>578</v>
      </c>
      <c r="G357">
        <v>19</v>
      </c>
      <c r="H357">
        <v>6.95</v>
      </c>
      <c r="I357">
        <v>6</v>
      </c>
      <c r="J357" t="s">
        <v>580</v>
      </c>
      <c r="K357">
        <v>10</v>
      </c>
      <c r="L357" s="145">
        <v>42061</v>
      </c>
    </row>
    <row r="358" spans="1:12">
      <c r="A358">
        <v>301934</v>
      </c>
      <c r="B358" t="s">
        <v>1465</v>
      </c>
      <c r="D358" t="s">
        <v>349</v>
      </c>
      <c r="E358">
        <v>37404</v>
      </c>
      <c r="F358" t="s">
        <v>578</v>
      </c>
      <c r="G358">
        <v>12</v>
      </c>
      <c r="H358">
        <v>6.95</v>
      </c>
      <c r="I358">
        <v>48</v>
      </c>
      <c r="J358" t="s">
        <v>580</v>
      </c>
      <c r="K358">
        <v>0</v>
      </c>
    </row>
    <row r="359" spans="1:12">
      <c r="A359">
        <v>301934</v>
      </c>
      <c r="B359" t="s">
        <v>1465</v>
      </c>
      <c r="D359" t="s">
        <v>349</v>
      </c>
      <c r="E359">
        <v>38302</v>
      </c>
      <c r="F359" t="s">
        <v>578</v>
      </c>
      <c r="G359">
        <v>1</v>
      </c>
      <c r="H359">
        <v>6.95</v>
      </c>
      <c r="I359">
        <v>48</v>
      </c>
      <c r="J359" t="s">
        <v>580</v>
      </c>
      <c r="K359">
        <v>0</v>
      </c>
    </row>
    <row r="360" spans="1:12">
      <c r="A360">
        <v>303195</v>
      </c>
      <c r="B360" t="s">
        <v>1465</v>
      </c>
      <c r="D360" t="s">
        <v>1809</v>
      </c>
      <c r="E360">
        <v>37504</v>
      </c>
      <c r="F360" t="s">
        <v>578</v>
      </c>
      <c r="G360">
        <v>14</v>
      </c>
      <c r="H360">
        <v>6.95</v>
      </c>
      <c r="I360">
        <v>98</v>
      </c>
      <c r="J360" t="s">
        <v>580</v>
      </c>
      <c r="K360">
        <v>0</v>
      </c>
    </row>
    <row r="361" spans="1:12">
      <c r="A361">
        <v>303195</v>
      </c>
      <c r="B361" t="s">
        <v>1465</v>
      </c>
      <c r="D361" t="s">
        <v>1809</v>
      </c>
      <c r="E361">
        <v>38302</v>
      </c>
      <c r="F361" t="s">
        <v>578</v>
      </c>
      <c r="G361">
        <v>5</v>
      </c>
      <c r="H361">
        <v>6.95</v>
      </c>
      <c r="I361">
        <v>98</v>
      </c>
      <c r="J361" t="s">
        <v>580</v>
      </c>
      <c r="K361">
        <v>0</v>
      </c>
    </row>
    <row r="362" spans="1:12">
      <c r="A362">
        <v>303193</v>
      </c>
      <c r="B362" t="s">
        <v>1465</v>
      </c>
      <c r="D362" t="s">
        <v>1807</v>
      </c>
      <c r="E362">
        <v>38302</v>
      </c>
      <c r="F362" t="s">
        <v>578</v>
      </c>
      <c r="G362">
        <v>14</v>
      </c>
      <c r="H362">
        <v>6.95</v>
      </c>
      <c r="I362">
        <v>17</v>
      </c>
      <c r="J362" t="s">
        <v>580</v>
      </c>
      <c r="K362">
        <v>0</v>
      </c>
    </row>
    <row r="363" spans="1:12">
      <c r="A363">
        <v>303193</v>
      </c>
      <c r="B363" t="s">
        <v>1465</v>
      </c>
      <c r="D363" t="s">
        <v>1807</v>
      </c>
      <c r="E363">
        <v>37204</v>
      </c>
      <c r="F363" t="s">
        <v>578</v>
      </c>
      <c r="G363">
        <v>11</v>
      </c>
      <c r="H363">
        <v>6.95</v>
      </c>
      <c r="I363">
        <v>17</v>
      </c>
      <c r="J363" t="s">
        <v>580</v>
      </c>
      <c r="K363">
        <v>0</v>
      </c>
    </row>
    <row r="364" spans="1:12">
      <c r="A364">
        <v>303178</v>
      </c>
      <c r="B364" t="s">
        <v>1465</v>
      </c>
      <c r="D364" t="s">
        <v>572</v>
      </c>
      <c r="E364">
        <v>38302</v>
      </c>
      <c r="F364" t="s">
        <v>578</v>
      </c>
      <c r="G364">
        <v>4</v>
      </c>
      <c r="H364">
        <v>6.95</v>
      </c>
      <c r="I364">
        <v>239</v>
      </c>
      <c r="J364" t="s">
        <v>580</v>
      </c>
      <c r="K364">
        <v>0</v>
      </c>
    </row>
    <row r="365" spans="1:12">
      <c r="A365">
        <v>303178</v>
      </c>
      <c r="B365" t="s">
        <v>1465</v>
      </c>
      <c r="D365" t="s">
        <v>572</v>
      </c>
      <c r="E365">
        <v>37404</v>
      </c>
      <c r="F365" t="s">
        <v>578</v>
      </c>
      <c r="G365">
        <v>6</v>
      </c>
      <c r="H365">
        <v>6.95</v>
      </c>
      <c r="I365">
        <v>239</v>
      </c>
      <c r="J365" t="s">
        <v>580</v>
      </c>
      <c r="K365">
        <v>0</v>
      </c>
    </row>
    <row r="366" spans="1:12">
      <c r="A366">
        <v>303180</v>
      </c>
      <c r="B366" t="s">
        <v>1465</v>
      </c>
      <c r="D366" t="s">
        <v>2036</v>
      </c>
      <c r="E366">
        <v>38302</v>
      </c>
      <c r="F366" t="s">
        <v>578</v>
      </c>
      <c r="G366">
        <v>13</v>
      </c>
      <c r="H366">
        <v>6.95</v>
      </c>
      <c r="I366">
        <v>49</v>
      </c>
      <c r="J366" t="s">
        <v>580</v>
      </c>
      <c r="K366">
        <v>0</v>
      </c>
    </row>
    <row r="367" spans="1:12">
      <c r="A367">
        <v>303180</v>
      </c>
      <c r="B367" t="s">
        <v>1465</v>
      </c>
      <c r="D367" t="s">
        <v>2036</v>
      </c>
      <c r="E367">
        <v>37204</v>
      </c>
      <c r="F367" t="s">
        <v>578</v>
      </c>
      <c r="G367">
        <v>9</v>
      </c>
      <c r="H367">
        <v>6.95</v>
      </c>
      <c r="I367">
        <v>49</v>
      </c>
      <c r="J367" t="s">
        <v>580</v>
      </c>
      <c r="K367">
        <v>0</v>
      </c>
    </row>
    <row r="368" spans="1:12">
      <c r="A368">
        <v>303183</v>
      </c>
      <c r="B368" t="s">
        <v>1465</v>
      </c>
      <c r="D368" t="s">
        <v>2038</v>
      </c>
      <c r="E368">
        <v>38302</v>
      </c>
      <c r="F368" t="s">
        <v>578</v>
      </c>
      <c r="G368">
        <v>18</v>
      </c>
      <c r="H368">
        <v>6.95</v>
      </c>
      <c r="I368">
        <v>48</v>
      </c>
      <c r="J368" t="s">
        <v>580</v>
      </c>
      <c r="K368">
        <v>0</v>
      </c>
    </row>
    <row r="369" spans="1:12">
      <c r="A369">
        <v>303183</v>
      </c>
      <c r="B369" t="s">
        <v>1465</v>
      </c>
      <c r="D369" t="s">
        <v>2038</v>
      </c>
      <c r="E369">
        <v>37104</v>
      </c>
      <c r="F369" t="s">
        <v>578</v>
      </c>
      <c r="G369">
        <v>3</v>
      </c>
      <c r="H369">
        <v>6.95</v>
      </c>
      <c r="I369">
        <v>48</v>
      </c>
      <c r="J369" t="s">
        <v>580</v>
      </c>
      <c r="K369">
        <v>0</v>
      </c>
    </row>
    <row r="370" spans="1:12">
      <c r="A370">
        <v>303185</v>
      </c>
      <c r="B370" t="s">
        <v>1465</v>
      </c>
      <c r="D370" t="s">
        <v>2040</v>
      </c>
      <c r="E370">
        <v>38302</v>
      </c>
      <c r="F370" t="s">
        <v>578</v>
      </c>
      <c r="G370">
        <v>6</v>
      </c>
      <c r="H370">
        <v>6.95</v>
      </c>
      <c r="I370">
        <v>27</v>
      </c>
      <c r="J370" t="s">
        <v>580</v>
      </c>
      <c r="K370">
        <v>0</v>
      </c>
    </row>
    <row r="371" spans="1:12">
      <c r="A371">
        <v>303185</v>
      </c>
      <c r="B371" t="s">
        <v>1465</v>
      </c>
      <c r="D371" t="s">
        <v>2040</v>
      </c>
      <c r="E371">
        <v>37304</v>
      </c>
      <c r="F371" t="s">
        <v>578</v>
      </c>
      <c r="G371">
        <v>2</v>
      </c>
      <c r="H371">
        <v>6.95</v>
      </c>
      <c r="I371">
        <v>27</v>
      </c>
      <c r="J371" t="s">
        <v>580</v>
      </c>
      <c r="K371">
        <v>0</v>
      </c>
    </row>
    <row r="372" spans="1:12">
      <c r="A372">
        <v>303189</v>
      </c>
      <c r="B372" t="s">
        <v>1465</v>
      </c>
      <c r="D372" t="s">
        <v>2043</v>
      </c>
      <c r="E372">
        <v>38302</v>
      </c>
      <c r="F372" t="s">
        <v>578</v>
      </c>
      <c r="G372">
        <v>15</v>
      </c>
      <c r="H372">
        <v>6.95</v>
      </c>
      <c r="I372">
        <v>31</v>
      </c>
      <c r="J372" t="s">
        <v>580</v>
      </c>
      <c r="K372">
        <v>10</v>
      </c>
      <c r="L372" s="145">
        <v>42061</v>
      </c>
    </row>
    <row r="373" spans="1:12">
      <c r="A373">
        <v>303189</v>
      </c>
      <c r="B373" t="s">
        <v>1465</v>
      </c>
      <c r="D373" t="s">
        <v>2043</v>
      </c>
      <c r="E373">
        <v>37104</v>
      </c>
      <c r="F373" t="s">
        <v>578</v>
      </c>
      <c r="G373">
        <v>6</v>
      </c>
      <c r="H373">
        <v>6.95</v>
      </c>
      <c r="I373">
        <v>31</v>
      </c>
      <c r="J373" t="s">
        <v>580</v>
      </c>
      <c r="K373">
        <v>10</v>
      </c>
      <c r="L373" s="145">
        <v>42061</v>
      </c>
    </row>
    <row r="374" spans="1:12">
      <c r="A374">
        <v>300051</v>
      </c>
      <c r="B374" t="s">
        <v>1109</v>
      </c>
      <c r="D374" t="s">
        <v>225</v>
      </c>
      <c r="E374">
        <v>37000</v>
      </c>
      <c r="F374" t="s">
        <v>578</v>
      </c>
      <c r="G374">
        <v>16</v>
      </c>
      <c r="H374">
        <v>4.5</v>
      </c>
      <c r="I374">
        <v>17</v>
      </c>
      <c r="J374" t="s">
        <v>2009</v>
      </c>
      <c r="K374">
        <v>0</v>
      </c>
    </row>
    <row r="375" spans="1:12">
      <c r="A375">
        <v>300091</v>
      </c>
      <c r="B375" t="s">
        <v>1109</v>
      </c>
      <c r="D375" t="s">
        <v>590</v>
      </c>
      <c r="E375">
        <v>37000</v>
      </c>
      <c r="F375" t="s">
        <v>578</v>
      </c>
      <c r="G375">
        <v>1</v>
      </c>
      <c r="H375">
        <v>4.5</v>
      </c>
      <c r="I375">
        <v>16</v>
      </c>
      <c r="J375" t="s">
        <v>2010</v>
      </c>
      <c r="K375">
        <v>0</v>
      </c>
    </row>
    <row r="376" spans="1:12">
      <c r="A376">
        <v>300095</v>
      </c>
      <c r="B376" t="s">
        <v>1109</v>
      </c>
      <c r="D376" t="s">
        <v>591</v>
      </c>
      <c r="E376">
        <v>37000</v>
      </c>
      <c r="F376" t="s">
        <v>578</v>
      </c>
      <c r="G376">
        <v>15</v>
      </c>
      <c r="H376">
        <v>4.5</v>
      </c>
      <c r="I376">
        <v>30</v>
      </c>
      <c r="J376" t="s">
        <v>2009</v>
      </c>
      <c r="K376">
        <v>0</v>
      </c>
    </row>
    <row r="377" spans="1:12">
      <c r="A377">
        <v>303720</v>
      </c>
      <c r="B377" t="s">
        <v>1465</v>
      </c>
      <c r="D377" t="s">
        <v>1220</v>
      </c>
      <c r="E377">
        <v>38205</v>
      </c>
      <c r="F377" t="s">
        <v>578</v>
      </c>
      <c r="G377">
        <v>1</v>
      </c>
      <c r="H377">
        <v>9.9</v>
      </c>
      <c r="I377">
        <v>35</v>
      </c>
      <c r="J377" t="s">
        <v>580</v>
      </c>
      <c r="K377">
        <v>0</v>
      </c>
    </row>
    <row r="378" spans="1:12">
      <c r="A378">
        <v>303722</v>
      </c>
      <c r="B378" t="s">
        <v>1465</v>
      </c>
      <c r="D378" t="s">
        <v>592</v>
      </c>
      <c r="E378">
        <v>38305</v>
      </c>
      <c r="F378" t="s">
        <v>578</v>
      </c>
      <c r="G378">
        <v>1</v>
      </c>
      <c r="H378">
        <v>9.9</v>
      </c>
      <c r="I378">
        <v>34</v>
      </c>
      <c r="J378" t="s">
        <v>580</v>
      </c>
      <c r="K378">
        <v>0</v>
      </c>
    </row>
    <row r="379" spans="1:12">
      <c r="A379">
        <v>301898</v>
      </c>
      <c r="B379" t="s">
        <v>1465</v>
      </c>
      <c r="D379" t="s">
        <v>360</v>
      </c>
      <c r="E379">
        <v>38304</v>
      </c>
      <c r="F379" t="s">
        <v>578</v>
      </c>
      <c r="G379">
        <v>1</v>
      </c>
      <c r="H379">
        <v>9.9</v>
      </c>
      <c r="I379">
        <v>14</v>
      </c>
      <c r="J379" t="s">
        <v>580</v>
      </c>
      <c r="K379">
        <v>50</v>
      </c>
      <c r="L379" s="145">
        <v>42061</v>
      </c>
    </row>
    <row r="380" spans="1:12">
      <c r="A380">
        <v>301899</v>
      </c>
      <c r="B380" t="s">
        <v>1465</v>
      </c>
      <c r="D380" t="s">
        <v>361</v>
      </c>
      <c r="E380">
        <v>38204</v>
      </c>
      <c r="F380" t="s">
        <v>578</v>
      </c>
      <c r="G380">
        <v>1</v>
      </c>
      <c r="H380">
        <v>8.9</v>
      </c>
      <c r="I380">
        <v>19</v>
      </c>
      <c r="J380" t="s">
        <v>580</v>
      </c>
      <c r="K380">
        <v>0</v>
      </c>
    </row>
    <row r="381" spans="1:12">
      <c r="A381">
        <v>300609</v>
      </c>
      <c r="B381" t="s">
        <v>1465</v>
      </c>
      <c r="D381" t="s">
        <v>1912</v>
      </c>
      <c r="E381">
        <v>37000</v>
      </c>
      <c r="F381" t="s">
        <v>578</v>
      </c>
      <c r="G381">
        <v>19</v>
      </c>
      <c r="H381">
        <v>9.9</v>
      </c>
      <c r="I381">
        <v>81</v>
      </c>
      <c r="J381" t="s">
        <v>2009</v>
      </c>
      <c r="K381">
        <v>0</v>
      </c>
    </row>
    <row r="382" spans="1:12">
      <c r="A382">
        <v>301906</v>
      </c>
      <c r="B382" t="s">
        <v>1465</v>
      </c>
      <c r="D382" t="s">
        <v>365</v>
      </c>
      <c r="E382">
        <v>38203</v>
      </c>
      <c r="F382" t="s">
        <v>578</v>
      </c>
      <c r="G382">
        <v>15</v>
      </c>
      <c r="H382">
        <v>9.0500000000000007</v>
      </c>
      <c r="I382">
        <v>31</v>
      </c>
      <c r="J382" t="s">
        <v>580</v>
      </c>
      <c r="K382">
        <v>0</v>
      </c>
    </row>
    <row r="383" spans="1:12">
      <c r="A383">
        <v>301905</v>
      </c>
      <c r="B383" t="s">
        <v>1465</v>
      </c>
      <c r="D383" t="s">
        <v>364</v>
      </c>
      <c r="E383">
        <v>38203</v>
      </c>
      <c r="F383" t="s">
        <v>578</v>
      </c>
      <c r="G383">
        <v>14</v>
      </c>
      <c r="H383">
        <v>9.0500000000000007</v>
      </c>
      <c r="I383">
        <v>29</v>
      </c>
      <c r="J383" t="s">
        <v>580</v>
      </c>
      <c r="K383">
        <v>0</v>
      </c>
    </row>
    <row r="384" spans="1:12">
      <c r="A384">
        <v>301907</v>
      </c>
      <c r="B384" t="s">
        <v>1465</v>
      </c>
      <c r="D384" t="s">
        <v>366</v>
      </c>
      <c r="E384">
        <v>38203</v>
      </c>
      <c r="F384" t="s">
        <v>578</v>
      </c>
      <c r="G384">
        <v>16</v>
      </c>
      <c r="H384">
        <v>9.0500000000000007</v>
      </c>
      <c r="I384">
        <v>24</v>
      </c>
      <c r="J384" t="s">
        <v>580</v>
      </c>
      <c r="K384">
        <v>0</v>
      </c>
    </row>
    <row r="385" spans="1:11">
      <c r="A385">
        <v>301921</v>
      </c>
      <c r="B385" t="s">
        <v>1465</v>
      </c>
      <c r="D385" t="s">
        <v>1415</v>
      </c>
      <c r="E385">
        <v>37404</v>
      </c>
      <c r="F385" t="s">
        <v>578</v>
      </c>
      <c r="G385">
        <v>2</v>
      </c>
      <c r="H385">
        <v>8.5500000000000007</v>
      </c>
      <c r="I385">
        <v>40</v>
      </c>
      <c r="J385" t="s">
        <v>580</v>
      </c>
      <c r="K385">
        <v>0</v>
      </c>
    </row>
    <row r="386" spans="1:11">
      <c r="A386">
        <v>301921</v>
      </c>
      <c r="B386" t="s">
        <v>1465</v>
      </c>
      <c r="D386" t="s">
        <v>1415</v>
      </c>
      <c r="E386">
        <v>38303</v>
      </c>
      <c r="F386" t="s">
        <v>578</v>
      </c>
      <c r="G386">
        <v>12</v>
      </c>
      <c r="H386">
        <v>8.5500000000000007</v>
      </c>
      <c r="I386">
        <v>40</v>
      </c>
      <c r="J386" t="s">
        <v>580</v>
      </c>
      <c r="K386">
        <v>0</v>
      </c>
    </row>
    <row r="387" spans="1:11">
      <c r="A387">
        <v>301923</v>
      </c>
      <c r="B387" t="s">
        <v>1465</v>
      </c>
      <c r="D387" t="s">
        <v>1417</v>
      </c>
      <c r="E387">
        <v>37304</v>
      </c>
      <c r="F387" t="s">
        <v>578</v>
      </c>
      <c r="G387">
        <v>11</v>
      </c>
      <c r="H387">
        <v>8.5500000000000007</v>
      </c>
      <c r="I387">
        <v>26</v>
      </c>
      <c r="J387" t="s">
        <v>580</v>
      </c>
      <c r="K387">
        <v>0</v>
      </c>
    </row>
    <row r="388" spans="1:11">
      <c r="A388">
        <v>301923</v>
      </c>
      <c r="B388" t="s">
        <v>1465</v>
      </c>
      <c r="D388" t="s">
        <v>1417</v>
      </c>
      <c r="E388">
        <v>38303</v>
      </c>
      <c r="F388" t="s">
        <v>578</v>
      </c>
      <c r="G388">
        <v>13</v>
      </c>
      <c r="H388">
        <v>8.5500000000000007</v>
      </c>
      <c r="I388">
        <v>26</v>
      </c>
      <c r="J388" t="s">
        <v>580</v>
      </c>
      <c r="K388">
        <v>0</v>
      </c>
    </row>
    <row r="389" spans="1:11">
      <c r="A389">
        <v>301917</v>
      </c>
      <c r="B389" t="s">
        <v>1791</v>
      </c>
      <c r="C389" s="145">
        <v>41917</v>
      </c>
      <c r="D389" t="s">
        <v>1413</v>
      </c>
      <c r="E389">
        <v>38303</v>
      </c>
      <c r="F389" t="s">
        <v>578</v>
      </c>
      <c r="G389">
        <v>8</v>
      </c>
      <c r="H389">
        <v>8.5500000000000007</v>
      </c>
      <c r="I389">
        <v>11</v>
      </c>
      <c r="J389" t="s">
        <v>580</v>
      </c>
      <c r="K389">
        <v>0</v>
      </c>
    </row>
    <row r="390" spans="1:11">
      <c r="A390">
        <v>301927</v>
      </c>
      <c r="B390" t="s">
        <v>1465</v>
      </c>
      <c r="D390" t="s">
        <v>346</v>
      </c>
      <c r="E390">
        <v>37204</v>
      </c>
      <c r="F390" t="s">
        <v>578</v>
      </c>
      <c r="G390">
        <v>5</v>
      </c>
      <c r="H390">
        <v>8.5500000000000007</v>
      </c>
      <c r="I390">
        <v>38</v>
      </c>
      <c r="J390" t="s">
        <v>580</v>
      </c>
      <c r="K390">
        <v>0</v>
      </c>
    </row>
    <row r="391" spans="1:11">
      <c r="A391">
        <v>301927</v>
      </c>
      <c r="B391" t="s">
        <v>1465</v>
      </c>
      <c r="D391" t="s">
        <v>346</v>
      </c>
      <c r="E391">
        <v>38303</v>
      </c>
      <c r="F391" t="s">
        <v>578</v>
      </c>
      <c r="G391">
        <v>21</v>
      </c>
      <c r="H391">
        <v>8.5500000000000007</v>
      </c>
      <c r="I391">
        <v>38</v>
      </c>
      <c r="J391" t="s">
        <v>580</v>
      </c>
      <c r="K391">
        <v>0</v>
      </c>
    </row>
    <row r="392" spans="1:11">
      <c r="A392">
        <v>301924</v>
      </c>
      <c r="B392" t="s">
        <v>1465</v>
      </c>
      <c r="D392" t="s">
        <v>1418</v>
      </c>
      <c r="E392">
        <v>37304</v>
      </c>
      <c r="F392" t="s">
        <v>578</v>
      </c>
      <c r="G392">
        <v>8</v>
      </c>
      <c r="H392">
        <v>8.9</v>
      </c>
      <c r="I392">
        <v>16</v>
      </c>
      <c r="J392" t="s">
        <v>580</v>
      </c>
      <c r="K392">
        <v>0</v>
      </c>
    </row>
    <row r="393" spans="1:11">
      <c r="A393">
        <v>301924</v>
      </c>
      <c r="B393" t="s">
        <v>1465</v>
      </c>
      <c r="D393" t="s">
        <v>1418</v>
      </c>
      <c r="E393">
        <v>38303</v>
      </c>
      <c r="F393" t="s">
        <v>578</v>
      </c>
      <c r="G393">
        <v>15</v>
      </c>
      <c r="H393">
        <v>8.9</v>
      </c>
      <c r="I393">
        <v>16</v>
      </c>
      <c r="J393" t="s">
        <v>580</v>
      </c>
      <c r="K393">
        <v>0</v>
      </c>
    </row>
    <row r="394" spans="1:11">
      <c r="A394">
        <v>301925</v>
      </c>
      <c r="B394" t="s">
        <v>1465</v>
      </c>
      <c r="D394" t="s">
        <v>345</v>
      </c>
      <c r="E394">
        <v>37304</v>
      </c>
      <c r="F394" t="s">
        <v>578</v>
      </c>
      <c r="G394">
        <v>4</v>
      </c>
      <c r="H394">
        <v>8.9</v>
      </c>
      <c r="I394">
        <v>29</v>
      </c>
      <c r="J394" t="s">
        <v>580</v>
      </c>
      <c r="K394">
        <v>0</v>
      </c>
    </row>
    <row r="395" spans="1:11">
      <c r="A395">
        <v>301925</v>
      </c>
      <c r="B395" t="s">
        <v>1465</v>
      </c>
      <c r="D395" t="s">
        <v>345</v>
      </c>
      <c r="E395">
        <v>38303</v>
      </c>
      <c r="F395" t="s">
        <v>578</v>
      </c>
      <c r="G395">
        <v>16</v>
      </c>
      <c r="H395">
        <v>8.9</v>
      </c>
      <c r="I395">
        <v>29</v>
      </c>
      <c r="J395" t="s">
        <v>580</v>
      </c>
      <c r="K395">
        <v>0</v>
      </c>
    </row>
    <row r="396" spans="1:11">
      <c r="A396">
        <v>301912</v>
      </c>
      <c r="B396" t="s">
        <v>1465</v>
      </c>
      <c r="D396" t="s">
        <v>1409</v>
      </c>
      <c r="E396">
        <v>38303</v>
      </c>
      <c r="F396" t="s">
        <v>578</v>
      </c>
      <c r="G396">
        <v>2</v>
      </c>
      <c r="H396">
        <v>8.9</v>
      </c>
      <c r="I396">
        <v>22</v>
      </c>
      <c r="J396" t="s">
        <v>580</v>
      </c>
      <c r="K396">
        <v>0</v>
      </c>
    </row>
    <row r="397" spans="1:11">
      <c r="A397">
        <v>301912</v>
      </c>
      <c r="B397" t="s">
        <v>1465</v>
      </c>
      <c r="D397" t="s">
        <v>1409</v>
      </c>
      <c r="E397">
        <v>37504</v>
      </c>
      <c r="F397" t="s">
        <v>578</v>
      </c>
      <c r="G397">
        <v>10</v>
      </c>
      <c r="H397">
        <v>8.9</v>
      </c>
      <c r="I397">
        <v>22</v>
      </c>
      <c r="J397" t="s">
        <v>580</v>
      </c>
      <c r="K397">
        <v>0</v>
      </c>
    </row>
    <row r="398" spans="1:11">
      <c r="A398">
        <v>301914</v>
      </c>
      <c r="B398" t="s">
        <v>1465</v>
      </c>
      <c r="D398" t="s">
        <v>1411</v>
      </c>
      <c r="E398">
        <v>38303</v>
      </c>
      <c r="F398" t="s">
        <v>578</v>
      </c>
      <c r="G398">
        <v>1</v>
      </c>
      <c r="H398">
        <v>8.9</v>
      </c>
      <c r="I398">
        <v>25</v>
      </c>
      <c r="J398" t="s">
        <v>580</v>
      </c>
      <c r="K398">
        <v>0</v>
      </c>
    </row>
    <row r="399" spans="1:11">
      <c r="A399">
        <v>301914</v>
      </c>
      <c r="B399" t="s">
        <v>1465</v>
      </c>
      <c r="D399" t="s">
        <v>1411</v>
      </c>
      <c r="E399">
        <v>37504</v>
      </c>
      <c r="F399" t="s">
        <v>578</v>
      </c>
      <c r="G399">
        <v>7</v>
      </c>
      <c r="H399">
        <v>8.9</v>
      </c>
      <c r="I399">
        <v>25</v>
      </c>
      <c r="J399" t="s">
        <v>580</v>
      </c>
      <c r="K399">
        <v>0</v>
      </c>
    </row>
    <row r="400" spans="1:11">
      <c r="A400">
        <v>301928</v>
      </c>
      <c r="B400" t="s">
        <v>1465</v>
      </c>
      <c r="D400" t="s">
        <v>347</v>
      </c>
      <c r="E400">
        <v>38303</v>
      </c>
      <c r="F400" t="s">
        <v>578</v>
      </c>
      <c r="G400">
        <v>22</v>
      </c>
      <c r="H400">
        <v>8.5500000000000007</v>
      </c>
      <c r="I400">
        <v>8</v>
      </c>
      <c r="J400" t="s">
        <v>580</v>
      </c>
      <c r="K400">
        <v>0</v>
      </c>
    </row>
    <row r="401" spans="1:12">
      <c r="A401">
        <v>301928</v>
      </c>
      <c r="B401" t="s">
        <v>1465</v>
      </c>
      <c r="D401" t="s">
        <v>347</v>
      </c>
      <c r="E401">
        <v>37204</v>
      </c>
      <c r="F401" t="s">
        <v>578</v>
      </c>
      <c r="G401">
        <v>2</v>
      </c>
      <c r="H401">
        <v>8.5500000000000007</v>
      </c>
      <c r="I401">
        <v>8</v>
      </c>
      <c r="J401" t="s">
        <v>580</v>
      </c>
      <c r="K401">
        <v>0</v>
      </c>
    </row>
    <row r="402" spans="1:12">
      <c r="A402">
        <v>301903</v>
      </c>
      <c r="B402" t="s">
        <v>1465</v>
      </c>
      <c r="D402" t="s">
        <v>362</v>
      </c>
      <c r="E402">
        <v>38203</v>
      </c>
      <c r="F402" t="s">
        <v>578</v>
      </c>
      <c r="G402">
        <v>18</v>
      </c>
      <c r="H402">
        <v>9.0500000000000007</v>
      </c>
      <c r="I402">
        <v>17</v>
      </c>
      <c r="J402" t="s">
        <v>580</v>
      </c>
      <c r="K402">
        <v>0</v>
      </c>
    </row>
    <row r="403" spans="1:12">
      <c r="A403">
        <v>301904</v>
      </c>
      <c r="B403" t="s">
        <v>1465</v>
      </c>
      <c r="D403" t="s">
        <v>363</v>
      </c>
      <c r="E403">
        <v>38203</v>
      </c>
      <c r="F403" t="s">
        <v>578</v>
      </c>
      <c r="G403">
        <v>17</v>
      </c>
      <c r="H403">
        <v>9.0500000000000007</v>
      </c>
      <c r="I403">
        <v>18</v>
      </c>
      <c r="J403" t="s">
        <v>580</v>
      </c>
      <c r="K403">
        <v>0</v>
      </c>
    </row>
    <row r="404" spans="1:12">
      <c r="A404">
        <v>301904</v>
      </c>
      <c r="B404" t="s">
        <v>1465</v>
      </c>
      <c r="D404" t="s">
        <v>363</v>
      </c>
      <c r="E404">
        <v>38203</v>
      </c>
      <c r="F404" t="s">
        <v>578</v>
      </c>
      <c r="G404">
        <v>19</v>
      </c>
      <c r="H404">
        <v>9.0500000000000007</v>
      </c>
      <c r="I404">
        <v>18</v>
      </c>
      <c r="J404" t="s">
        <v>580</v>
      </c>
      <c r="K404">
        <v>0</v>
      </c>
    </row>
    <row r="405" spans="1:12">
      <c r="A405">
        <v>301909</v>
      </c>
      <c r="B405" t="s">
        <v>1465</v>
      </c>
      <c r="D405" t="s">
        <v>368</v>
      </c>
      <c r="E405">
        <v>38203</v>
      </c>
      <c r="F405" t="s">
        <v>578</v>
      </c>
      <c r="G405">
        <v>8</v>
      </c>
      <c r="H405">
        <v>5.5</v>
      </c>
      <c r="I405">
        <v>62</v>
      </c>
      <c r="J405" t="s">
        <v>580</v>
      </c>
      <c r="K405">
        <v>0</v>
      </c>
    </row>
    <row r="406" spans="1:12">
      <c r="A406">
        <v>301913</v>
      </c>
      <c r="B406" t="s">
        <v>1465</v>
      </c>
      <c r="D406" t="s">
        <v>1410</v>
      </c>
      <c r="E406">
        <v>38303</v>
      </c>
      <c r="F406" t="s">
        <v>578</v>
      </c>
      <c r="G406">
        <v>3</v>
      </c>
      <c r="H406">
        <v>8.9</v>
      </c>
      <c r="I406">
        <v>29</v>
      </c>
      <c r="J406" t="s">
        <v>580</v>
      </c>
      <c r="K406">
        <v>0</v>
      </c>
    </row>
    <row r="407" spans="1:12">
      <c r="A407">
        <v>301913</v>
      </c>
      <c r="B407" t="s">
        <v>1465</v>
      </c>
      <c r="D407" t="s">
        <v>1410</v>
      </c>
      <c r="E407">
        <v>37404</v>
      </c>
      <c r="F407" t="s">
        <v>578</v>
      </c>
      <c r="G407">
        <v>11</v>
      </c>
      <c r="H407">
        <v>8.9</v>
      </c>
      <c r="I407">
        <v>29</v>
      </c>
      <c r="J407" t="s">
        <v>580</v>
      </c>
      <c r="K407">
        <v>0</v>
      </c>
    </row>
    <row r="408" spans="1:12">
      <c r="A408">
        <v>301908</v>
      </c>
      <c r="B408" t="s">
        <v>1465</v>
      </c>
      <c r="D408" t="s">
        <v>367</v>
      </c>
      <c r="E408">
        <v>38203</v>
      </c>
      <c r="F408" t="s">
        <v>578</v>
      </c>
      <c r="G408">
        <v>9</v>
      </c>
      <c r="H408">
        <v>5.8</v>
      </c>
      <c r="I408">
        <v>5</v>
      </c>
      <c r="J408" t="s">
        <v>580</v>
      </c>
      <c r="K408">
        <v>70</v>
      </c>
      <c r="L408" s="145">
        <v>42061</v>
      </c>
    </row>
    <row r="409" spans="1:12">
      <c r="A409">
        <v>303198</v>
      </c>
      <c r="B409" t="s">
        <v>1465</v>
      </c>
      <c r="D409" t="s">
        <v>1812</v>
      </c>
      <c r="E409">
        <v>38303</v>
      </c>
      <c r="F409" t="s">
        <v>578</v>
      </c>
      <c r="G409">
        <v>24</v>
      </c>
      <c r="H409">
        <v>8.9</v>
      </c>
      <c r="I409">
        <v>25</v>
      </c>
      <c r="J409" t="s">
        <v>580</v>
      </c>
      <c r="K409">
        <v>0</v>
      </c>
    </row>
    <row r="410" spans="1:12">
      <c r="A410">
        <v>303198</v>
      </c>
      <c r="B410" t="s">
        <v>1465</v>
      </c>
      <c r="D410" t="s">
        <v>1812</v>
      </c>
      <c r="E410">
        <v>37104</v>
      </c>
      <c r="F410" t="s">
        <v>578</v>
      </c>
      <c r="G410">
        <v>8</v>
      </c>
      <c r="H410">
        <v>8.9</v>
      </c>
      <c r="I410">
        <v>25</v>
      </c>
      <c r="J410" t="s">
        <v>580</v>
      </c>
      <c r="K410">
        <v>0</v>
      </c>
    </row>
    <row r="411" spans="1:12">
      <c r="A411">
        <v>303192</v>
      </c>
      <c r="B411" t="s">
        <v>1465</v>
      </c>
      <c r="D411" t="s">
        <v>1806</v>
      </c>
      <c r="E411">
        <v>37304</v>
      </c>
      <c r="F411" t="s">
        <v>578</v>
      </c>
      <c r="G411">
        <v>14</v>
      </c>
      <c r="H411">
        <v>8.9</v>
      </c>
      <c r="I411">
        <v>8</v>
      </c>
      <c r="J411" t="s">
        <v>580</v>
      </c>
      <c r="K411">
        <v>0</v>
      </c>
    </row>
    <row r="412" spans="1:12">
      <c r="A412">
        <v>303192</v>
      </c>
      <c r="B412" t="s">
        <v>1465</v>
      </c>
      <c r="D412" t="s">
        <v>1806</v>
      </c>
      <c r="E412">
        <v>38303</v>
      </c>
      <c r="F412" t="s">
        <v>578</v>
      </c>
      <c r="G412">
        <v>9</v>
      </c>
      <c r="H412">
        <v>8.9</v>
      </c>
      <c r="I412">
        <v>8</v>
      </c>
      <c r="J412" t="s">
        <v>580</v>
      </c>
      <c r="K412">
        <v>0</v>
      </c>
    </row>
    <row r="413" spans="1:12">
      <c r="A413">
        <v>303196</v>
      </c>
      <c r="B413" t="s">
        <v>1465</v>
      </c>
      <c r="D413" t="s">
        <v>1810</v>
      </c>
      <c r="E413">
        <v>38303</v>
      </c>
      <c r="F413" t="s">
        <v>578</v>
      </c>
      <c r="G413">
        <v>7</v>
      </c>
      <c r="H413">
        <v>8.9</v>
      </c>
      <c r="I413">
        <v>49</v>
      </c>
      <c r="J413" t="s">
        <v>580</v>
      </c>
      <c r="K413">
        <v>0</v>
      </c>
    </row>
    <row r="414" spans="1:12">
      <c r="A414">
        <v>303196</v>
      </c>
      <c r="B414" t="s">
        <v>1465</v>
      </c>
      <c r="D414" t="s">
        <v>1810</v>
      </c>
      <c r="E414">
        <v>37504</v>
      </c>
      <c r="F414" t="s">
        <v>578</v>
      </c>
      <c r="G414">
        <v>13</v>
      </c>
      <c r="H414">
        <v>8.9</v>
      </c>
      <c r="I414">
        <v>49</v>
      </c>
      <c r="J414" t="s">
        <v>580</v>
      </c>
      <c r="K414">
        <v>0</v>
      </c>
    </row>
    <row r="415" spans="1:12">
      <c r="A415">
        <v>301916</v>
      </c>
      <c r="B415" t="s">
        <v>1465</v>
      </c>
      <c r="D415" t="s">
        <v>1412</v>
      </c>
      <c r="E415">
        <v>38303</v>
      </c>
      <c r="F415" t="s">
        <v>578</v>
      </c>
      <c r="G415">
        <v>4</v>
      </c>
      <c r="H415">
        <v>8.9</v>
      </c>
      <c r="I415">
        <v>31</v>
      </c>
      <c r="J415" t="s">
        <v>580</v>
      </c>
      <c r="K415">
        <v>0</v>
      </c>
    </row>
    <row r="416" spans="1:12">
      <c r="A416">
        <v>301916</v>
      </c>
      <c r="B416" t="s">
        <v>1465</v>
      </c>
      <c r="D416" t="s">
        <v>1412</v>
      </c>
      <c r="E416">
        <v>37504</v>
      </c>
      <c r="F416" t="s">
        <v>578</v>
      </c>
      <c r="G416">
        <v>1</v>
      </c>
      <c r="H416">
        <v>8.9</v>
      </c>
      <c r="I416">
        <v>31</v>
      </c>
      <c r="J416" t="s">
        <v>580</v>
      </c>
      <c r="K416">
        <v>0</v>
      </c>
    </row>
    <row r="417" spans="1:11">
      <c r="A417">
        <v>303194</v>
      </c>
      <c r="B417" t="s">
        <v>1465</v>
      </c>
      <c r="D417" t="s">
        <v>1808</v>
      </c>
      <c r="E417">
        <v>38303</v>
      </c>
      <c r="F417" t="s">
        <v>578</v>
      </c>
      <c r="G417">
        <v>18</v>
      </c>
      <c r="H417">
        <v>8.9</v>
      </c>
      <c r="I417">
        <v>8</v>
      </c>
      <c r="J417" t="s">
        <v>580</v>
      </c>
      <c r="K417">
        <v>0</v>
      </c>
    </row>
    <row r="418" spans="1:11">
      <c r="A418">
        <v>303194</v>
      </c>
      <c r="B418" t="s">
        <v>1465</v>
      </c>
      <c r="D418" t="s">
        <v>1808</v>
      </c>
      <c r="E418">
        <v>37204</v>
      </c>
      <c r="F418" t="s">
        <v>578</v>
      </c>
      <c r="G418">
        <v>12</v>
      </c>
      <c r="H418">
        <v>8.9</v>
      </c>
      <c r="I418">
        <v>8</v>
      </c>
      <c r="J418" t="s">
        <v>580</v>
      </c>
      <c r="K418">
        <v>0</v>
      </c>
    </row>
    <row r="419" spans="1:11">
      <c r="A419">
        <v>301918</v>
      </c>
      <c r="B419" t="s">
        <v>1465</v>
      </c>
      <c r="D419" t="s">
        <v>1414</v>
      </c>
      <c r="E419">
        <v>38303</v>
      </c>
      <c r="F419" t="s">
        <v>578</v>
      </c>
      <c r="G419">
        <v>5</v>
      </c>
      <c r="H419">
        <v>8.9</v>
      </c>
      <c r="I419">
        <v>25</v>
      </c>
      <c r="J419" t="s">
        <v>580</v>
      </c>
      <c r="K419">
        <v>0</v>
      </c>
    </row>
    <row r="420" spans="1:11">
      <c r="A420">
        <v>301918</v>
      </c>
      <c r="B420" t="s">
        <v>1465</v>
      </c>
      <c r="D420" t="s">
        <v>1414</v>
      </c>
      <c r="E420">
        <v>37504</v>
      </c>
      <c r="F420" t="s">
        <v>578</v>
      </c>
      <c r="G420">
        <v>4</v>
      </c>
      <c r="H420">
        <v>8.9</v>
      </c>
      <c r="I420">
        <v>25</v>
      </c>
      <c r="J420" t="s">
        <v>580</v>
      </c>
      <c r="K420">
        <v>0</v>
      </c>
    </row>
    <row r="421" spans="1:11">
      <c r="A421">
        <v>301922</v>
      </c>
      <c r="B421" t="s">
        <v>1465</v>
      </c>
      <c r="D421" t="s">
        <v>1416</v>
      </c>
      <c r="E421">
        <v>38303</v>
      </c>
      <c r="F421" t="s">
        <v>578</v>
      </c>
      <c r="G421">
        <v>14</v>
      </c>
      <c r="H421">
        <v>8.9</v>
      </c>
      <c r="I421">
        <v>31</v>
      </c>
      <c r="J421" t="s">
        <v>580</v>
      </c>
      <c r="K421">
        <v>0</v>
      </c>
    </row>
    <row r="422" spans="1:11">
      <c r="A422">
        <v>301922</v>
      </c>
      <c r="B422" t="s">
        <v>1465</v>
      </c>
      <c r="D422" t="s">
        <v>1416</v>
      </c>
      <c r="E422">
        <v>37404</v>
      </c>
      <c r="F422" t="s">
        <v>578</v>
      </c>
      <c r="G422">
        <v>8</v>
      </c>
      <c r="H422">
        <v>8.9</v>
      </c>
      <c r="I422">
        <v>31</v>
      </c>
      <c r="J422" t="s">
        <v>580</v>
      </c>
      <c r="K422">
        <v>0</v>
      </c>
    </row>
    <row r="423" spans="1:11">
      <c r="A423">
        <v>301930</v>
      </c>
      <c r="B423" t="s">
        <v>1791</v>
      </c>
      <c r="C423" s="145">
        <v>42009</v>
      </c>
      <c r="D423" t="s">
        <v>348</v>
      </c>
      <c r="E423">
        <v>38303</v>
      </c>
      <c r="F423" t="s">
        <v>578</v>
      </c>
      <c r="G423">
        <v>19</v>
      </c>
      <c r="H423">
        <v>8.5500000000000007</v>
      </c>
      <c r="I423">
        <v>13</v>
      </c>
      <c r="J423" t="s">
        <v>580</v>
      </c>
      <c r="K423">
        <v>0</v>
      </c>
    </row>
    <row r="424" spans="1:11">
      <c r="A424">
        <v>303179</v>
      </c>
      <c r="B424" t="s">
        <v>1465</v>
      </c>
      <c r="D424" t="s">
        <v>2035</v>
      </c>
      <c r="E424">
        <v>38303</v>
      </c>
      <c r="F424" t="s">
        <v>578</v>
      </c>
      <c r="G424">
        <v>6</v>
      </c>
      <c r="H424">
        <v>8.5500000000000007</v>
      </c>
      <c r="I424">
        <v>79</v>
      </c>
      <c r="J424" t="s">
        <v>580</v>
      </c>
      <c r="K424">
        <v>0</v>
      </c>
    </row>
    <row r="425" spans="1:11">
      <c r="A425">
        <v>303179</v>
      </c>
      <c r="B425" t="s">
        <v>1465</v>
      </c>
      <c r="D425" t="s">
        <v>2035</v>
      </c>
      <c r="E425">
        <v>37404</v>
      </c>
      <c r="F425" t="s">
        <v>578</v>
      </c>
      <c r="G425">
        <v>5</v>
      </c>
      <c r="H425">
        <v>8.5500000000000007</v>
      </c>
      <c r="I425">
        <v>79</v>
      </c>
      <c r="J425" t="s">
        <v>580</v>
      </c>
      <c r="K425">
        <v>0</v>
      </c>
    </row>
    <row r="426" spans="1:11">
      <c r="A426">
        <v>303181</v>
      </c>
      <c r="B426" t="s">
        <v>1465</v>
      </c>
      <c r="D426" t="s">
        <v>2037</v>
      </c>
      <c r="E426">
        <v>38303</v>
      </c>
      <c r="F426" t="s">
        <v>578</v>
      </c>
      <c r="G426">
        <v>17</v>
      </c>
      <c r="H426">
        <v>8.9</v>
      </c>
      <c r="I426">
        <v>19</v>
      </c>
      <c r="J426" t="s">
        <v>580</v>
      </c>
      <c r="K426">
        <v>0</v>
      </c>
    </row>
    <row r="427" spans="1:11">
      <c r="A427">
        <v>303181</v>
      </c>
      <c r="B427" t="s">
        <v>1465</v>
      </c>
      <c r="D427" t="s">
        <v>2037</v>
      </c>
      <c r="E427">
        <v>37204</v>
      </c>
      <c r="F427" t="s">
        <v>578</v>
      </c>
      <c r="G427">
        <v>8</v>
      </c>
      <c r="H427">
        <v>8.9</v>
      </c>
      <c r="I427">
        <v>19</v>
      </c>
      <c r="J427" t="s">
        <v>580</v>
      </c>
      <c r="K427">
        <v>0</v>
      </c>
    </row>
    <row r="428" spans="1:11">
      <c r="A428">
        <v>303190</v>
      </c>
      <c r="B428" t="s">
        <v>1465</v>
      </c>
      <c r="D428" t="s">
        <v>215</v>
      </c>
      <c r="E428">
        <v>37104</v>
      </c>
      <c r="F428" t="s">
        <v>578</v>
      </c>
      <c r="G428">
        <v>2</v>
      </c>
      <c r="H428">
        <v>8.9</v>
      </c>
      <c r="I428">
        <v>26</v>
      </c>
      <c r="J428" t="s">
        <v>580</v>
      </c>
      <c r="K428">
        <v>0</v>
      </c>
    </row>
    <row r="429" spans="1:11">
      <c r="A429">
        <v>303190</v>
      </c>
      <c r="B429" t="s">
        <v>1465</v>
      </c>
      <c r="D429" t="s">
        <v>215</v>
      </c>
      <c r="E429">
        <v>38303</v>
      </c>
      <c r="F429" t="s">
        <v>578</v>
      </c>
      <c r="G429">
        <v>20</v>
      </c>
      <c r="H429">
        <v>8.9</v>
      </c>
      <c r="I429">
        <v>26</v>
      </c>
      <c r="J429" t="s">
        <v>580</v>
      </c>
      <c r="K429">
        <v>0</v>
      </c>
    </row>
    <row r="430" spans="1:11">
      <c r="A430">
        <v>303188</v>
      </c>
      <c r="B430" t="s">
        <v>1465</v>
      </c>
      <c r="D430" t="s">
        <v>2042</v>
      </c>
      <c r="E430">
        <v>38303</v>
      </c>
      <c r="F430" t="s">
        <v>578</v>
      </c>
      <c r="G430">
        <v>11</v>
      </c>
      <c r="H430">
        <v>8.9</v>
      </c>
      <c r="I430">
        <v>27</v>
      </c>
      <c r="J430" t="s">
        <v>580</v>
      </c>
      <c r="K430">
        <v>0</v>
      </c>
    </row>
    <row r="431" spans="1:11">
      <c r="A431">
        <v>303184</v>
      </c>
      <c r="B431" t="s">
        <v>1465</v>
      </c>
      <c r="D431" t="s">
        <v>2039</v>
      </c>
      <c r="E431">
        <v>37104</v>
      </c>
      <c r="F431" t="s">
        <v>578</v>
      </c>
      <c r="G431">
        <v>5</v>
      </c>
      <c r="H431">
        <v>8.9</v>
      </c>
      <c r="I431">
        <v>36</v>
      </c>
      <c r="J431" t="s">
        <v>580</v>
      </c>
      <c r="K431">
        <v>0</v>
      </c>
    </row>
    <row r="432" spans="1:11">
      <c r="A432">
        <v>303184</v>
      </c>
      <c r="B432" t="s">
        <v>1465</v>
      </c>
      <c r="D432" t="s">
        <v>2039</v>
      </c>
      <c r="E432">
        <v>38303</v>
      </c>
      <c r="F432" t="s">
        <v>578</v>
      </c>
      <c r="G432">
        <v>23</v>
      </c>
      <c r="H432">
        <v>8.9</v>
      </c>
      <c r="I432">
        <v>36</v>
      </c>
      <c r="J432" t="s">
        <v>580</v>
      </c>
      <c r="K432">
        <v>0</v>
      </c>
    </row>
    <row r="433" spans="1:12">
      <c r="A433">
        <v>303186</v>
      </c>
      <c r="B433" t="s">
        <v>1465</v>
      </c>
      <c r="D433" t="s">
        <v>2041</v>
      </c>
      <c r="E433">
        <v>38303</v>
      </c>
      <c r="F433" t="s">
        <v>578</v>
      </c>
      <c r="G433">
        <v>10</v>
      </c>
      <c r="H433">
        <v>8.5500000000000007</v>
      </c>
      <c r="I433">
        <v>29</v>
      </c>
      <c r="J433" t="s">
        <v>580</v>
      </c>
      <c r="K433">
        <v>0</v>
      </c>
    </row>
    <row r="434" spans="1:12">
      <c r="A434">
        <v>301781</v>
      </c>
      <c r="B434" t="s">
        <v>1465</v>
      </c>
      <c r="D434" t="s">
        <v>1207</v>
      </c>
      <c r="E434">
        <v>38203</v>
      </c>
      <c r="F434" t="s">
        <v>578</v>
      </c>
      <c r="G434">
        <v>12</v>
      </c>
      <c r="H434">
        <v>7.65</v>
      </c>
      <c r="I434">
        <v>24</v>
      </c>
      <c r="J434" t="s">
        <v>580</v>
      </c>
      <c r="K434">
        <v>0</v>
      </c>
    </row>
    <row r="435" spans="1:12">
      <c r="A435">
        <v>301683</v>
      </c>
      <c r="B435" t="s">
        <v>1465</v>
      </c>
      <c r="D435" t="s">
        <v>954</v>
      </c>
      <c r="E435">
        <v>38203</v>
      </c>
      <c r="F435" t="s">
        <v>578</v>
      </c>
      <c r="G435">
        <v>10</v>
      </c>
      <c r="H435">
        <v>7.65</v>
      </c>
      <c r="I435">
        <v>53</v>
      </c>
      <c r="J435" t="s">
        <v>580</v>
      </c>
      <c r="K435">
        <v>0</v>
      </c>
    </row>
    <row r="436" spans="1:12">
      <c r="A436">
        <v>301684</v>
      </c>
      <c r="B436" t="s">
        <v>1465</v>
      </c>
      <c r="D436" t="s">
        <v>955</v>
      </c>
      <c r="E436">
        <v>38203</v>
      </c>
      <c r="F436" t="s">
        <v>578</v>
      </c>
      <c r="G436">
        <v>11</v>
      </c>
      <c r="H436">
        <v>7.65</v>
      </c>
      <c r="I436">
        <v>31</v>
      </c>
      <c r="J436" t="s">
        <v>580</v>
      </c>
      <c r="K436">
        <v>0</v>
      </c>
    </row>
    <row r="437" spans="1:12">
      <c r="A437">
        <v>301680</v>
      </c>
      <c r="B437" t="s">
        <v>1465</v>
      </c>
      <c r="D437" t="s">
        <v>953</v>
      </c>
      <c r="E437">
        <v>38203</v>
      </c>
      <c r="F437" t="s">
        <v>578</v>
      </c>
      <c r="G437">
        <v>13</v>
      </c>
      <c r="H437">
        <v>7.65</v>
      </c>
      <c r="I437">
        <v>32</v>
      </c>
      <c r="J437" t="s">
        <v>580</v>
      </c>
      <c r="K437">
        <v>0</v>
      </c>
    </row>
    <row r="438" spans="1:12">
      <c r="A438">
        <v>301692</v>
      </c>
      <c r="B438" t="s">
        <v>1465</v>
      </c>
      <c r="D438" t="s">
        <v>1701</v>
      </c>
      <c r="E438">
        <v>19104</v>
      </c>
      <c r="F438" t="s">
        <v>578</v>
      </c>
      <c r="G438">
        <v>2</v>
      </c>
      <c r="H438">
        <v>25.08</v>
      </c>
      <c r="I438">
        <v>92</v>
      </c>
      <c r="J438" t="s">
        <v>445</v>
      </c>
      <c r="K438">
        <v>28</v>
      </c>
      <c r="L438" s="145">
        <v>42061</v>
      </c>
    </row>
    <row r="439" spans="1:12">
      <c r="A439">
        <v>300623</v>
      </c>
      <c r="B439" t="s">
        <v>1465</v>
      </c>
      <c r="D439" t="s">
        <v>1700</v>
      </c>
      <c r="E439">
        <v>19102</v>
      </c>
      <c r="F439" t="s">
        <v>578</v>
      </c>
      <c r="G439">
        <v>1</v>
      </c>
      <c r="H439">
        <v>9.8000000000000007</v>
      </c>
      <c r="I439">
        <v>139</v>
      </c>
      <c r="J439" t="s">
        <v>445</v>
      </c>
      <c r="K439">
        <v>0</v>
      </c>
    </row>
    <row r="440" spans="1:12">
      <c r="A440">
        <v>300623</v>
      </c>
      <c r="B440" t="s">
        <v>1465</v>
      </c>
      <c r="D440" t="s">
        <v>1700</v>
      </c>
      <c r="E440">
        <v>19104</v>
      </c>
      <c r="F440" t="s">
        <v>578</v>
      </c>
      <c r="G440">
        <v>1</v>
      </c>
      <c r="H440">
        <v>9.8000000000000007</v>
      </c>
      <c r="I440">
        <v>139</v>
      </c>
      <c r="J440" t="s">
        <v>445</v>
      </c>
      <c r="K440">
        <v>0</v>
      </c>
    </row>
    <row r="441" spans="1:12">
      <c r="A441">
        <v>300626</v>
      </c>
      <c r="B441" t="s">
        <v>1465</v>
      </c>
      <c r="D441" t="s">
        <v>1011</v>
      </c>
      <c r="E441">
        <v>19103</v>
      </c>
      <c r="F441" t="s">
        <v>578</v>
      </c>
      <c r="G441">
        <v>2</v>
      </c>
      <c r="H441">
        <v>8.4499999999999993</v>
      </c>
      <c r="I441">
        <v>29</v>
      </c>
      <c r="J441" t="s">
        <v>580</v>
      </c>
      <c r="K441">
        <v>36</v>
      </c>
      <c r="L441" s="145">
        <v>42068</v>
      </c>
    </row>
    <row r="442" spans="1:12">
      <c r="A442">
        <v>301768</v>
      </c>
      <c r="B442" t="s">
        <v>1465</v>
      </c>
      <c r="D442" t="s">
        <v>1511</v>
      </c>
      <c r="E442">
        <v>19054</v>
      </c>
      <c r="F442" t="s">
        <v>578</v>
      </c>
      <c r="G442">
        <v>1</v>
      </c>
      <c r="H442">
        <v>39</v>
      </c>
      <c r="I442">
        <v>27</v>
      </c>
      <c r="J442" t="s">
        <v>445</v>
      </c>
      <c r="K442">
        <v>0</v>
      </c>
    </row>
    <row r="443" spans="1:12">
      <c r="A443">
        <v>303156</v>
      </c>
      <c r="B443" t="s">
        <v>1465</v>
      </c>
      <c r="D443" t="s">
        <v>612</v>
      </c>
      <c r="E443">
        <v>19054</v>
      </c>
      <c r="F443" t="s">
        <v>578</v>
      </c>
      <c r="G443">
        <v>3</v>
      </c>
      <c r="H443">
        <v>29.25</v>
      </c>
      <c r="I443">
        <v>40</v>
      </c>
      <c r="J443" t="s">
        <v>1512</v>
      </c>
      <c r="K443">
        <v>0</v>
      </c>
    </row>
    <row r="444" spans="1:12">
      <c r="A444">
        <v>303157</v>
      </c>
      <c r="B444" t="s">
        <v>1465</v>
      </c>
      <c r="D444" t="s">
        <v>613</v>
      </c>
      <c r="E444">
        <v>19054</v>
      </c>
      <c r="F444" t="s">
        <v>578</v>
      </c>
      <c r="G444">
        <v>2</v>
      </c>
      <c r="H444">
        <v>14.95</v>
      </c>
      <c r="I444">
        <v>35</v>
      </c>
      <c r="J444" t="s">
        <v>1512</v>
      </c>
      <c r="K444">
        <v>80</v>
      </c>
      <c r="L444" s="145">
        <v>42059</v>
      </c>
    </row>
    <row r="445" spans="1:12">
      <c r="A445">
        <v>303158</v>
      </c>
      <c r="B445" t="s">
        <v>1465</v>
      </c>
      <c r="D445" t="s">
        <v>614</v>
      </c>
      <c r="E445">
        <v>19103</v>
      </c>
      <c r="F445" t="s">
        <v>578</v>
      </c>
      <c r="G445">
        <v>1</v>
      </c>
      <c r="H445">
        <v>7.1</v>
      </c>
      <c r="I445">
        <v>90</v>
      </c>
      <c r="J445" t="s">
        <v>1512</v>
      </c>
      <c r="K445">
        <v>0</v>
      </c>
    </row>
    <row r="446" spans="1:12">
      <c r="A446">
        <v>303158</v>
      </c>
      <c r="B446" t="s">
        <v>1465</v>
      </c>
      <c r="D446" t="s">
        <v>614</v>
      </c>
      <c r="E446">
        <v>37000</v>
      </c>
      <c r="F446" t="s">
        <v>578</v>
      </c>
      <c r="G446">
        <v>18</v>
      </c>
      <c r="H446">
        <v>7.1</v>
      </c>
      <c r="I446">
        <v>90</v>
      </c>
      <c r="J446" t="s">
        <v>1512</v>
      </c>
      <c r="K446">
        <v>0</v>
      </c>
    </row>
    <row r="447" spans="1:12">
      <c r="A447">
        <v>303159</v>
      </c>
      <c r="B447" t="s">
        <v>1465</v>
      </c>
      <c r="D447" t="s">
        <v>949</v>
      </c>
      <c r="E447">
        <v>19103</v>
      </c>
      <c r="F447" t="s">
        <v>578</v>
      </c>
      <c r="G447">
        <v>3</v>
      </c>
      <c r="H447">
        <v>13</v>
      </c>
      <c r="I447">
        <v>37</v>
      </c>
      <c r="J447" t="s">
        <v>1513</v>
      </c>
      <c r="K447">
        <v>0</v>
      </c>
    </row>
    <row r="448" spans="1:12">
      <c r="A448">
        <v>300637</v>
      </c>
      <c r="B448" t="s">
        <v>1791</v>
      </c>
      <c r="C448" s="145">
        <v>41887</v>
      </c>
      <c r="D448" t="s">
        <v>1601</v>
      </c>
      <c r="E448">
        <v>37000</v>
      </c>
      <c r="F448" t="s">
        <v>578</v>
      </c>
      <c r="G448">
        <v>13</v>
      </c>
      <c r="H448">
        <v>9.1</v>
      </c>
      <c r="I448">
        <v>4</v>
      </c>
      <c r="J448" t="s">
        <v>580</v>
      </c>
      <c r="K448">
        <v>0</v>
      </c>
    </row>
    <row r="449" spans="1:12">
      <c r="A449">
        <v>303162</v>
      </c>
      <c r="B449" t="s">
        <v>1791</v>
      </c>
      <c r="C449" s="145">
        <v>41948</v>
      </c>
      <c r="D449" t="s">
        <v>1691</v>
      </c>
      <c r="E449">
        <v>37000</v>
      </c>
      <c r="F449" t="s">
        <v>578</v>
      </c>
      <c r="G449">
        <v>14</v>
      </c>
      <c r="H449">
        <v>32</v>
      </c>
      <c r="I449">
        <v>73</v>
      </c>
      <c r="J449" t="s">
        <v>1512</v>
      </c>
      <c r="K449">
        <v>0</v>
      </c>
    </row>
    <row r="450" spans="1:12">
      <c r="A450">
        <v>301239</v>
      </c>
      <c r="B450" t="s">
        <v>1465</v>
      </c>
      <c r="D450" t="s">
        <v>1871</v>
      </c>
      <c r="E450">
        <v>38406</v>
      </c>
      <c r="F450" t="s">
        <v>578</v>
      </c>
      <c r="G450">
        <v>1</v>
      </c>
      <c r="H450">
        <v>4.95</v>
      </c>
      <c r="I450">
        <v>52</v>
      </c>
      <c r="J450" t="s">
        <v>580</v>
      </c>
      <c r="K450">
        <v>0</v>
      </c>
    </row>
    <row r="451" spans="1:12">
      <c r="A451">
        <v>301240</v>
      </c>
      <c r="B451" t="s">
        <v>1465</v>
      </c>
      <c r="D451" t="s">
        <v>1872</v>
      </c>
      <c r="E451">
        <v>38406</v>
      </c>
      <c r="F451" t="s">
        <v>578</v>
      </c>
      <c r="G451">
        <v>5</v>
      </c>
      <c r="H451">
        <v>4.95</v>
      </c>
      <c r="I451">
        <v>2</v>
      </c>
      <c r="J451" t="s">
        <v>580</v>
      </c>
      <c r="K451">
        <v>18</v>
      </c>
      <c r="L451" s="145">
        <v>42061</v>
      </c>
    </row>
    <row r="452" spans="1:12">
      <c r="A452">
        <v>301241</v>
      </c>
      <c r="B452" t="s">
        <v>1465</v>
      </c>
      <c r="D452" t="s">
        <v>1873</v>
      </c>
      <c r="E452">
        <v>38406</v>
      </c>
      <c r="F452" t="s">
        <v>578</v>
      </c>
      <c r="G452">
        <v>4</v>
      </c>
      <c r="H452">
        <v>4.95</v>
      </c>
      <c r="I452">
        <v>16</v>
      </c>
      <c r="J452" t="s">
        <v>580</v>
      </c>
      <c r="K452">
        <v>0</v>
      </c>
    </row>
    <row r="453" spans="1:12">
      <c r="A453">
        <v>301242</v>
      </c>
      <c r="B453" t="s">
        <v>1465</v>
      </c>
      <c r="D453" t="s">
        <v>1874</v>
      </c>
      <c r="E453">
        <v>38406</v>
      </c>
      <c r="F453" t="s">
        <v>578</v>
      </c>
      <c r="G453">
        <v>3</v>
      </c>
      <c r="H453">
        <v>4.95</v>
      </c>
      <c r="I453">
        <v>20</v>
      </c>
      <c r="J453" t="s">
        <v>580</v>
      </c>
      <c r="K453">
        <v>9</v>
      </c>
      <c r="L453" s="145">
        <v>42061</v>
      </c>
    </row>
    <row r="454" spans="1:12">
      <c r="A454">
        <v>301243</v>
      </c>
      <c r="B454" t="s">
        <v>1465</v>
      </c>
      <c r="D454" t="s">
        <v>1875</v>
      </c>
      <c r="E454">
        <v>38406</v>
      </c>
      <c r="F454" t="s">
        <v>578</v>
      </c>
      <c r="G454">
        <v>6</v>
      </c>
      <c r="H454">
        <v>4.95</v>
      </c>
      <c r="I454">
        <v>29</v>
      </c>
      <c r="J454" t="s">
        <v>580</v>
      </c>
      <c r="K454">
        <v>0</v>
      </c>
    </row>
    <row r="455" spans="1:12">
      <c r="A455">
        <v>301434</v>
      </c>
      <c r="B455" t="s">
        <v>1465</v>
      </c>
      <c r="D455" t="s">
        <v>1877</v>
      </c>
      <c r="E455">
        <v>38506</v>
      </c>
      <c r="F455" t="s">
        <v>578</v>
      </c>
      <c r="G455">
        <v>4</v>
      </c>
      <c r="H455">
        <v>9.86</v>
      </c>
      <c r="I455">
        <v>5</v>
      </c>
      <c r="J455" t="s">
        <v>580</v>
      </c>
      <c r="K455">
        <v>20</v>
      </c>
      <c r="L455" s="145">
        <v>42047</v>
      </c>
    </row>
    <row r="456" spans="1:12">
      <c r="A456">
        <v>301180</v>
      </c>
      <c r="B456" t="s">
        <v>1465</v>
      </c>
      <c r="D456" t="s">
        <v>1514</v>
      </c>
      <c r="E456">
        <v>38505</v>
      </c>
      <c r="F456" t="s">
        <v>578</v>
      </c>
      <c r="G456">
        <v>1</v>
      </c>
      <c r="H456">
        <v>9.35</v>
      </c>
      <c r="I456">
        <v>5</v>
      </c>
      <c r="J456" t="s">
        <v>580</v>
      </c>
      <c r="K456">
        <v>12</v>
      </c>
      <c r="L456" s="145">
        <v>42061</v>
      </c>
    </row>
    <row r="457" spans="1:12">
      <c r="A457">
        <v>301181</v>
      </c>
      <c r="B457" t="s">
        <v>1465</v>
      </c>
      <c r="D457" t="s">
        <v>1515</v>
      </c>
      <c r="E457">
        <v>38505</v>
      </c>
      <c r="F457" t="s">
        <v>578</v>
      </c>
      <c r="G457">
        <v>2</v>
      </c>
      <c r="H457">
        <v>9.35</v>
      </c>
      <c r="I457">
        <v>27</v>
      </c>
      <c r="J457" t="s">
        <v>580</v>
      </c>
      <c r="K457">
        <v>0</v>
      </c>
    </row>
    <row r="458" spans="1:12">
      <c r="A458">
        <v>301185</v>
      </c>
      <c r="B458" t="s">
        <v>1791</v>
      </c>
      <c r="C458" s="145">
        <v>41703</v>
      </c>
      <c r="D458" t="s">
        <v>1868</v>
      </c>
      <c r="E458">
        <v>38506</v>
      </c>
      <c r="F458" t="s">
        <v>578</v>
      </c>
      <c r="G458">
        <v>1</v>
      </c>
      <c r="H458">
        <v>10.02</v>
      </c>
      <c r="I458">
        <v>7</v>
      </c>
      <c r="J458" t="s">
        <v>580</v>
      </c>
      <c r="K458">
        <v>0</v>
      </c>
    </row>
    <row r="459" spans="1:12">
      <c r="A459">
        <v>301179</v>
      </c>
      <c r="B459" t="s">
        <v>1465</v>
      </c>
      <c r="D459" t="s">
        <v>1516</v>
      </c>
      <c r="E459">
        <v>38406</v>
      </c>
      <c r="F459" t="s">
        <v>578</v>
      </c>
      <c r="G459">
        <v>2</v>
      </c>
      <c r="H459">
        <v>4.59</v>
      </c>
      <c r="I459">
        <v>29</v>
      </c>
      <c r="J459" t="s">
        <v>580</v>
      </c>
      <c r="K459">
        <v>0</v>
      </c>
    </row>
    <row r="460" spans="1:12">
      <c r="A460">
        <v>301182</v>
      </c>
      <c r="B460" t="s">
        <v>1465</v>
      </c>
      <c r="D460" t="s">
        <v>1517</v>
      </c>
      <c r="E460">
        <v>38505</v>
      </c>
      <c r="F460" t="s">
        <v>578</v>
      </c>
      <c r="G460">
        <v>3</v>
      </c>
      <c r="H460">
        <v>9.35</v>
      </c>
      <c r="I460">
        <v>7</v>
      </c>
      <c r="J460" t="s">
        <v>580</v>
      </c>
      <c r="K460">
        <v>16</v>
      </c>
      <c r="L460" s="145">
        <v>42061</v>
      </c>
    </row>
    <row r="461" spans="1:12">
      <c r="A461">
        <v>301183</v>
      </c>
      <c r="B461" t="s">
        <v>1465</v>
      </c>
      <c r="D461" t="s">
        <v>1518</v>
      </c>
      <c r="E461">
        <v>38505</v>
      </c>
      <c r="F461" t="s">
        <v>578</v>
      </c>
      <c r="G461">
        <v>4</v>
      </c>
      <c r="H461">
        <v>9.35</v>
      </c>
      <c r="I461">
        <v>47</v>
      </c>
      <c r="J461" t="s">
        <v>580</v>
      </c>
      <c r="K461">
        <v>0</v>
      </c>
    </row>
    <row r="462" spans="1:12">
      <c r="A462">
        <v>301435</v>
      </c>
      <c r="B462" t="s">
        <v>1465</v>
      </c>
      <c r="D462" t="s">
        <v>420</v>
      </c>
      <c r="E462">
        <v>38506</v>
      </c>
      <c r="F462" t="s">
        <v>578</v>
      </c>
      <c r="G462">
        <v>3</v>
      </c>
      <c r="H462">
        <v>9.86</v>
      </c>
      <c r="I462">
        <v>42</v>
      </c>
      <c r="J462" t="s">
        <v>580</v>
      </c>
      <c r="K462">
        <v>0</v>
      </c>
    </row>
    <row r="463" spans="1:12">
      <c r="A463">
        <v>301187</v>
      </c>
      <c r="B463" t="s">
        <v>1465</v>
      </c>
      <c r="D463" t="s">
        <v>419</v>
      </c>
      <c r="E463">
        <v>38405</v>
      </c>
      <c r="F463" t="s">
        <v>578</v>
      </c>
      <c r="G463">
        <v>3</v>
      </c>
      <c r="H463">
        <v>7.61</v>
      </c>
      <c r="I463">
        <v>82</v>
      </c>
      <c r="J463" t="s">
        <v>580</v>
      </c>
      <c r="K463">
        <v>28</v>
      </c>
      <c r="L463" s="145">
        <v>42061</v>
      </c>
    </row>
    <row r="464" spans="1:12">
      <c r="A464">
        <v>301437</v>
      </c>
      <c r="B464" t="s">
        <v>1465</v>
      </c>
      <c r="D464" t="s">
        <v>421</v>
      </c>
      <c r="E464">
        <v>38405</v>
      </c>
      <c r="F464" t="s">
        <v>578</v>
      </c>
      <c r="G464">
        <v>2</v>
      </c>
      <c r="H464">
        <v>7.61</v>
      </c>
      <c r="I464">
        <v>31</v>
      </c>
      <c r="J464" t="s">
        <v>580</v>
      </c>
      <c r="K464">
        <v>4</v>
      </c>
      <c r="L464" s="145">
        <v>42061</v>
      </c>
    </row>
    <row r="465" spans="1:12">
      <c r="A465">
        <v>301438</v>
      </c>
      <c r="B465" t="s">
        <v>1465</v>
      </c>
      <c r="D465" t="s">
        <v>1878</v>
      </c>
      <c r="E465">
        <v>38405</v>
      </c>
      <c r="F465" t="s">
        <v>578</v>
      </c>
      <c r="G465">
        <v>6</v>
      </c>
      <c r="H465">
        <v>7.61</v>
      </c>
      <c r="I465">
        <v>21</v>
      </c>
      <c r="J465" t="s">
        <v>580</v>
      </c>
      <c r="K465">
        <v>0</v>
      </c>
    </row>
    <row r="466" spans="1:12">
      <c r="A466">
        <v>301439</v>
      </c>
      <c r="B466" t="s">
        <v>1465</v>
      </c>
      <c r="D466" t="s">
        <v>422</v>
      </c>
      <c r="E466">
        <v>38405</v>
      </c>
      <c r="F466" t="s">
        <v>578</v>
      </c>
      <c r="G466">
        <v>1</v>
      </c>
      <c r="H466">
        <v>7.61</v>
      </c>
      <c r="I466">
        <v>77</v>
      </c>
      <c r="J466" t="s">
        <v>580</v>
      </c>
      <c r="K466">
        <v>0</v>
      </c>
    </row>
    <row r="467" spans="1:12">
      <c r="A467">
        <v>301440</v>
      </c>
      <c r="B467" t="s">
        <v>1465</v>
      </c>
      <c r="D467" t="s">
        <v>1879</v>
      </c>
      <c r="E467">
        <v>38405</v>
      </c>
      <c r="F467" t="s">
        <v>578</v>
      </c>
      <c r="G467">
        <v>5</v>
      </c>
      <c r="H467">
        <v>7.61</v>
      </c>
      <c r="I467">
        <v>21</v>
      </c>
      <c r="J467" t="s">
        <v>580</v>
      </c>
      <c r="K467">
        <v>0</v>
      </c>
    </row>
    <row r="468" spans="1:12">
      <c r="A468">
        <v>301186</v>
      </c>
      <c r="B468" t="s">
        <v>1465</v>
      </c>
      <c r="D468" t="s">
        <v>418</v>
      </c>
      <c r="E468">
        <v>38405</v>
      </c>
      <c r="F468" t="s">
        <v>578</v>
      </c>
      <c r="G468">
        <v>4</v>
      </c>
      <c r="H468">
        <v>7.61</v>
      </c>
      <c r="I468">
        <v>34</v>
      </c>
      <c r="J468" t="s">
        <v>580</v>
      </c>
      <c r="K468">
        <v>16</v>
      </c>
      <c r="L468" s="145">
        <v>42061</v>
      </c>
    </row>
    <row r="469" spans="1:12">
      <c r="A469">
        <v>301448</v>
      </c>
      <c r="B469" t="s">
        <v>1465</v>
      </c>
      <c r="D469" t="s">
        <v>1400</v>
      </c>
      <c r="E469">
        <v>37103</v>
      </c>
      <c r="F469" t="s">
        <v>578</v>
      </c>
      <c r="G469">
        <v>2</v>
      </c>
      <c r="H469">
        <v>44.48</v>
      </c>
      <c r="I469">
        <v>35</v>
      </c>
      <c r="J469" t="s">
        <v>580</v>
      </c>
      <c r="K469">
        <v>0</v>
      </c>
    </row>
    <row r="470" spans="1:12">
      <c r="A470">
        <v>301447</v>
      </c>
      <c r="B470" t="s">
        <v>1465</v>
      </c>
      <c r="D470" t="s">
        <v>1401</v>
      </c>
      <c r="E470">
        <v>37103</v>
      </c>
      <c r="F470" t="s">
        <v>578</v>
      </c>
      <c r="G470">
        <v>3</v>
      </c>
      <c r="H470">
        <v>44.48</v>
      </c>
      <c r="I470">
        <v>37</v>
      </c>
      <c r="J470" t="s">
        <v>580</v>
      </c>
      <c r="K470">
        <v>0</v>
      </c>
    </row>
    <row r="471" spans="1:12">
      <c r="A471">
        <v>301446</v>
      </c>
      <c r="B471" t="s">
        <v>1465</v>
      </c>
      <c r="D471" t="s">
        <v>1402</v>
      </c>
      <c r="E471">
        <v>37103</v>
      </c>
      <c r="F471" t="s">
        <v>578</v>
      </c>
      <c r="G471">
        <v>1</v>
      </c>
      <c r="H471">
        <v>44.48</v>
      </c>
      <c r="I471">
        <v>17</v>
      </c>
      <c r="J471" t="s">
        <v>580</v>
      </c>
      <c r="K471">
        <v>0</v>
      </c>
    </row>
    <row r="472" spans="1:12">
      <c r="A472">
        <v>391198</v>
      </c>
      <c r="B472" t="s">
        <v>1465</v>
      </c>
      <c r="D472" t="s">
        <v>988</v>
      </c>
      <c r="E472">
        <v>38203</v>
      </c>
      <c r="F472" t="s">
        <v>578</v>
      </c>
      <c r="G472">
        <v>4</v>
      </c>
      <c r="H472">
        <v>3.4</v>
      </c>
      <c r="I472">
        <v>55</v>
      </c>
      <c r="J472" t="s">
        <v>580</v>
      </c>
      <c r="K472">
        <v>0</v>
      </c>
    </row>
    <row r="473" spans="1:12">
      <c r="A473">
        <v>391202</v>
      </c>
      <c r="B473" t="s">
        <v>1465</v>
      </c>
      <c r="D473" t="s">
        <v>989</v>
      </c>
      <c r="E473">
        <v>38203</v>
      </c>
      <c r="F473" t="s">
        <v>578</v>
      </c>
      <c r="G473">
        <v>6</v>
      </c>
      <c r="H473">
        <v>3.7</v>
      </c>
      <c r="I473">
        <v>41</v>
      </c>
      <c r="J473" t="s">
        <v>580</v>
      </c>
      <c r="K473">
        <v>0</v>
      </c>
    </row>
    <row r="474" spans="1:12">
      <c r="A474">
        <v>391237</v>
      </c>
      <c r="B474" t="s">
        <v>1465</v>
      </c>
      <c r="D474" t="s">
        <v>990</v>
      </c>
      <c r="E474">
        <v>38203</v>
      </c>
      <c r="F474" t="s">
        <v>578</v>
      </c>
      <c r="G474">
        <v>5</v>
      </c>
      <c r="H474">
        <v>3.4</v>
      </c>
      <c r="I474">
        <v>46</v>
      </c>
      <c r="J474" t="s">
        <v>580</v>
      </c>
      <c r="K474">
        <v>0</v>
      </c>
    </row>
    <row r="475" spans="1:12">
      <c r="A475">
        <v>391242</v>
      </c>
      <c r="B475" t="s">
        <v>1465</v>
      </c>
      <c r="D475" t="s">
        <v>991</v>
      </c>
      <c r="E475">
        <v>38203</v>
      </c>
      <c r="F475" t="s">
        <v>578</v>
      </c>
      <c r="G475">
        <v>7</v>
      </c>
      <c r="H475">
        <v>3.6</v>
      </c>
      <c r="I475">
        <v>5</v>
      </c>
      <c r="J475" t="s">
        <v>580</v>
      </c>
      <c r="K475">
        <v>70</v>
      </c>
      <c r="L475" s="145">
        <v>42061</v>
      </c>
    </row>
    <row r="476" spans="1:12">
      <c r="A476">
        <v>301295</v>
      </c>
      <c r="B476" t="s">
        <v>1720</v>
      </c>
      <c r="D476" t="s">
        <v>993</v>
      </c>
      <c r="E476">
        <v>38203</v>
      </c>
      <c r="F476" t="s">
        <v>578</v>
      </c>
      <c r="G476">
        <v>1</v>
      </c>
      <c r="H476">
        <v>4.95</v>
      </c>
      <c r="I476">
        <v>24</v>
      </c>
      <c r="J476" t="s">
        <v>1519</v>
      </c>
      <c r="K476">
        <v>0</v>
      </c>
    </row>
    <row r="477" spans="1:12">
      <c r="A477">
        <v>301298</v>
      </c>
      <c r="B477" t="s">
        <v>1465</v>
      </c>
      <c r="D477" t="s">
        <v>994</v>
      </c>
      <c r="E477">
        <v>38203</v>
      </c>
      <c r="F477" t="s">
        <v>578</v>
      </c>
      <c r="G477">
        <v>2</v>
      </c>
      <c r="H477">
        <v>6.85</v>
      </c>
      <c r="I477">
        <v>22</v>
      </c>
      <c r="J477" t="s">
        <v>1519</v>
      </c>
      <c r="K477">
        <v>0</v>
      </c>
    </row>
    <row r="478" spans="1:12">
      <c r="A478">
        <v>301717</v>
      </c>
      <c r="B478" t="s">
        <v>1465</v>
      </c>
      <c r="D478" t="s">
        <v>995</v>
      </c>
      <c r="E478">
        <v>38203</v>
      </c>
      <c r="F478" t="s">
        <v>578</v>
      </c>
      <c r="G478">
        <v>3</v>
      </c>
      <c r="H478">
        <v>8.0500000000000007</v>
      </c>
      <c r="I478">
        <v>33</v>
      </c>
      <c r="J478" t="s">
        <v>1519</v>
      </c>
      <c r="K478">
        <v>0</v>
      </c>
    </row>
    <row r="479" spans="1:12">
      <c r="A479">
        <v>343319</v>
      </c>
      <c r="B479" t="s">
        <v>1465</v>
      </c>
      <c r="D479" t="s">
        <v>1091</v>
      </c>
      <c r="E479">
        <v>33202</v>
      </c>
      <c r="F479" t="s">
        <v>578</v>
      </c>
      <c r="G479">
        <v>3</v>
      </c>
      <c r="H479">
        <v>44.2</v>
      </c>
      <c r="I479">
        <v>60</v>
      </c>
      <c r="J479" t="s">
        <v>1520</v>
      </c>
      <c r="K479">
        <v>30</v>
      </c>
      <c r="L479" s="145">
        <v>42066</v>
      </c>
    </row>
    <row r="480" spans="1:12">
      <c r="A480">
        <v>344002</v>
      </c>
      <c r="B480" t="s">
        <v>1465</v>
      </c>
      <c r="D480" t="s">
        <v>1521</v>
      </c>
      <c r="E480">
        <v>33202</v>
      </c>
      <c r="F480" t="s">
        <v>578</v>
      </c>
      <c r="G480">
        <v>2</v>
      </c>
      <c r="H480">
        <v>72.099999999999994</v>
      </c>
      <c r="I480">
        <v>35</v>
      </c>
      <c r="J480" t="s">
        <v>1520</v>
      </c>
      <c r="K480">
        <v>0</v>
      </c>
    </row>
    <row r="481" spans="1:12">
      <c r="A481">
        <v>343840</v>
      </c>
      <c r="B481" t="s">
        <v>1465</v>
      </c>
      <c r="D481" t="s">
        <v>1699</v>
      </c>
      <c r="E481">
        <v>32803</v>
      </c>
      <c r="F481" t="s">
        <v>578</v>
      </c>
      <c r="G481">
        <v>1</v>
      </c>
      <c r="H481">
        <v>49.9</v>
      </c>
      <c r="I481">
        <v>26</v>
      </c>
      <c r="J481" t="s">
        <v>1520</v>
      </c>
      <c r="K481">
        <v>0</v>
      </c>
    </row>
    <row r="482" spans="1:12">
      <c r="A482">
        <v>344057</v>
      </c>
      <c r="B482" t="s">
        <v>1109</v>
      </c>
      <c r="D482" t="s">
        <v>1522</v>
      </c>
      <c r="E482">
        <v>18000</v>
      </c>
      <c r="F482" t="s">
        <v>578</v>
      </c>
      <c r="G482">
        <v>2</v>
      </c>
      <c r="H482">
        <v>79</v>
      </c>
      <c r="I482">
        <v>20</v>
      </c>
      <c r="J482" t="s">
        <v>1520</v>
      </c>
      <c r="K482">
        <v>0</v>
      </c>
    </row>
    <row r="483" spans="1:12">
      <c r="A483">
        <v>346001</v>
      </c>
      <c r="B483" t="s">
        <v>1109</v>
      </c>
      <c r="D483" t="s">
        <v>1674</v>
      </c>
      <c r="E483">
        <v>18000</v>
      </c>
      <c r="F483" t="s">
        <v>578</v>
      </c>
      <c r="G483">
        <v>1</v>
      </c>
      <c r="H483">
        <v>89.9</v>
      </c>
      <c r="I483">
        <v>1</v>
      </c>
      <c r="J483" t="s">
        <v>1520</v>
      </c>
      <c r="K483">
        <v>0</v>
      </c>
    </row>
    <row r="484" spans="1:12">
      <c r="A484">
        <v>342551</v>
      </c>
      <c r="B484" t="s">
        <v>1791</v>
      </c>
      <c r="C484" s="145">
        <v>41825</v>
      </c>
      <c r="D484" t="s">
        <v>1536</v>
      </c>
      <c r="E484">
        <v>31000</v>
      </c>
      <c r="F484" t="s">
        <v>578</v>
      </c>
      <c r="G484">
        <v>8</v>
      </c>
      <c r="H484">
        <v>49.9</v>
      </c>
      <c r="I484">
        <v>2</v>
      </c>
      <c r="J484" t="s">
        <v>1520</v>
      </c>
      <c r="K484">
        <v>0</v>
      </c>
    </row>
    <row r="485" spans="1:12">
      <c r="A485">
        <v>342772</v>
      </c>
      <c r="B485" t="s">
        <v>1465</v>
      </c>
      <c r="D485" t="s">
        <v>1681</v>
      </c>
      <c r="E485">
        <v>32702</v>
      </c>
      <c r="F485" t="s">
        <v>578</v>
      </c>
      <c r="G485">
        <v>3</v>
      </c>
      <c r="H485">
        <v>35.9</v>
      </c>
      <c r="I485">
        <v>31</v>
      </c>
      <c r="J485" t="s">
        <v>1520</v>
      </c>
      <c r="K485">
        <v>0</v>
      </c>
    </row>
    <row r="486" spans="1:12">
      <c r="A486">
        <v>342773</v>
      </c>
      <c r="B486" t="s">
        <v>1465</v>
      </c>
      <c r="D486" t="s">
        <v>1682</v>
      </c>
      <c r="E486">
        <v>32702</v>
      </c>
      <c r="F486" t="s">
        <v>578</v>
      </c>
      <c r="G486">
        <v>2</v>
      </c>
      <c r="H486">
        <v>39.9</v>
      </c>
      <c r="I486">
        <v>22</v>
      </c>
      <c r="J486" t="s">
        <v>1520</v>
      </c>
      <c r="K486">
        <v>0</v>
      </c>
    </row>
    <row r="487" spans="1:12">
      <c r="A487">
        <v>342774</v>
      </c>
      <c r="B487" t="s">
        <v>1465</v>
      </c>
      <c r="D487" t="s">
        <v>1683</v>
      </c>
      <c r="E487">
        <v>32702</v>
      </c>
      <c r="F487" t="s">
        <v>578</v>
      </c>
      <c r="G487">
        <v>1</v>
      </c>
      <c r="H487">
        <v>45.9</v>
      </c>
      <c r="I487">
        <v>27</v>
      </c>
      <c r="J487" t="s">
        <v>1520</v>
      </c>
      <c r="K487">
        <v>24</v>
      </c>
      <c r="L487" s="145">
        <v>42076</v>
      </c>
    </row>
    <row r="488" spans="1:12">
      <c r="A488">
        <v>342775</v>
      </c>
      <c r="B488" t="s">
        <v>1465</v>
      </c>
      <c r="D488" t="s">
        <v>1684</v>
      </c>
      <c r="E488">
        <v>33102</v>
      </c>
      <c r="F488" t="s">
        <v>578</v>
      </c>
      <c r="G488">
        <v>2</v>
      </c>
      <c r="H488">
        <v>55.9</v>
      </c>
      <c r="I488">
        <v>13</v>
      </c>
      <c r="J488" t="s">
        <v>1520</v>
      </c>
      <c r="K488">
        <v>24</v>
      </c>
      <c r="L488" s="145">
        <v>42076</v>
      </c>
    </row>
    <row r="489" spans="1:12">
      <c r="A489">
        <v>342776</v>
      </c>
      <c r="B489" t="s">
        <v>1465</v>
      </c>
      <c r="D489" t="s">
        <v>1685</v>
      </c>
      <c r="E489">
        <v>32603</v>
      </c>
      <c r="F489" t="s">
        <v>578</v>
      </c>
      <c r="G489">
        <v>7</v>
      </c>
      <c r="H489">
        <v>69.900000000000006</v>
      </c>
      <c r="I489">
        <v>21</v>
      </c>
      <c r="J489" t="s">
        <v>1520</v>
      </c>
      <c r="K489">
        <v>0</v>
      </c>
    </row>
    <row r="490" spans="1:12">
      <c r="A490">
        <v>342777</v>
      </c>
      <c r="B490" t="s">
        <v>1465</v>
      </c>
      <c r="D490" t="s">
        <v>1686</v>
      </c>
      <c r="E490">
        <v>33000</v>
      </c>
      <c r="F490" t="s">
        <v>578</v>
      </c>
      <c r="G490">
        <v>36</v>
      </c>
      <c r="H490">
        <v>49.9</v>
      </c>
      <c r="I490">
        <v>39</v>
      </c>
      <c r="J490" t="s">
        <v>1520</v>
      </c>
      <c r="K490">
        <v>0</v>
      </c>
    </row>
    <row r="491" spans="1:12">
      <c r="A491">
        <v>342777</v>
      </c>
      <c r="B491" t="s">
        <v>1465</v>
      </c>
      <c r="D491" t="s">
        <v>1686</v>
      </c>
      <c r="E491">
        <v>33102</v>
      </c>
      <c r="F491" t="s">
        <v>578</v>
      </c>
      <c r="G491">
        <v>1</v>
      </c>
      <c r="H491">
        <v>49.9</v>
      </c>
      <c r="I491">
        <v>39</v>
      </c>
      <c r="J491" t="s">
        <v>1520</v>
      </c>
      <c r="K491">
        <v>0</v>
      </c>
    </row>
    <row r="492" spans="1:12">
      <c r="A492">
        <v>342779</v>
      </c>
      <c r="B492" t="s">
        <v>1465</v>
      </c>
      <c r="D492" t="s">
        <v>1523</v>
      </c>
      <c r="E492">
        <v>32802</v>
      </c>
      <c r="F492" t="s">
        <v>578</v>
      </c>
      <c r="G492">
        <v>10</v>
      </c>
      <c r="H492">
        <v>12.9</v>
      </c>
      <c r="I492">
        <v>10</v>
      </c>
      <c r="J492" t="s">
        <v>1520</v>
      </c>
      <c r="K492">
        <v>0</v>
      </c>
    </row>
    <row r="493" spans="1:12">
      <c r="A493">
        <v>342780</v>
      </c>
      <c r="B493" t="s">
        <v>1465</v>
      </c>
      <c r="D493" t="s">
        <v>1524</v>
      </c>
      <c r="E493">
        <v>32802</v>
      </c>
      <c r="F493" t="s">
        <v>578</v>
      </c>
      <c r="G493">
        <v>6</v>
      </c>
      <c r="H493">
        <v>16.899999999999999</v>
      </c>
      <c r="I493">
        <v>9</v>
      </c>
      <c r="J493" t="s">
        <v>1520</v>
      </c>
      <c r="K493">
        <v>0</v>
      </c>
    </row>
    <row r="494" spans="1:12">
      <c r="A494">
        <v>342781</v>
      </c>
      <c r="B494" t="s">
        <v>1465</v>
      </c>
      <c r="D494" t="s">
        <v>1525</v>
      </c>
      <c r="E494">
        <v>32802</v>
      </c>
      <c r="F494" t="s">
        <v>578</v>
      </c>
      <c r="G494">
        <v>2</v>
      </c>
      <c r="H494">
        <v>22.9</v>
      </c>
      <c r="I494">
        <v>16</v>
      </c>
      <c r="J494" t="s">
        <v>1520</v>
      </c>
      <c r="K494">
        <v>0</v>
      </c>
    </row>
    <row r="495" spans="1:12">
      <c r="A495">
        <v>342782</v>
      </c>
      <c r="B495" t="s">
        <v>1465</v>
      </c>
      <c r="D495" t="s">
        <v>1198</v>
      </c>
      <c r="E495">
        <v>32702</v>
      </c>
      <c r="F495" t="s">
        <v>578</v>
      </c>
      <c r="G495">
        <v>6</v>
      </c>
      <c r="H495">
        <v>29.9</v>
      </c>
      <c r="I495">
        <v>11</v>
      </c>
      <c r="J495" t="s">
        <v>1520</v>
      </c>
      <c r="K495">
        <v>4</v>
      </c>
      <c r="L495" s="145">
        <v>42076</v>
      </c>
    </row>
    <row r="496" spans="1:12">
      <c r="A496">
        <v>344010</v>
      </c>
      <c r="B496" t="s">
        <v>1791</v>
      </c>
      <c r="C496" s="145">
        <v>41856</v>
      </c>
      <c r="D496" t="s">
        <v>1526</v>
      </c>
      <c r="E496">
        <v>32803</v>
      </c>
      <c r="F496" t="s">
        <v>578</v>
      </c>
      <c r="G496">
        <v>3</v>
      </c>
      <c r="H496">
        <v>31.5</v>
      </c>
      <c r="I496">
        <v>1</v>
      </c>
      <c r="J496" t="s">
        <v>1520</v>
      </c>
      <c r="K496">
        <v>0</v>
      </c>
    </row>
    <row r="497" spans="1:12">
      <c r="A497">
        <v>342703</v>
      </c>
      <c r="B497" t="s">
        <v>1465</v>
      </c>
      <c r="D497" t="s">
        <v>1680</v>
      </c>
      <c r="E497">
        <v>33202</v>
      </c>
      <c r="F497" t="s">
        <v>578</v>
      </c>
      <c r="G497">
        <v>1</v>
      </c>
      <c r="H497">
        <v>49.9</v>
      </c>
      <c r="I497">
        <v>37</v>
      </c>
      <c r="J497" t="s">
        <v>1520</v>
      </c>
      <c r="K497">
        <v>0</v>
      </c>
    </row>
    <row r="498" spans="1:12">
      <c r="A498">
        <v>344050</v>
      </c>
      <c r="B498" t="s">
        <v>1465</v>
      </c>
      <c r="D498" t="s">
        <v>1643</v>
      </c>
      <c r="E498">
        <v>32603</v>
      </c>
      <c r="F498" t="s">
        <v>578</v>
      </c>
      <c r="G498">
        <v>6</v>
      </c>
      <c r="H498">
        <v>99</v>
      </c>
      <c r="I498">
        <v>4</v>
      </c>
      <c r="J498" t="s">
        <v>580</v>
      </c>
      <c r="K498">
        <v>0</v>
      </c>
    </row>
    <row r="499" spans="1:12">
      <c r="A499">
        <v>344051</v>
      </c>
      <c r="B499" t="s">
        <v>1465</v>
      </c>
      <c r="D499" t="s">
        <v>1644</v>
      </c>
      <c r="E499">
        <v>32603</v>
      </c>
      <c r="F499" t="s">
        <v>578</v>
      </c>
      <c r="G499">
        <v>4</v>
      </c>
      <c r="H499">
        <v>135</v>
      </c>
      <c r="I499">
        <v>11</v>
      </c>
      <c r="J499" t="s">
        <v>580</v>
      </c>
      <c r="K499">
        <v>0</v>
      </c>
    </row>
    <row r="500" spans="1:12">
      <c r="A500">
        <v>344052</v>
      </c>
      <c r="B500" t="s">
        <v>1465</v>
      </c>
      <c r="D500" t="s">
        <v>1387</v>
      </c>
      <c r="E500">
        <v>32603</v>
      </c>
      <c r="F500" t="s">
        <v>578</v>
      </c>
      <c r="G500">
        <v>5</v>
      </c>
      <c r="H500">
        <v>135</v>
      </c>
      <c r="I500">
        <v>13</v>
      </c>
      <c r="J500" t="s">
        <v>580</v>
      </c>
      <c r="K500">
        <v>0</v>
      </c>
    </row>
    <row r="501" spans="1:12">
      <c r="A501">
        <v>344053</v>
      </c>
      <c r="B501" t="s">
        <v>1465</v>
      </c>
      <c r="D501" t="s">
        <v>1388</v>
      </c>
      <c r="E501">
        <v>32802</v>
      </c>
      <c r="F501" t="s">
        <v>578</v>
      </c>
      <c r="G501">
        <v>9</v>
      </c>
      <c r="H501">
        <v>21.9</v>
      </c>
      <c r="I501">
        <v>17</v>
      </c>
      <c r="J501" t="s">
        <v>580</v>
      </c>
      <c r="K501">
        <v>0</v>
      </c>
    </row>
    <row r="502" spans="1:12">
      <c r="A502">
        <v>344053</v>
      </c>
      <c r="B502" t="s">
        <v>1465</v>
      </c>
      <c r="D502" t="s">
        <v>1388</v>
      </c>
      <c r="E502">
        <v>32603</v>
      </c>
      <c r="F502" t="s">
        <v>578</v>
      </c>
      <c r="G502">
        <v>1</v>
      </c>
      <c r="H502">
        <v>21.9</v>
      </c>
      <c r="I502">
        <v>17</v>
      </c>
      <c r="J502" t="s">
        <v>580</v>
      </c>
      <c r="K502">
        <v>0</v>
      </c>
    </row>
    <row r="503" spans="1:12">
      <c r="A503">
        <v>344054</v>
      </c>
      <c r="B503" t="s">
        <v>1465</v>
      </c>
      <c r="D503" t="s">
        <v>1389</v>
      </c>
      <c r="E503">
        <v>32802</v>
      </c>
      <c r="F503" t="s">
        <v>578</v>
      </c>
      <c r="G503">
        <v>5</v>
      </c>
      <c r="H503">
        <v>29.9</v>
      </c>
      <c r="I503">
        <v>7</v>
      </c>
      <c r="J503" t="s">
        <v>580</v>
      </c>
      <c r="K503">
        <v>0</v>
      </c>
    </row>
    <row r="504" spans="1:12">
      <c r="A504">
        <v>344054</v>
      </c>
      <c r="B504" t="s">
        <v>1465</v>
      </c>
      <c r="D504" t="s">
        <v>1389</v>
      </c>
      <c r="E504">
        <v>32603</v>
      </c>
      <c r="F504" t="s">
        <v>578</v>
      </c>
      <c r="G504">
        <v>2</v>
      </c>
      <c r="H504">
        <v>29.9</v>
      </c>
      <c r="I504">
        <v>7</v>
      </c>
      <c r="J504" t="s">
        <v>580</v>
      </c>
      <c r="K504">
        <v>0</v>
      </c>
    </row>
    <row r="505" spans="1:12">
      <c r="A505">
        <v>344055</v>
      </c>
      <c r="B505" t="s">
        <v>1465</v>
      </c>
      <c r="D505" t="s">
        <v>1390</v>
      </c>
      <c r="E505">
        <v>32603</v>
      </c>
      <c r="F505" t="s">
        <v>578</v>
      </c>
      <c r="G505">
        <v>3</v>
      </c>
      <c r="H505">
        <v>39.9</v>
      </c>
      <c r="I505">
        <v>8</v>
      </c>
      <c r="J505" t="s">
        <v>580</v>
      </c>
      <c r="K505">
        <v>0</v>
      </c>
    </row>
    <row r="506" spans="1:12">
      <c r="A506">
        <v>344055</v>
      </c>
      <c r="B506" t="s">
        <v>1465</v>
      </c>
      <c r="D506" t="s">
        <v>1390</v>
      </c>
      <c r="E506">
        <v>32802</v>
      </c>
      <c r="F506" t="s">
        <v>578</v>
      </c>
      <c r="G506">
        <v>1</v>
      </c>
      <c r="H506">
        <v>39.9</v>
      </c>
      <c r="I506">
        <v>8</v>
      </c>
      <c r="J506" t="s">
        <v>580</v>
      </c>
      <c r="K506">
        <v>0</v>
      </c>
    </row>
    <row r="507" spans="1:12">
      <c r="A507">
        <v>342555</v>
      </c>
      <c r="B507" t="s">
        <v>1465</v>
      </c>
      <c r="D507" t="s">
        <v>1537</v>
      </c>
      <c r="E507">
        <v>32802</v>
      </c>
      <c r="F507" t="s">
        <v>578</v>
      </c>
      <c r="G507">
        <v>12</v>
      </c>
      <c r="H507">
        <v>13.5</v>
      </c>
      <c r="I507">
        <v>10</v>
      </c>
      <c r="J507" t="s">
        <v>1520</v>
      </c>
      <c r="K507">
        <v>0</v>
      </c>
    </row>
    <row r="508" spans="1:12">
      <c r="A508">
        <v>342563</v>
      </c>
      <c r="B508" t="s">
        <v>1465</v>
      </c>
      <c r="D508" t="s">
        <v>1538</v>
      </c>
      <c r="E508">
        <v>32802</v>
      </c>
      <c r="F508" t="s">
        <v>578</v>
      </c>
      <c r="G508">
        <v>7</v>
      </c>
      <c r="H508">
        <v>17.5</v>
      </c>
      <c r="I508">
        <v>3</v>
      </c>
      <c r="J508" t="s">
        <v>1520</v>
      </c>
      <c r="K508">
        <v>6</v>
      </c>
      <c r="L508" s="145">
        <v>42076</v>
      </c>
    </row>
    <row r="509" spans="1:12">
      <c r="A509">
        <v>342565</v>
      </c>
      <c r="B509" t="s">
        <v>1465</v>
      </c>
      <c r="D509" t="s">
        <v>1539</v>
      </c>
      <c r="E509">
        <v>32802</v>
      </c>
      <c r="F509" t="s">
        <v>578</v>
      </c>
      <c r="G509">
        <v>4</v>
      </c>
      <c r="H509">
        <v>20.9</v>
      </c>
      <c r="I509">
        <v>3</v>
      </c>
      <c r="J509" t="s">
        <v>1520</v>
      </c>
      <c r="K509">
        <v>9</v>
      </c>
      <c r="L509" s="145">
        <v>42076</v>
      </c>
    </row>
    <row r="510" spans="1:12">
      <c r="A510">
        <v>342569</v>
      </c>
      <c r="B510" t="s">
        <v>1465</v>
      </c>
      <c r="D510" t="s">
        <v>1540</v>
      </c>
      <c r="E510">
        <v>32702</v>
      </c>
      <c r="F510" t="s">
        <v>578</v>
      </c>
      <c r="G510">
        <v>4</v>
      </c>
      <c r="H510">
        <v>30.9</v>
      </c>
      <c r="I510">
        <v>6</v>
      </c>
      <c r="J510" t="s">
        <v>1520</v>
      </c>
      <c r="K510">
        <v>1</v>
      </c>
      <c r="L510" s="145">
        <v>42076</v>
      </c>
    </row>
    <row r="511" spans="1:12">
      <c r="A511">
        <v>342597</v>
      </c>
      <c r="B511" t="s">
        <v>1465</v>
      </c>
      <c r="D511" t="s">
        <v>1542</v>
      </c>
      <c r="E511">
        <v>32802</v>
      </c>
      <c r="F511" t="s">
        <v>578</v>
      </c>
      <c r="G511">
        <v>11</v>
      </c>
      <c r="H511">
        <v>13.5</v>
      </c>
      <c r="I511">
        <v>6</v>
      </c>
      <c r="J511" t="s">
        <v>1520</v>
      </c>
      <c r="K511">
        <v>0</v>
      </c>
    </row>
    <row r="512" spans="1:12">
      <c r="A512">
        <v>342595</v>
      </c>
      <c r="B512" t="s">
        <v>1465</v>
      </c>
      <c r="D512" t="s">
        <v>1541</v>
      </c>
      <c r="E512">
        <v>32702</v>
      </c>
      <c r="F512" t="s">
        <v>578</v>
      </c>
      <c r="G512">
        <v>5</v>
      </c>
      <c r="H512">
        <v>30.9</v>
      </c>
      <c r="I512">
        <v>4</v>
      </c>
      <c r="J512" t="s">
        <v>1520</v>
      </c>
      <c r="K512">
        <v>0</v>
      </c>
    </row>
    <row r="513" spans="1:11">
      <c r="A513">
        <v>342599</v>
      </c>
      <c r="B513" t="s">
        <v>1465</v>
      </c>
      <c r="D513" t="s">
        <v>1543</v>
      </c>
      <c r="E513">
        <v>32802</v>
      </c>
      <c r="F513" t="s">
        <v>578</v>
      </c>
      <c r="G513">
        <v>3</v>
      </c>
      <c r="H513">
        <v>20.9</v>
      </c>
      <c r="I513">
        <v>5</v>
      </c>
      <c r="J513" t="s">
        <v>1520</v>
      </c>
      <c r="K513">
        <v>0</v>
      </c>
    </row>
    <row r="514" spans="1:11">
      <c r="A514">
        <v>342600</v>
      </c>
      <c r="B514" t="s">
        <v>1465</v>
      </c>
      <c r="D514" t="s">
        <v>1089</v>
      </c>
      <c r="E514">
        <v>32802</v>
      </c>
      <c r="F514" t="s">
        <v>578</v>
      </c>
      <c r="G514">
        <v>8</v>
      </c>
      <c r="H514">
        <v>17.5</v>
      </c>
      <c r="I514">
        <v>14</v>
      </c>
      <c r="J514" t="s">
        <v>1520</v>
      </c>
      <c r="K514">
        <v>0</v>
      </c>
    </row>
    <row r="515" spans="1:11">
      <c r="A515">
        <v>342602</v>
      </c>
      <c r="B515" t="s">
        <v>1465</v>
      </c>
      <c r="D515" t="s">
        <v>1090</v>
      </c>
      <c r="E515">
        <v>31000</v>
      </c>
      <c r="F515" t="s">
        <v>578</v>
      </c>
      <c r="G515">
        <v>4</v>
      </c>
      <c r="H515">
        <v>12.95</v>
      </c>
      <c r="I515">
        <v>16</v>
      </c>
      <c r="J515" t="s">
        <v>1520</v>
      </c>
      <c r="K515">
        <v>0</v>
      </c>
    </row>
    <row r="516" spans="1:11">
      <c r="A516">
        <v>342446</v>
      </c>
      <c r="B516" t="s">
        <v>1465</v>
      </c>
      <c r="D516" t="s">
        <v>1534</v>
      </c>
      <c r="E516">
        <v>31000</v>
      </c>
      <c r="F516" t="s">
        <v>578</v>
      </c>
      <c r="G516">
        <v>1</v>
      </c>
      <c r="H516">
        <v>12.5</v>
      </c>
      <c r="I516">
        <v>44</v>
      </c>
      <c r="J516" t="s">
        <v>1520</v>
      </c>
      <c r="K516">
        <v>0</v>
      </c>
    </row>
    <row r="517" spans="1:11">
      <c r="A517">
        <v>342447</v>
      </c>
      <c r="B517" t="s">
        <v>1465</v>
      </c>
      <c r="D517" t="s">
        <v>1535</v>
      </c>
      <c r="E517">
        <v>39129</v>
      </c>
      <c r="F517" t="s">
        <v>578</v>
      </c>
      <c r="G517">
        <v>4</v>
      </c>
      <c r="H517">
        <v>19.95</v>
      </c>
      <c r="I517">
        <v>12</v>
      </c>
      <c r="J517" t="s">
        <v>1520</v>
      </c>
      <c r="K517">
        <v>0</v>
      </c>
    </row>
    <row r="518" spans="1:11">
      <c r="A518">
        <v>342770</v>
      </c>
      <c r="B518" t="s">
        <v>1465</v>
      </c>
      <c r="D518" t="s">
        <v>1678</v>
      </c>
      <c r="E518">
        <v>33504</v>
      </c>
      <c r="F518" t="s">
        <v>578</v>
      </c>
      <c r="G518">
        <v>2</v>
      </c>
      <c r="H518">
        <v>3.6</v>
      </c>
      <c r="I518">
        <v>13</v>
      </c>
      <c r="J518" t="s">
        <v>580</v>
      </c>
      <c r="K518">
        <v>0</v>
      </c>
    </row>
    <row r="519" spans="1:11">
      <c r="A519">
        <v>342771</v>
      </c>
      <c r="B519" t="s">
        <v>1465</v>
      </c>
      <c r="D519" t="s">
        <v>1679</v>
      </c>
      <c r="E519">
        <v>33504</v>
      </c>
      <c r="F519" t="s">
        <v>578</v>
      </c>
      <c r="G519">
        <v>1</v>
      </c>
      <c r="H519">
        <v>4.5</v>
      </c>
      <c r="I519">
        <v>20</v>
      </c>
      <c r="J519" t="s">
        <v>580</v>
      </c>
      <c r="K519">
        <v>0</v>
      </c>
    </row>
    <row r="520" spans="1:11">
      <c r="A520">
        <v>342769</v>
      </c>
      <c r="B520" t="s">
        <v>1465</v>
      </c>
      <c r="D520" t="s">
        <v>1677</v>
      </c>
      <c r="E520">
        <v>33504</v>
      </c>
      <c r="F520" t="s">
        <v>578</v>
      </c>
      <c r="G520">
        <v>3</v>
      </c>
      <c r="H520">
        <v>3.9</v>
      </c>
      <c r="I520">
        <v>28</v>
      </c>
      <c r="J520" t="s">
        <v>580</v>
      </c>
      <c r="K520">
        <v>0</v>
      </c>
    </row>
    <row r="521" spans="1:11">
      <c r="A521">
        <v>342511</v>
      </c>
      <c r="B521" t="s">
        <v>1465</v>
      </c>
      <c r="D521" t="s">
        <v>1554</v>
      </c>
      <c r="E521">
        <v>32503</v>
      </c>
      <c r="F521" t="s">
        <v>578</v>
      </c>
      <c r="G521">
        <v>1</v>
      </c>
      <c r="H521">
        <v>80</v>
      </c>
      <c r="I521">
        <v>5</v>
      </c>
      <c r="J521" t="s">
        <v>580</v>
      </c>
      <c r="K521">
        <v>0</v>
      </c>
    </row>
    <row r="522" spans="1:11">
      <c r="A522">
        <v>342512</v>
      </c>
      <c r="B522" t="s">
        <v>1465</v>
      </c>
      <c r="D522" t="s">
        <v>1555</v>
      </c>
      <c r="E522">
        <v>32504</v>
      </c>
      <c r="F522" t="s">
        <v>578</v>
      </c>
      <c r="G522">
        <v>1</v>
      </c>
      <c r="H522">
        <v>34.5</v>
      </c>
      <c r="I522">
        <v>7</v>
      </c>
      <c r="J522" t="s">
        <v>580</v>
      </c>
      <c r="K522">
        <v>0</v>
      </c>
    </row>
    <row r="523" spans="1:11">
      <c r="A523">
        <v>342513</v>
      </c>
      <c r="B523" t="s">
        <v>1465</v>
      </c>
      <c r="D523" t="s">
        <v>1556</v>
      </c>
      <c r="E523">
        <v>32503</v>
      </c>
      <c r="F523" t="s">
        <v>578</v>
      </c>
      <c r="G523">
        <v>2</v>
      </c>
      <c r="H523">
        <v>90</v>
      </c>
      <c r="I523">
        <v>3</v>
      </c>
      <c r="J523" t="s">
        <v>580</v>
      </c>
      <c r="K523">
        <v>0</v>
      </c>
    </row>
    <row r="524" spans="1:11">
      <c r="A524">
        <v>342514</v>
      </c>
      <c r="B524" t="s">
        <v>1465</v>
      </c>
      <c r="D524" t="s">
        <v>1557</v>
      </c>
      <c r="E524">
        <v>32504</v>
      </c>
      <c r="F524" t="s">
        <v>578</v>
      </c>
      <c r="G524">
        <v>2</v>
      </c>
      <c r="H524">
        <v>45.5</v>
      </c>
      <c r="I524">
        <v>8</v>
      </c>
      <c r="J524" t="s">
        <v>580</v>
      </c>
      <c r="K524">
        <v>0</v>
      </c>
    </row>
    <row r="525" spans="1:11">
      <c r="A525">
        <v>342516</v>
      </c>
      <c r="B525" t="s">
        <v>1465</v>
      </c>
      <c r="D525" t="s">
        <v>1559</v>
      </c>
      <c r="E525">
        <v>32504</v>
      </c>
      <c r="F525" t="s">
        <v>578</v>
      </c>
      <c r="G525">
        <v>3</v>
      </c>
      <c r="H525">
        <v>65</v>
      </c>
      <c r="I525">
        <v>5</v>
      </c>
      <c r="J525" t="s">
        <v>580</v>
      </c>
      <c r="K525">
        <v>0</v>
      </c>
    </row>
    <row r="526" spans="1:11">
      <c r="A526">
        <v>342515</v>
      </c>
      <c r="B526" t="s">
        <v>1465</v>
      </c>
      <c r="D526" t="s">
        <v>1558</v>
      </c>
      <c r="E526">
        <v>32503</v>
      </c>
      <c r="F526" t="s">
        <v>578</v>
      </c>
      <c r="G526">
        <v>3</v>
      </c>
      <c r="H526">
        <v>135</v>
      </c>
      <c r="I526">
        <v>5</v>
      </c>
      <c r="J526" t="s">
        <v>580</v>
      </c>
      <c r="K526">
        <v>0</v>
      </c>
    </row>
    <row r="527" spans="1:11">
      <c r="A527">
        <v>342761</v>
      </c>
      <c r="B527" t="s">
        <v>1465</v>
      </c>
      <c r="D527" t="s">
        <v>1391</v>
      </c>
      <c r="E527">
        <v>33402</v>
      </c>
      <c r="F527" t="s">
        <v>578</v>
      </c>
      <c r="G527">
        <v>7</v>
      </c>
      <c r="H527">
        <v>27.9</v>
      </c>
      <c r="I527">
        <v>4</v>
      </c>
      <c r="J527" t="s">
        <v>580</v>
      </c>
      <c r="K527">
        <v>0</v>
      </c>
    </row>
    <row r="528" spans="1:11">
      <c r="A528">
        <v>342762</v>
      </c>
      <c r="B528" t="s">
        <v>1465</v>
      </c>
      <c r="D528" t="s">
        <v>508</v>
      </c>
      <c r="E528">
        <v>33402</v>
      </c>
      <c r="F528" t="s">
        <v>578</v>
      </c>
      <c r="G528">
        <v>4</v>
      </c>
      <c r="H528">
        <v>29.9</v>
      </c>
      <c r="I528">
        <v>2</v>
      </c>
      <c r="J528" t="s">
        <v>580</v>
      </c>
      <c r="K528">
        <v>0</v>
      </c>
    </row>
    <row r="529" spans="1:12">
      <c r="A529">
        <v>342763</v>
      </c>
      <c r="B529" t="s">
        <v>1465</v>
      </c>
      <c r="D529" t="s">
        <v>509</v>
      </c>
      <c r="E529">
        <v>33402</v>
      </c>
      <c r="F529" t="s">
        <v>578</v>
      </c>
      <c r="G529">
        <v>5</v>
      </c>
      <c r="H529">
        <v>32.9</v>
      </c>
      <c r="I529">
        <v>3</v>
      </c>
      <c r="J529" t="s">
        <v>580</v>
      </c>
      <c r="K529">
        <v>0</v>
      </c>
    </row>
    <row r="530" spans="1:12">
      <c r="A530">
        <v>342764</v>
      </c>
      <c r="B530" t="s">
        <v>1465</v>
      </c>
      <c r="D530" t="s">
        <v>510</v>
      </c>
      <c r="E530">
        <v>33402</v>
      </c>
      <c r="F530" t="s">
        <v>578</v>
      </c>
      <c r="G530">
        <v>2</v>
      </c>
      <c r="H530">
        <v>34.9</v>
      </c>
      <c r="I530">
        <v>1</v>
      </c>
      <c r="J530" t="s">
        <v>580</v>
      </c>
      <c r="K530">
        <v>8</v>
      </c>
      <c r="L530" s="145">
        <v>42061</v>
      </c>
    </row>
    <row r="531" spans="1:12">
      <c r="A531">
        <v>342765</v>
      </c>
      <c r="B531" t="s">
        <v>1465</v>
      </c>
      <c r="D531" t="s">
        <v>511</v>
      </c>
      <c r="E531">
        <v>33402</v>
      </c>
      <c r="F531" t="s">
        <v>578</v>
      </c>
      <c r="G531">
        <v>6</v>
      </c>
      <c r="H531">
        <v>42.9</v>
      </c>
      <c r="I531">
        <v>5</v>
      </c>
      <c r="J531" t="s">
        <v>580</v>
      </c>
      <c r="K531">
        <v>0</v>
      </c>
    </row>
    <row r="532" spans="1:12">
      <c r="A532">
        <v>342766</v>
      </c>
      <c r="B532" t="s">
        <v>1465</v>
      </c>
      <c r="D532" t="s">
        <v>512</v>
      </c>
      <c r="E532">
        <v>33402</v>
      </c>
      <c r="F532" t="s">
        <v>578</v>
      </c>
      <c r="G532">
        <v>3</v>
      </c>
      <c r="H532">
        <v>44.9</v>
      </c>
      <c r="I532">
        <v>3</v>
      </c>
      <c r="J532" t="s">
        <v>580</v>
      </c>
      <c r="K532">
        <v>0</v>
      </c>
    </row>
    <row r="533" spans="1:12">
      <c r="A533">
        <v>340008</v>
      </c>
      <c r="B533" t="s">
        <v>1465</v>
      </c>
      <c r="D533" t="s">
        <v>1552</v>
      </c>
      <c r="E533">
        <v>32503</v>
      </c>
      <c r="F533" t="s">
        <v>578</v>
      </c>
      <c r="G533">
        <v>6</v>
      </c>
      <c r="H533">
        <v>41.9</v>
      </c>
      <c r="I533">
        <v>7</v>
      </c>
      <c r="J533" t="s">
        <v>580</v>
      </c>
      <c r="K533">
        <v>0</v>
      </c>
    </row>
    <row r="534" spans="1:12">
      <c r="A534">
        <v>340009</v>
      </c>
      <c r="B534" t="s">
        <v>1465</v>
      </c>
      <c r="D534" t="s">
        <v>1553</v>
      </c>
      <c r="E534">
        <v>32503</v>
      </c>
      <c r="F534" t="s">
        <v>578</v>
      </c>
      <c r="G534">
        <v>4</v>
      </c>
      <c r="H534">
        <v>31.9</v>
      </c>
      <c r="I534">
        <v>11</v>
      </c>
      <c r="J534" t="s">
        <v>580</v>
      </c>
      <c r="K534">
        <v>8</v>
      </c>
      <c r="L534" s="145">
        <v>42061</v>
      </c>
    </row>
    <row r="535" spans="1:12">
      <c r="A535">
        <v>342715</v>
      </c>
      <c r="B535" t="s">
        <v>1465</v>
      </c>
      <c r="D535" t="s">
        <v>1593</v>
      </c>
      <c r="E535">
        <v>33504</v>
      </c>
      <c r="F535" t="s">
        <v>578</v>
      </c>
      <c r="G535">
        <v>7</v>
      </c>
      <c r="H535">
        <v>9.9</v>
      </c>
      <c r="I535">
        <v>16</v>
      </c>
      <c r="J535" t="s">
        <v>580</v>
      </c>
      <c r="K535">
        <v>0</v>
      </c>
    </row>
    <row r="536" spans="1:12">
      <c r="A536">
        <v>382921</v>
      </c>
      <c r="B536" t="s">
        <v>1904</v>
      </c>
      <c r="D536" t="s">
        <v>493</v>
      </c>
      <c r="E536">
        <v>78000</v>
      </c>
      <c r="F536" t="s">
        <v>578</v>
      </c>
      <c r="G536">
        <v>3</v>
      </c>
      <c r="H536">
        <v>3.9</v>
      </c>
      <c r="I536">
        <v>63</v>
      </c>
      <c r="J536" t="s">
        <v>580</v>
      </c>
      <c r="K536">
        <v>96</v>
      </c>
      <c r="L536" s="145">
        <v>42068</v>
      </c>
    </row>
    <row r="537" spans="1:12">
      <c r="A537">
        <v>382921</v>
      </c>
      <c r="B537" t="s">
        <v>1904</v>
      </c>
      <c r="D537" t="s">
        <v>493</v>
      </c>
      <c r="E537">
        <v>34000</v>
      </c>
      <c r="F537" t="s">
        <v>578</v>
      </c>
      <c r="G537">
        <v>3</v>
      </c>
      <c r="H537">
        <v>3.9</v>
      </c>
      <c r="I537">
        <v>63</v>
      </c>
      <c r="J537" t="s">
        <v>580</v>
      </c>
      <c r="K537">
        <v>96</v>
      </c>
      <c r="L537" s="145">
        <v>42068</v>
      </c>
    </row>
    <row r="538" spans="1:12">
      <c r="A538">
        <v>382923</v>
      </c>
      <c r="B538" t="s">
        <v>1904</v>
      </c>
      <c r="D538" t="s">
        <v>1384</v>
      </c>
      <c r="E538">
        <v>34000</v>
      </c>
      <c r="F538" t="s">
        <v>578</v>
      </c>
      <c r="G538">
        <v>1</v>
      </c>
      <c r="H538">
        <v>2.8</v>
      </c>
      <c r="I538">
        <v>168</v>
      </c>
      <c r="J538" t="s">
        <v>580</v>
      </c>
      <c r="K538">
        <v>60</v>
      </c>
      <c r="L538" s="145">
        <v>42068</v>
      </c>
    </row>
    <row r="539" spans="1:12">
      <c r="A539">
        <v>382924</v>
      </c>
      <c r="B539" t="s">
        <v>1904</v>
      </c>
      <c r="D539" t="s">
        <v>1385</v>
      </c>
      <c r="E539">
        <v>78000</v>
      </c>
      <c r="F539" t="s">
        <v>578</v>
      </c>
      <c r="G539">
        <v>4</v>
      </c>
      <c r="H539">
        <v>2.8</v>
      </c>
      <c r="I539">
        <v>242</v>
      </c>
      <c r="J539" t="s">
        <v>580</v>
      </c>
      <c r="K539">
        <v>140</v>
      </c>
      <c r="L539" s="145">
        <v>42068</v>
      </c>
    </row>
    <row r="540" spans="1:12">
      <c r="A540">
        <v>382924</v>
      </c>
      <c r="B540" t="s">
        <v>1904</v>
      </c>
      <c r="D540" t="s">
        <v>1385</v>
      </c>
      <c r="E540">
        <v>34000</v>
      </c>
      <c r="F540" t="s">
        <v>578</v>
      </c>
      <c r="G540">
        <v>2</v>
      </c>
      <c r="H540">
        <v>2.8</v>
      </c>
      <c r="I540">
        <v>242</v>
      </c>
      <c r="J540" t="s">
        <v>580</v>
      </c>
      <c r="K540">
        <v>140</v>
      </c>
      <c r="L540" s="145">
        <v>42068</v>
      </c>
    </row>
    <row r="541" spans="1:12">
      <c r="A541">
        <v>382924</v>
      </c>
      <c r="B541" t="s">
        <v>1904</v>
      </c>
      <c r="D541" t="s">
        <v>1385</v>
      </c>
      <c r="E541">
        <v>78000</v>
      </c>
      <c r="F541" t="s">
        <v>578</v>
      </c>
      <c r="G541">
        <v>5</v>
      </c>
      <c r="H541">
        <v>2.8</v>
      </c>
      <c r="I541">
        <v>242</v>
      </c>
      <c r="J541" t="s">
        <v>580</v>
      </c>
      <c r="K541">
        <v>140</v>
      </c>
      <c r="L541" s="145">
        <v>42068</v>
      </c>
    </row>
    <row r="542" spans="1:12">
      <c r="A542">
        <v>342710</v>
      </c>
      <c r="B542" t="s">
        <v>1465</v>
      </c>
      <c r="D542" t="s">
        <v>1590</v>
      </c>
      <c r="E542">
        <v>33504</v>
      </c>
      <c r="F542" t="s">
        <v>578</v>
      </c>
      <c r="G542">
        <v>9</v>
      </c>
      <c r="H542">
        <v>4.4000000000000004</v>
      </c>
      <c r="I542">
        <v>28</v>
      </c>
      <c r="J542" t="s">
        <v>580</v>
      </c>
      <c r="K542">
        <v>0</v>
      </c>
    </row>
    <row r="543" spans="1:12">
      <c r="A543">
        <v>342711</v>
      </c>
      <c r="B543" t="s">
        <v>1465</v>
      </c>
      <c r="D543" t="s">
        <v>1591</v>
      </c>
      <c r="E543">
        <v>33504</v>
      </c>
      <c r="F543" t="s">
        <v>578</v>
      </c>
      <c r="G543">
        <v>8</v>
      </c>
      <c r="H543">
        <v>6.4</v>
      </c>
      <c r="I543">
        <v>47</v>
      </c>
      <c r="J543" t="s">
        <v>580</v>
      </c>
      <c r="K543">
        <v>0</v>
      </c>
    </row>
    <row r="544" spans="1:12">
      <c r="A544">
        <v>342712</v>
      </c>
      <c r="B544" t="s">
        <v>1465</v>
      </c>
      <c r="D544" t="s">
        <v>513</v>
      </c>
      <c r="E544">
        <v>33503</v>
      </c>
      <c r="F544" t="s">
        <v>578</v>
      </c>
      <c r="G544">
        <v>4</v>
      </c>
      <c r="H544">
        <v>13.9</v>
      </c>
      <c r="I544">
        <v>4</v>
      </c>
      <c r="J544" t="s">
        <v>580</v>
      </c>
      <c r="K544">
        <v>0</v>
      </c>
    </row>
    <row r="545" spans="1:12">
      <c r="A545">
        <v>342713</v>
      </c>
      <c r="B545" t="s">
        <v>1465</v>
      </c>
      <c r="D545" t="s">
        <v>1592</v>
      </c>
      <c r="E545">
        <v>33503</v>
      </c>
      <c r="F545" t="s">
        <v>578</v>
      </c>
      <c r="G545">
        <v>5</v>
      </c>
      <c r="H545">
        <v>11.9</v>
      </c>
      <c r="I545">
        <v>6</v>
      </c>
      <c r="J545" t="s">
        <v>580</v>
      </c>
      <c r="K545">
        <v>6</v>
      </c>
      <c r="L545" s="145">
        <v>42061</v>
      </c>
    </row>
    <row r="546" spans="1:12">
      <c r="A546">
        <v>342714</v>
      </c>
      <c r="B546" t="s">
        <v>1465</v>
      </c>
      <c r="D546" t="s">
        <v>514</v>
      </c>
      <c r="E546">
        <v>33503</v>
      </c>
      <c r="F546" t="s">
        <v>578</v>
      </c>
      <c r="G546">
        <v>3</v>
      </c>
      <c r="H546">
        <v>19.899999999999999</v>
      </c>
      <c r="I546">
        <v>5</v>
      </c>
      <c r="J546" t="s">
        <v>580</v>
      </c>
      <c r="K546">
        <v>0</v>
      </c>
    </row>
    <row r="547" spans="1:12">
      <c r="A547">
        <v>342716</v>
      </c>
      <c r="B547" t="s">
        <v>1465</v>
      </c>
      <c r="D547" t="s">
        <v>1594</v>
      </c>
      <c r="E547">
        <v>33504</v>
      </c>
      <c r="F547" t="s">
        <v>578</v>
      </c>
      <c r="G547">
        <v>6</v>
      </c>
      <c r="H547">
        <v>9.9</v>
      </c>
      <c r="I547">
        <v>9</v>
      </c>
      <c r="J547" t="s">
        <v>580</v>
      </c>
      <c r="K547">
        <v>0</v>
      </c>
    </row>
    <row r="548" spans="1:12">
      <c r="A548">
        <v>342717</v>
      </c>
      <c r="B548" t="s">
        <v>1465</v>
      </c>
      <c r="D548" t="s">
        <v>1595</v>
      </c>
      <c r="E548">
        <v>33504</v>
      </c>
      <c r="F548" t="s">
        <v>578</v>
      </c>
      <c r="G548">
        <v>11</v>
      </c>
      <c r="H548">
        <v>13.9</v>
      </c>
      <c r="I548">
        <v>2</v>
      </c>
      <c r="J548" t="s">
        <v>580</v>
      </c>
      <c r="K548">
        <v>0</v>
      </c>
    </row>
    <row r="549" spans="1:12">
      <c r="A549">
        <v>342718</v>
      </c>
      <c r="B549" t="s">
        <v>1465</v>
      </c>
      <c r="D549" t="s">
        <v>1596</v>
      </c>
      <c r="E549">
        <v>33504</v>
      </c>
      <c r="F549" t="s">
        <v>578</v>
      </c>
      <c r="G549">
        <v>12</v>
      </c>
      <c r="H549">
        <v>11.9</v>
      </c>
      <c r="I549">
        <v>5</v>
      </c>
      <c r="J549" t="s">
        <v>580</v>
      </c>
      <c r="K549">
        <v>0</v>
      </c>
    </row>
    <row r="550" spans="1:12">
      <c r="A550">
        <v>342732</v>
      </c>
      <c r="B550" t="s">
        <v>1465</v>
      </c>
      <c r="D550" t="s">
        <v>1600</v>
      </c>
      <c r="E550">
        <v>33504</v>
      </c>
      <c r="F550" t="s">
        <v>578</v>
      </c>
      <c r="G550">
        <v>5</v>
      </c>
      <c r="H550">
        <v>29.9</v>
      </c>
      <c r="I550">
        <v>5</v>
      </c>
      <c r="J550" t="s">
        <v>580</v>
      </c>
      <c r="K550">
        <v>0</v>
      </c>
    </row>
    <row r="551" spans="1:12">
      <c r="A551">
        <v>342719</v>
      </c>
      <c r="B551" t="s">
        <v>1465</v>
      </c>
      <c r="D551" t="s">
        <v>1597</v>
      </c>
      <c r="E551">
        <v>33504</v>
      </c>
      <c r="F551" t="s">
        <v>578</v>
      </c>
      <c r="G551">
        <v>10</v>
      </c>
      <c r="H551">
        <v>20.9</v>
      </c>
      <c r="I551">
        <v>3</v>
      </c>
      <c r="J551" t="s">
        <v>580</v>
      </c>
      <c r="K551">
        <v>0</v>
      </c>
    </row>
    <row r="552" spans="1:12">
      <c r="A552">
        <v>342733</v>
      </c>
      <c r="B552" t="s">
        <v>1465</v>
      </c>
      <c r="D552" t="s">
        <v>497</v>
      </c>
      <c r="E552">
        <v>33504</v>
      </c>
      <c r="F552" t="s">
        <v>578</v>
      </c>
      <c r="G552">
        <v>4</v>
      </c>
      <c r="H552">
        <v>39.9</v>
      </c>
      <c r="I552">
        <v>12</v>
      </c>
      <c r="J552" t="s">
        <v>580</v>
      </c>
      <c r="K552">
        <v>6</v>
      </c>
      <c r="L552" s="145">
        <v>42068</v>
      </c>
    </row>
    <row r="553" spans="1:12">
      <c r="A553">
        <v>382740</v>
      </c>
      <c r="B553" t="s">
        <v>1465</v>
      </c>
      <c r="D553" t="s">
        <v>312</v>
      </c>
      <c r="E553">
        <v>34000</v>
      </c>
      <c r="F553" t="s">
        <v>578</v>
      </c>
      <c r="G553">
        <v>4</v>
      </c>
      <c r="H553">
        <v>29.1</v>
      </c>
      <c r="I553">
        <v>32</v>
      </c>
      <c r="J553" t="s">
        <v>581</v>
      </c>
      <c r="K553">
        <v>28</v>
      </c>
      <c r="L553" s="145">
        <v>42075</v>
      </c>
    </row>
    <row r="554" spans="1:12">
      <c r="A554">
        <v>382740</v>
      </c>
      <c r="B554" t="s">
        <v>1465</v>
      </c>
      <c r="D554" t="s">
        <v>312</v>
      </c>
      <c r="E554">
        <v>33402</v>
      </c>
      <c r="F554" t="s">
        <v>578</v>
      </c>
      <c r="G554">
        <v>1</v>
      </c>
      <c r="H554">
        <v>29.1</v>
      </c>
      <c r="I554">
        <v>32</v>
      </c>
      <c r="J554" t="s">
        <v>581</v>
      </c>
      <c r="K554">
        <v>28</v>
      </c>
      <c r="L554" s="145">
        <v>42075</v>
      </c>
    </row>
    <row r="555" spans="1:12">
      <c r="A555">
        <v>382751</v>
      </c>
      <c r="B555" t="s">
        <v>1465</v>
      </c>
      <c r="D555" t="s">
        <v>615</v>
      </c>
      <c r="E555">
        <v>33302</v>
      </c>
      <c r="F555" t="s">
        <v>578</v>
      </c>
      <c r="G555">
        <v>2</v>
      </c>
      <c r="H555">
        <v>58.9</v>
      </c>
      <c r="I555">
        <v>21</v>
      </c>
      <c r="J555" t="s">
        <v>581</v>
      </c>
      <c r="K555">
        <v>0</v>
      </c>
    </row>
    <row r="556" spans="1:12">
      <c r="A556">
        <v>382752</v>
      </c>
      <c r="B556" t="s">
        <v>1465</v>
      </c>
      <c r="D556" t="s">
        <v>616</v>
      </c>
      <c r="E556">
        <v>33302</v>
      </c>
      <c r="F556" t="s">
        <v>578</v>
      </c>
      <c r="G556">
        <v>3</v>
      </c>
      <c r="H556">
        <v>62.9</v>
      </c>
      <c r="I556">
        <v>48</v>
      </c>
      <c r="J556" t="s">
        <v>581</v>
      </c>
      <c r="K556">
        <v>0</v>
      </c>
    </row>
    <row r="557" spans="1:12">
      <c r="A557">
        <v>348429</v>
      </c>
      <c r="B557" t="s">
        <v>1465</v>
      </c>
      <c r="D557" t="s">
        <v>1386</v>
      </c>
      <c r="E557">
        <v>33302</v>
      </c>
      <c r="F557" t="s">
        <v>578</v>
      </c>
      <c r="G557">
        <v>1</v>
      </c>
      <c r="H557">
        <v>84.9</v>
      </c>
      <c r="I557">
        <v>56</v>
      </c>
      <c r="J557" t="s">
        <v>581</v>
      </c>
      <c r="K557">
        <v>0</v>
      </c>
    </row>
    <row r="558" spans="1:12">
      <c r="A558">
        <v>344056</v>
      </c>
      <c r="B558" t="s">
        <v>1109</v>
      </c>
      <c r="D558" t="s">
        <v>526</v>
      </c>
      <c r="E558">
        <v>78000</v>
      </c>
      <c r="F558" t="s">
        <v>578</v>
      </c>
      <c r="G558">
        <v>1</v>
      </c>
      <c r="H558">
        <v>119</v>
      </c>
      <c r="I558">
        <v>1</v>
      </c>
      <c r="J558" t="s">
        <v>515</v>
      </c>
      <c r="K558">
        <v>0</v>
      </c>
    </row>
    <row r="559" spans="1:12">
      <c r="A559">
        <v>346006</v>
      </c>
      <c r="B559" t="s">
        <v>1109</v>
      </c>
      <c r="D559" t="s">
        <v>1692</v>
      </c>
      <c r="E559">
        <v>78000</v>
      </c>
      <c r="F559" t="s">
        <v>578</v>
      </c>
      <c r="G559">
        <v>2</v>
      </c>
      <c r="H559">
        <v>79</v>
      </c>
      <c r="I559">
        <v>25</v>
      </c>
      <c r="J559" t="s">
        <v>581</v>
      </c>
      <c r="K559">
        <v>0</v>
      </c>
    </row>
    <row r="560" spans="1:12">
      <c r="A560">
        <v>342735</v>
      </c>
      <c r="B560" t="s">
        <v>1465</v>
      </c>
      <c r="D560" t="s">
        <v>498</v>
      </c>
      <c r="E560">
        <v>33902</v>
      </c>
      <c r="F560" t="s">
        <v>578</v>
      </c>
      <c r="G560">
        <v>2</v>
      </c>
      <c r="H560">
        <v>55.9</v>
      </c>
      <c r="I560">
        <v>9</v>
      </c>
      <c r="J560" t="s">
        <v>580</v>
      </c>
      <c r="K560">
        <v>0</v>
      </c>
    </row>
    <row r="561" spans="1:12">
      <c r="A561">
        <v>342737</v>
      </c>
      <c r="B561" t="s">
        <v>1465</v>
      </c>
      <c r="D561" t="s">
        <v>500</v>
      </c>
      <c r="E561">
        <v>33802</v>
      </c>
      <c r="F561" t="s">
        <v>578</v>
      </c>
      <c r="G561">
        <v>2</v>
      </c>
      <c r="H561">
        <v>60.9</v>
      </c>
      <c r="I561">
        <v>5</v>
      </c>
      <c r="J561" t="s">
        <v>580</v>
      </c>
      <c r="K561">
        <v>0</v>
      </c>
    </row>
    <row r="562" spans="1:12">
      <c r="A562">
        <v>342736</v>
      </c>
      <c r="B562" t="s">
        <v>1465</v>
      </c>
      <c r="D562" t="s">
        <v>499</v>
      </c>
      <c r="E562">
        <v>33802</v>
      </c>
      <c r="F562" t="s">
        <v>578</v>
      </c>
      <c r="G562">
        <v>4</v>
      </c>
      <c r="H562">
        <v>71.900000000000006</v>
      </c>
      <c r="I562">
        <v>6</v>
      </c>
      <c r="J562" t="s">
        <v>580</v>
      </c>
      <c r="K562">
        <v>0</v>
      </c>
    </row>
    <row r="563" spans="1:12">
      <c r="A563">
        <v>342738</v>
      </c>
      <c r="B563" t="s">
        <v>1465</v>
      </c>
      <c r="D563" t="s">
        <v>501</v>
      </c>
      <c r="E563">
        <v>33701</v>
      </c>
      <c r="F563" t="s">
        <v>578</v>
      </c>
      <c r="G563">
        <v>2</v>
      </c>
      <c r="H563">
        <v>76.900000000000006</v>
      </c>
      <c r="I563">
        <v>4</v>
      </c>
      <c r="J563" t="s">
        <v>580</v>
      </c>
      <c r="K563">
        <v>12</v>
      </c>
      <c r="L563" s="145">
        <v>42061</v>
      </c>
    </row>
    <row r="564" spans="1:12">
      <c r="A564">
        <v>342748</v>
      </c>
      <c r="B564" t="s">
        <v>1465</v>
      </c>
      <c r="D564" t="s">
        <v>1611</v>
      </c>
      <c r="E564">
        <v>33902</v>
      </c>
      <c r="F564" t="s">
        <v>578</v>
      </c>
      <c r="G564">
        <v>1</v>
      </c>
      <c r="H564">
        <v>58.9</v>
      </c>
      <c r="I564">
        <v>7</v>
      </c>
      <c r="J564" t="s">
        <v>580</v>
      </c>
      <c r="K564">
        <v>0</v>
      </c>
    </row>
    <row r="565" spans="1:12">
      <c r="A565">
        <v>342749</v>
      </c>
      <c r="B565" t="s">
        <v>1465</v>
      </c>
      <c r="D565" t="s">
        <v>408</v>
      </c>
      <c r="E565">
        <v>33802</v>
      </c>
      <c r="F565" t="s">
        <v>578</v>
      </c>
      <c r="G565">
        <v>3</v>
      </c>
      <c r="H565">
        <v>73.900000000000006</v>
      </c>
      <c r="I565">
        <v>9</v>
      </c>
      <c r="J565" t="s">
        <v>580</v>
      </c>
      <c r="K565">
        <v>0</v>
      </c>
    </row>
    <row r="566" spans="1:12">
      <c r="A566">
        <v>342750</v>
      </c>
      <c r="B566" t="s">
        <v>1465</v>
      </c>
      <c r="D566" t="s">
        <v>409</v>
      </c>
      <c r="E566">
        <v>33802</v>
      </c>
      <c r="F566" t="s">
        <v>578</v>
      </c>
      <c r="G566">
        <v>1</v>
      </c>
      <c r="H566">
        <v>63.9</v>
      </c>
      <c r="I566">
        <v>19</v>
      </c>
      <c r="J566" t="s">
        <v>580</v>
      </c>
      <c r="K566">
        <v>0</v>
      </c>
    </row>
    <row r="567" spans="1:12">
      <c r="A567">
        <v>342751</v>
      </c>
      <c r="B567" t="s">
        <v>1465</v>
      </c>
      <c r="D567" t="s">
        <v>1832</v>
      </c>
      <c r="E567">
        <v>33701</v>
      </c>
      <c r="F567" t="s">
        <v>578</v>
      </c>
      <c r="G567">
        <v>1</v>
      </c>
      <c r="H567">
        <v>76.900000000000006</v>
      </c>
      <c r="I567">
        <v>14</v>
      </c>
      <c r="J567" t="s">
        <v>580</v>
      </c>
      <c r="K567">
        <v>0</v>
      </c>
    </row>
    <row r="568" spans="1:12">
      <c r="A568">
        <v>342745</v>
      </c>
      <c r="B568" t="s">
        <v>1465</v>
      </c>
      <c r="D568" t="s">
        <v>1608</v>
      </c>
      <c r="E568">
        <v>33602</v>
      </c>
      <c r="F568" t="s">
        <v>578</v>
      </c>
      <c r="G568">
        <v>7</v>
      </c>
      <c r="H568">
        <v>59.9</v>
      </c>
      <c r="I568">
        <v>3</v>
      </c>
      <c r="J568" t="s">
        <v>580</v>
      </c>
      <c r="K568">
        <v>0</v>
      </c>
    </row>
    <row r="569" spans="1:12">
      <c r="A569">
        <v>342746</v>
      </c>
      <c r="B569" t="s">
        <v>1465</v>
      </c>
      <c r="D569" t="s">
        <v>1609</v>
      </c>
      <c r="E569">
        <v>33602</v>
      </c>
      <c r="F569" t="s">
        <v>578</v>
      </c>
      <c r="G569">
        <v>9</v>
      </c>
      <c r="H569">
        <v>64.900000000000006</v>
      </c>
      <c r="I569">
        <v>2</v>
      </c>
      <c r="J569" t="s">
        <v>580</v>
      </c>
      <c r="K569">
        <v>0</v>
      </c>
    </row>
    <row r="570" spans="1:12">
      <c r="A570">
        <v>342759</v>
      </c>
      <c r="B570" t="s">
        <v>1465</v>
      </c>
      <c r="D570" t="s">
        <v>1838</v>
      </c>
      <c r="E570">
        <v>33602</v>
      </c>
      <c r="F570" t="s">
        <v>578</v>
      </c>
      <c r="G570">
        <v>6</v>
      </c>
      <c r="H570">
        <v>61.9</v>
      </c>
      <c r="I570">
        <v>2</v>
      </c>
      <c r="J570" t="s">
        <v>580</v>
      </c>
      <c r="K570">
        <v>0</v>
      </c>
    </row>
    <row r="571" spans="1:12">
      <c r="A571">
        <v>342760</v>
      </c>
      <c r="B571" t="s">
        <v>1465</v>
      </c>
      <c r="D571" t="s">
        <v>1839</v>
      </c>
      <c r="E571">
        <v>33602</v>
      </c>
      <c r="F571" t="s">
        <v>578</v>
      </c>
      <c r="G571">
        <v>5</v>
      </c>
      <c r="H571">
        <v>66.900000000000006</v>
      </c>
      <c r="I571">
        <v>3</v>
      </c>
      <c r="J571" t="s">
        <v>580</v>
      </c>
      <c r="K571">
        <v>0</v>
      </c>
    </row>
    <row r="572" spans="1:12">
      <c r="A572">
        <v>342747</v>
      </c>
      <c r="B572" t="s">
        <v>1465</v>
      </c>
      <c r="D572" t="s">
        <v>1610</v>
      </c>
      <c r="E572">
        <v>33602</v>
      </c>
      <c r="F572" t="s">
        <v>578</v>
      </c>
      <c r="G572">
        <v>3</v>
      </c>
      <c r="H572">
        <v>29.9</v>
      </c>
      <c r="I572">
        <v>5</v>
      </c>
      <c r="J572" t="s">
        <v>580</v>
      </c>
      <c r="K572">
        <v>0</v>
      </c>
    </row>
    <row r="573" spans="1:12">
      <c r="A573">
        <v>342758</v>
      </c>
      <c r="B573" t="s">
        <v>1465</v>
      </c>
      <c r="D573" t="s">
        <v>1837</v>
      </c>
      <c r="E573">
        <v>33602</v>
      </c>
      <c r="F573" t="s">
        <v>578</v>
      </c>
      <c r="G573">
        <v>2</v>
      </c>
      <c r="H573">
        <v>29.9</v>
      </c>
      <c r="I573">
        <v>3</v>
      </c>
      <c r="J573" t="s">
        <v>580</v>
      </c>
      <c r="K573">
        <v>3</v>
      </c>
      <c r="L573" s="145">
        <v>42061</v>
      </c>
    </row>
    <row r="574" spans="1:12">
      <c r="A574">
        <v>342739</v>
      </c>
      <c r="B574" t="s">
        <v>1465</v>
      </c>
      <c r="D574" t="s">
        <v>502</v>
      </c>
      <c r="E574">
        <v>33507</v>
      </c>
      <c r="F574" t="s">
        <v>578</v>
      </c>
      <c r="G574">
        <v>5</v>
      </c>
      <c r="H574">
        <v>22.5</v>
      </c>
      <c r="I574">
        <v>11</v>
      </c>
      <c r="J574" t="s">
        <v>580</v>
      </c>
      <c r="K574">
        <v>0</v>
      </c>
    </row>
    <row r="575" spans="1:12">
      <c r="A575">
        <v>342740</v>
      </c>
      <c r="B575" t="s">
        <v>1465</v>
      </c>
      <c r="D575" t="s">
        <v>503</v>
      </c>
      <c r="E575">
        <v>33507</v>
      </c>
      <c r="F575" t="s">
        <v>578</v>
      </c>
      <c r="G575">
        <v>3</v>
      </c>
      <c r="H575">
        <v>31.9</v>
      </c>
      <c r="I575">
        <v>5</v>
      </c>
      <c r="J575" t="s">
        <v>580</v>
      </c>
      <c r="K575">
        <v>0</v>
      </c>
    </row>
    <row r="576" spans="1:12">
      <c r="A576">
        <v>342741</v>
      </c>
      <c r="B576" t="s">
        <v>1465</v>
      </c>
      <c r="D576" t="s">
        <v>504</v>
      </c>
      <c r="E576">
        <v>33508</v>
      </c>
      <c r="F576" t="s">
        <v>578</v>
      </c>
      <c r="G576">
        <v>5</v>
      </c>
      <c r="H576">
        <v>26.9</v>
      </c>
      <c r="I576">
        <v>10</v>
      </c>
      <c r="J576" t="s">
        <v>580</v>
      </c>
      <c r="K576">
        <v>0</v>
      </c>
    </row>
    <row r="577" spans="1:12">
      <c r="A577">
        <v>342742</v>
      </c>
      <c r="B577" t="s">
        <v>1465</v>
      </c>
      <c r="D577" t="s">
        <v>1607</v>
      </c>
      <c r="E577">
        <v>33508</v>
      </c>
      <c r="F577" t="s">
        <v>578</v>
      </c>
      <c r="G577">
        <v>3</v>
      </c>
      <c r="H577">
        <v>36.9</v>
      </c>
      <c r="I577">
        <v>10</v>
      </c>
      <c r="J577" t="s">
        <v>580</v>
      </c>
      <c r="K577">
        <v>0</v>
      </c>
    </row>
    <row r="578" spans="1:12">
      <c r="A578">
        <v>342752</v>
      </c>
      <c r="B578" t="s">
        <v>1465</v>
      </c>
      <c r="D578" t="s">
        <v>1833</v>
      </c>
      <c r="E578">
        <v>33507</v>
      </c>
      <c r="F578" t="s">
        <v>578</v>
      </c>
      <c r="G578">
        <v>4</v>
      </c>
      <c r="H578">
        <v>23.9</v>
      </c>
      <c r="I578">
        <v>3</v>
      </c>
      <c r="J578" t="s">
        <v>580</v>
      </c>
      <c r="K578">
        <v>1</v>
      </c>
      <c r="L578" s="145">
        <v>42061</v>
      </c>
    </row>
    <row r="579" spans="1:12">
      <c r="A579">
        <v>342753</v>
      </c>
      <c r="B579" t="s">
        <v>1465</v>
      </c>
      <c r="D579" t="s">
        <v>1834</v>
      </c>
      <c r="E579">
        <v>33507</v>
      </c>
      <c r="F579" t="s">
        <v>578</v>
      </c>
      <c r="G579">
        <v>2</v>
      </c>
      <c r="H579">
        <v>33.9</v>
      </c>
      <c r="I579">
        <v>4</v>
      </c>
      <c r="J579" t="s">
        <v>580</v>
      </c>
      <c r="K579">
        <v>9</v>
      </c>
      <c r="L579" s="145">
        <v>42068</v>
      </c>
    </row>
    <row r="580" spans="1:12">
      <c r="A580">
        <v>342754</v>
      </c>
      <c r="B580" t="s">
        <v>1465</v>
      </c>
      <c r="D580" t="s">
        <v>1835</v>
      </c>
      <c r="E580">
        <v>33508</v>
      </c>
      <c r="F580" t="s">
        <v>578</v>
      </c>
      <c r="G580">
        <v>4</v>
      </c>
      <c r="H580">
        <v>28.9</v>
      </c>
      <c r="I580">
        <v>2</v>
      </c>
      <c r="J580" t="s">
        <v>580</v>
      </c>
      <c r="K580">
        <v>9</v>
      </c>
      <c r="L580" s="145">
        <v>42068</v>
      </c>
    </row>
    <row r="581" spans="1:12">
      <c r="A581">
        <v>342755</v>
      </c>
      <c r="B581" t="s">
        <v>1465</v>
      </c>
      <c r="D581" t="s">
        <v>1836</v>
      </c>
      <c r="E581">
        <v>33508</v>
      </c>
      <c r="F581" t="s">
        <v>578</v>
      </c>
      <c r="G581">
        <v>2</v>
      </c>
      <c r="H581">
        <v>38.9</v>
      </c>
      <c r="I581">
        <v>5</v>
      </c>
      <c r="J581" t="s">
        <v>580</v>
      </c>
      <c r="K581">
        <v>9</v>
      </c>
      <c r="L581" s="145">
        <v>42068</v>
      </c>
    </row>
    <row r="582" spans="1:12">
      <c r="A582">
        <v>342767</v>
      </c>
      <c r="B582" t="s">
        <v>1465</v>
      </c>
      <c r="D582" t="s">
        <v>1675</v>
      </c>
      <c r="E582">
        <v>33506</v>
      </c>
      <c r="F582" t="s">
        <v>578</v>
      </c>
      <c r="G582">
        <v>2</v>
      </c>
      <c r="H582">
        <v>11.9</v>
      </c>
      <c r="I582">
        <v>3</v>
      </c>
      <c r="J582" t="s">
        <v>580</v>
      </c>
      <c r="K582">
        <v>9</v>
      </c>
      <c r="L582" s="145">
        <v>42068</v>
      </c>
    </row>
    <row r="583" spans="1:12">
      <c r="A583">
        <v>342768</v>
      </c>
      <c r="B583" t="s">
        <v>1465</v>
      </c>
      <c r="D583" t="s">
        <v>1676</v>
      </c>
      <c r="E583">
        <v>33506</v>
      </c>
      <c r="F583" t="s">
        <v>578</v>
      </c>
      <c r="G583">
        <v>1</v>
      </c>
      <c r="H583">
        <v>12.9</v>
      </c>
      <c r="I583">
        <v>11</v>
      </c>
      <c r="J583" t="s">
        <v>580</v>
      </c>
      <c r="K583">
        <v>0</v>
      </c>
    </row>
    <row r="584" spans="1:12">
      <c r="A584">
        <v>342743</v>
      </c>
      <c r="B584" t="s">
        <v>1465</v>
      </c>
      <c r="D584" t="s">
        <v>516</v>
      </c>
      <c r="E584">
        <v>33506</v>
      </c>
      <c r="F584" t="s">
        <v>578</v>
      </c>
      <c r="G584">
        <v>5</v>
      </c>
      <c r="H584">
        <v>14.9</v>
      </c>
      <c r="I584">
        <v>7</v>
      </c>
      <c r="J584" t="s">
        <v>580</v>
      </c>
      <c r="K584">
        <v>1</v>
      </c>
      <c r="L584" s="145">
        <v>42061</v>
      </c>
    </row>
    <row r="585" spans="1:12">
      <c r="A585">
        <v>342743</v>
      </c>
      <c r="B585" t="s">
        <v>1465</v>
      </c>
      <c r="D585" t="s">
        <v>516</v>
      </c>
      <c r="E585">
        <v>33505</v>
      </c>
      <c r="F585" t="s">
        <v>578</v>
      </c>
      <c r="G585">
        <v>5</v>
      </c>
      <c r="H585">
        <v>14.9</v>
      </c>
      <c r="I585">
        <v>7</v>
      </c>
      <c r="J585" t="s">
        <v>580</v>
      </c>
      <c r="K585">
        <v>1</v>
      </c>
      <c r="L585" s="145">
        <v>42061</v>
      </c>
    </row>
    <row r="586" spans="1:12">
      <c r="A586">
        <v>342744</v>
      </c>
      <c r="B586" t="s">
        <v>1465</v>
      </c>
      <c r="D586" t="s">
        <v>517</v>
      </c>
      <c r="E586">
        <v>33506</v>
      </c>
      <c r="F586" t="s">
        <v>578</v>
      </c>
      <c r="G586">
        <v>3</v>
      </c>
      <c r="H586">
        <v>20.9</v>
      </c>
      <c r="I586">
        <v>8</v>
      </c>
      <c r="J586" t="s">
        <v>580</v>
      </c>
      <c r="K586">
        <v>8</v>
      </c>
      <c r="L586" s="145">
        <v>42068</v>
      </c>
    </row>
    <row r="587" spans="1:12">
      <c r="A587">
        <v>342744</v>
      </c>
      <c r="B587" t="s">
        <v>1465</v>
      </c>
      <c r="D587" t="s">
        <v>517</v>
      </c>
      <c r="E587">
        <v>33505</v>
      </c>
      <c r="F587" t="s">
        <v>578</v>
      </c>
      <c r="G587">
        <v>3</v>
      </c>
      <c r="H587">
        <v>20.9</v>
      </c>
      <c r="I587">
        <v>8</v>
      </c>
      <c r="J587" t="s">
        <v>580</v>
      </c>
      <c r="K587">
        <v>8</v>
      </c>
      <c r="L587" s="145">
        <v>42068</v>
      </c>
    </row>
    <row r="588" spans="1:12">
      <c r="A588">
        <v>342756</v>
      </c>
      <c r="B588" t="s">
        <v>1465</v>
      </c>
      <c r="D588" t="s">
        <v>518</v>
      </c>
      <c r="E588">
        <v>33506</v>
      </c>
      <c r="F588" t="s">
        <v>578</v>
      </c>
      <c r="G588">
        <v>4</v>
      </c>
      <c r="H588">
        <v>15.9</v>
      </c>
      <c r="I588">
        <v>4</v>
      </c>
      <c r="J588" t="s">
        <v>580</v>
      </c>
      <c r="K588">
        <v>8</v>
      </c>
      <c r="L588" s="145">
        <v>42047</v>
      </c>
    </row>
    <row r="589" spans="1:12">
      <c r="A589">
        <v>342756</v>
      </c>
      <c r="B589" t="s">
        <v>1465</v>
      </c>
      <c r="D589" t="s">
        <v>518</v>
      </c>
      <c r="E589">
        <v>33505</v>
      </c>
      <c r="F589" t="s">
        <v>578</v>
      </c>
      <c r="G589">
        <v>4</v>
      </c>
      <c r="H589">
        <v>15.9</v>
      </c>
      <c r="I589">
        <v>4</v>
      </c>
      <c r="J589" t="s">
        <v>580</v>
      </c>
      <c r="K589">
        <v>8</v>
      </c>
      <c r="L589" s="145">
        <v>42047</v>
      </c>
    </row>
    <row r="590" spans="1:12">
      <c r="A590">
        <v>342757</v>
      </c>
      <c r="B590" t="s">
        <v>1465</v>
      </c>
      <c r="D590" t="s">
        <v>519</v>
      </c>
      <c r="E590">
        <v>33505</v>
      </c>
      <c r="F590" t="s">
        <v>578</v>
      </c>
      <c r="G590">
        <v>2</v>
      </c>
      <c r="H590">
        <v>21.9</v>
      </c>
      <c r="I590">
        <v>5</v>
      </c>
      <c r="J590" t="s">
        <v>580</v>
      </c>
      <c r="K590">
        <v>3</v>
      </c>
      <c r="L590" s="145">
        <v>42061</v>
      </c>
    </row>
    <row r="591" spans="1:12">
      <c r="A591">
        <v>342722</v>
      </c>
      <c r="B591" t="s">
        <v>1465</v>
      </c>
      <c r="D591" t="s">
        <v>1199</v>
      </c>
      <c r="E591">
        <v>33602</v>
      </c>
      <c r="F591" t="s">
        <v>578</v>
      </c>
      <c r="G591">
        <v>8</v>
      </c>
      <c r="H591">
        <v>48</v>
      </c>
      <c r="I591">
        <v>9</v>
      </c>
      <c r="J591" t="s">
        <v>520</v>
      </c>
      <c r="K591">
        <v>8</v>
      </c>
      <c r="L591" s="145">
        <v>42068</v>
      </c>
    </row>
    <row r="592" spans="1:12">
      <c r="A592">
        <v>342723</v>
      </c>
      <c r="B592" t="s">
        <v>1465</v>
      </c>
      <c r="D592" t="s">
        <v>1200</v>
      </c>
      <c r="E592">
        <v>33505</v>
      </c>
      <c r="F592" t="s">
        <v>578</v>
      </c>
      <c r="G592">
        <v>1</v>
      </c>
      <c r="H592">
        <v>10.9</v>
      </c>
      <c r="I592">
        <v>15</v>
      </c>
      <c r="J592" t="s">
        <v>520</v>
      </c>
      <c r="K592">
        <v>10</v>
      </c>
      <c r="L592" s="145">
        <v>42068</v>
      </c>
    </row>
    <row r="593" spans="1:12">
      <c r="A593">
        <v>342724</v>
      </c>
      <c r="B593" t="s">
        <v>1465</v>
      </c>
      <c r="D593" t="s">
        <v>1201</v>
      </c>
      <c r="E593">
        <v>33602</v>
      </c>
      <c r="F593" t="s">
        <v>578</v>
      </c>
      <c r="G593">
        <v>1</v>
      </c>
      <c r="H593">
        <v>29.9</v>
      </c>
      <c r="I593">
        <v>7</v>
      </c>
      <c r="J593" t="s">
        <v>520</v>
      </c>
      <c r="K593">
        <v>0</v>
      </c>
    </row>
    <row r="594" spans="1:12">
      <c r="A594">
        <v>342725</v>
      </c>
      <c r="B594" t="s">
        <v>1465</v>
      </c>
      <c r="D594" t="s">
        <v>1202</v>
      </c>
      <c r="E594">
        <v>33507</v>
      </c>
      <c r="F594" t="s">
        <v>578</v>
      </c>
      <c r="G594">
        <v>1</v>
      </c>
      <c r="H594">
        <v>19.899999999999999</v>
      </c>
      <c r="I594">
        <v>8</v>
      </c>
      <c r="J594" t="s">
        <v>520</v>
      </c>
      <c r="K594">
        <v>10</v>
      </c>
      <c r="L594" s="145">
        <v>42068</v>
      </c>
    </row>
    <row r="595" spans="1:12">
      <c r="A595">
        <v>342726</v>
      </c>
      <c r="B595" t="s">
        <v>1465</v>
      </c>
      <c r="D595" t="s">
        <v>1203</v>
      </c>
      <c r="E595">
        <v>33508</v>
      </c>
      <c r="F595" t="s">
        <v>578</v>
      </c>
      <c r="G595">
        <v>1</v>
      </c>
      <c r="H595">
        <v>24.9</v>
      </c>
      <c r="I595">
        <v>13</v>
      </c>
      <c r="J595" t="s">
        <v>520</v>
      </c>
      <c r="K595">
        <v>0</v>
      </c>
    </row>
    <row r="596" spans="1:12">
      <c r="A596">
        <v>342727</v>
      </c>
      <c r="B596" t="s">
        <v>1465</v>
      </c>
      <c r="D596" t="s">
        <v>1849</v>
      </c>
      <c r="E596">
        <v>33602</v>
      </c>
      <c r="F596" t="s">
        <v>578</v>
      </c>
      <c r="G596">
        <v>4</v>
      </c>
      <c r="H596">
        <v>17.899999999999999</v>
      </c>
      <c r="I596">
        <v>7</v>
      </c>
      <c r="J596" t="s">
        <v>520</v>
      </c>
      <c r="K596">
        <v>0</v>
      </c>
    </row>
    <row r="597" spans="1:12">
      <c r="A597">
        <v>342729</v>
      </c>
      <c r="B597" t="s">
        <v>1465</v>
      </c>
      <c r="D597" t="s">
        <v>1598</v>
      </c>
      <c r="E597">
        <v>33503</v>
      </c>
      <c r="F597" t="s">
        <v>578</v>
      </c>
      <c r="G597">
        <v>2</v>
      </c>
      <c r="H597">
        <v>3.95</v>
      </c>
      <c r="I597">
        <v>7</v>
      </c>
      <c r="J597" t="s">
        <v>580</v>
      </c>
      <c r="K597">
        <v>0</v>
      </c>
    </row>
    <row r="598" spans="1:12">
      <c r="A598">
        <v>342730</v>
      </c>
      <c r="B598" t="s">
        <v>1465</v>
      </c>
      <c r="D598" t="s">
        <v>1599</v>
      </c>
      <c r="E598">
        <v>33503</v>
      </c>
      <c r="F598" t="s">
        <v>578</v>
      </c>
      <c r="G598">
        <v>1</v>
      </c>
      <c r="H598">
        <v>8.5</v>
      </c>
      <c r="I598">
        <v>11</v>
      </c>
      <c r="J598" t="s">
        <v>580</v>
      </c>
      <c r="K598">
        <v>0</v>
      </c>
    </row>
    <row r="599" spans="1:12">
      <c r="A599">
        <v>380004</v>
      </c>
      <c r="B599" t="s">
        <v>1465</v>
      </c>
      <c r="D599" t="s">
        <v>412</v>
      </c>
      <c r="E599">
        <v>34213</v>
      </c>
      <c r="F599" t="s">
        <v>578</v>
      </c>
      <c r="G599">
        <v>1</v>
      </c>
      <c r="H599">
        <v>7.35</v>
      </c>
      <c r="I599">
        <v>104</v>
      </c>
      <c r="J599" t="s">
        <v>445</v>
      </c>
      <c r="K599">
        <v>0</v>
      </c>
    </row>
    <row r="600" spans="1:12">
      <c r="A600">
        <v>387332</v>
      </c>
      <c r="B600" t="s">
        <v>1465</v>
      </c>
      <c r="D600" t="s">
        <v>1695</v>
      </c>
      <c r="E600">
        <v>34205</v>
      </c>
      <c r="F600" t="s">
        <v>578</v>
      </c>
      <c r="G600">
        <v>1</v>
      </c>
      <c r="H600">
        <v>4.75</v>
      </c>
      <c r="I600">
        <v>254</v>
      </c>
      <c r="J600" t="s">
        <v>445</v>
      </c>
      <c r="K600">
        <v>0</v>
      </c>
    </row>
    <row r="601" spans="1:12">
      <c r="A601">
        <v>387334</v>
      </c>
      <c r="B601" t="s">
        <v>1465</v>
      </c>
      <c r="D601" t="s">
        <v>1696</v>
      </c>
      <c r="E601">
        <v>34206</v>
      </c>
      <c r="F601" t="s">
        <v>578</v>
      </c>
      <c r="G601">
        <v>1</v>
      </c>
      <c r="H601">
        <v>5.75</v>
      </c>
      <c r="I601">
        <v>101</v>
      </c>
      <c r="J601" t="s">
        <v>445</v>
      </c>
      <c r="K601">
        <v>120</v>
      </c>
      <c r="L601" s="145">
        <v>42059</v>
      </c>
    </row>
    <row r="602" spans="1:12">
      <c r="A602">
        <v>387336</v>
      </c>
      <c r="B602" t="s">
        <v>1465</v>
      </c>
      <c r="D602" t="s">
        <v>1697</v>
      </c>
      <c r="E602">
        <v>34207</v>
      </c>
      <c r="F602" t="s">
        <v>578</v>
      </c>
      <c r="G602">
        <v>1</v>
      </c>
      <c r="H602">
        <v>6.75</v>
      </c>
      <c r="I602">
        <v>18</v>
      </c>
      <c r="J602" t="s">
        <v>445</v>
      </c>
      <c r="K602">
        <v>80</v>
      </c>
      <c r="L602" s="145">
        <v>42059</v>
      </c>
    </row>
    <row r="603" spans="1:12">
      <c r="A603">
        <v>380398</v>
      </c>
      <c r="B603" t="s">
        <v>1465</v>
      </c>
      <c r="D603" t="s">
        <v>351</v>
      </c>
      <c r="E603">
        <v>34208</v>
      </c>
      <c r="F603" t="s">
        <v>578</v>
      </c>
      <c r="G603">
        <v>1</v>
      </c>
      <c r="H603">
        <v>8.75</v>
      </c>
      <c r="I603">
        <v>20</v>
      </c>
      <c r="J603" t="s">
        <v>445</v>
      </c>
      <c r="K603">
        <v>80</v>
      </c>
      <c r="L603" s="145">
        <v>42059</v>
      </c>
    </row>
    <row r="604" spans="1:12">
      <c r="A604">
        <v>380007</v>
      </c>
      <c r="B604" t="s">
        <v>1465</v>
      </c>
      <c r="D604" t="s">
        <v>413</v>
      </c>
      <c r="E604">
        <v>34214</v>
      </c>
      <c r="F604" t="s">
        <v>578</v>
      </c>
      <c r="G604">
        <v>1</v>
      </c>
      <c r="H604">
        <v>8.35</v>
      </c>
      <c r="I604">
        <v>72</v>
      </c>
      <c r="J604" t="s">
        <v>445</v>
      </c>
      <c r="K604">
        <v>108</v>
      </c>
      <c r="L604" s="145">
        <v>42073</v>
      </c>
    </row>
    <row r="605" spans="1:12">
      <c r="A605">
        <v>380008</v>
      </c>
      <c r="B605" t="s">
        <v>1465</v>
      </c>
      <c r="D605" t="s">
        <v>1867</v>
      </c>
      <c r="E605">
        <v>34215</v>
      </c>
      <c r="F605" t="s">
        <v>578</v>
      </c>
      <c r="G605">
        <v>1</v>
      </c>
      <c r="H605">
        <v>10.45</v>
      </c>
      <c r="I605">
        <v>76</v>
      </c>
      <c r="J605" t="s">
        <v>445</v>
      </c>
      <c r="K605">
        <v>0</v>
      </c>
    </row>
    <row r="606" spans="1:12">
      <c r="A606">
        <v>382558</v>
      </c>
      <c r="B606" t="s">
        <v>1465</v>
      </c>
      <c r="D606" t="s">
        <v>352</v>
      </c>
      <c r="E606">
        <v>34220</v>
      </c>
      <c r="F606" t="s">
        <v>578</v>
      </c>
      <c r="G606">
        <v>1</v>
      </c>
      <c r="H606">
        <v>11.3</v>
      </c>
      <c r="I606">
        <v>115</v>
      </c>
      <c r="J606" t="s">
        <v>445</v>
      </c>
      <c r="K606">
        <v>0</v>
      </c>
    </row>
    <row r="607" spans="1:12">
      <c r="A607">
        <v>382559</v>
      </c>
      <c r="B607" t="s">
        <v>1465</v>
      </c>
      <c r="D607" t="s">
        <v>1439</v>
      </c>
      <c r="E607">
        <v>34221</v>
      </c>
      <c r="F607" t="s">
        <v>578</v>
      </c>
      <c r="G607">
        <v>1</v>
      </c>
      <c r="H607">
        <v>12.8</v>
      </c>
      <c r="I607">
        <v>70</v>
      </c>
      <c r="J607" t="s">
        <v>445</v>
      </c>
      <c r="K607">
        <v>0</v>
      </c>
    </row>
    <row r="608" spans="1:12">
      <c r="A608">
        <v>382560</v>
      </c>
      <c r="B608" t="s">
        <v>1465</v>
      </c>
      <c r="D608" t="s">
        <v>1440</v>
      </c>
      <c r="E608">
        <v>34222</v>
      </c>
      <c r="F608" t="s">
        <v>578</v>
      </c>
      <c r="G608">
        <v>1</v>
      </c>
      <c r="H608">
        <v>11.3</v>
      </c>
      <c r="I608">
        <v>128</v>
      </c>
      <c r="J608" t="s">
        <v>445</v>
      </c>
      <c r="K608">
        <v>0</v>
      </c>
    </row>
    <row r="609" spans="1:12">
      <c r="A609">
        <v>382561</v>
      </c>
      <c r="B609" t="s">
        <v>1465</v>
      </c>
      <c r="D609" t="s">
        <v>1564</v>
      </c>
      <c r="E609">
        <v>34231</v>
      </c>
      <c r="F609" t="s">
        <v>578</v>
      </c>
      <c r="G609">
        <v>1</v>
      </c>
      <c r="H609">
        <v>12.8</v>
      </c>
      <c r="I609">
        <v>10</v>
      </c>
      <c r="J609" t="s">
        <v>445</v>
      </c>
      <c r="K609">
        <v>80</v>
      </c>
      <c r="L609" s="145">
        <v>42080</v>
      </c>
    </row>
    <row r="610" spans="1:12">
      <c r="A610">
        <v>382562</v>
      </c>
      <c r="B610" t="s">
        <v>1465</v>
      </c>
      <c r="D610" t="s">
        <v>1565</v>
      </c>
      <c r="E610">
        <v>34230</v>
      </c>
      <c r="F610" t="s">
        <v>578</v>
      </c>
      <c r="G610">
        <v>1</v>
      </c>
      <c r="H610">
        <v>11.3</v>
      </c>
      <c r="I610">
        <v>34</v>
      </c>
      <c r="J610" t="s">
        <v>445</v>
      </c>
      <c r="K610">
        <v>0</v>
      </c>
    </row>
    <row r="611" spans="1:12">
      <c r="A611">
        <v>382563</v>
      </c>
      <c r="B611" t="s">
        <v>1465</v>
      </c>
      <c r="D611" t="s">
        <v>1569</v>
      </c>
      <c r="E611">
        <v>34223</v>
      </c>
      <c r="F611" t="s">
        <v>578</v>
      </c>
      <c r="G611">
        <v>1</v>
      </c>
      <c r="H611">
        <v>12.8</v>
      </c>
      <c r="I611">
        <v>39</v>
      </c>
      <c r="J611" t="s">
        <v>445</v>
      </c>
      <c r="K611">
        <v>0</v>
      </c>
    </row>
    <row r="612" spans="1:12">
      <c r="A612">
        <v>382564</v>
      </c>
      <c r="B612" t="s">
        <v>1465</v>
      </c>
      <c r="D612" t="s">
        <v>1693</v>
      </c>
      <c r="E612">
        <v>34228</v>
      </c>
      <c r="F612" t="s">
        <v>578</v>
      </c>
      <c r="G612">
        <v>1</v>
      </c>
      <c r="H612">
        <v>11.3</v>
      </c>
      <c r="I612">
        <v>30</v>
      </c>
      <c r="J612" t="s">
        <v>445</v>
      </c>
      <c r="K612">
        <v>0</v>
      </c>
    </row>
    <row r="613" spans="1:12">
      <c r="A613">
        <v>382565</v>
      </c>
      <c r="B613" t="s">
        <v>1465</v>
      </c>
      <c r="D613" t="s">
        <v>1694</v>
      </c>
      <c r="E613">
        <v>34229</v>
      </c>
      <c r="F613" t="s">
        <v>578</v>
      </c>
      <c r="G613">
        <v>1</v>
      </c>
      <c r="H613">
        <v>12.8</v>
      </c>
      <c r="I613">
        <v>58</v>
      </c>
      <c r="J613" t="s">
        <v>445</v>
      </c>
      <c r="K613">
        <v>0</v>
      </c>
    </row>
    <row r="614" spans="1:12">
      <c r="A614">
        <v>380360</v>
      </c>
      <c r="B614" t="s">
        <v>1465</v>
      </c>
      <c r="D614" t="s">
        <v>1897</v>
      </c>
      <c r="E614">
        <v>34234</v>
      </c>
      <c r="F614" t="s">
        <v>578</v>
      </c>
      <c r="G614">
        <v>1</v>
      </c>
      <c r="H614">
        <v>6.45</v>
      </c>
      <c r="I614">
        <v>223</v>
      </c>
      <c r="J614" t="s">
        <v>580</v>
      </c>
      <c r="K614">
        <v>0</v>
      </c>
    </row>
    <row r="615" spans="1:12">
      <c r="A615">
        <v>380361</v>
      </c>
      <c r="B615" t="s">
        <v>1465</v>
      </c>
      <c r="D615" t="s">
        <v>1898</v>
      </c>
      <c r="E615">
        <v>34235</v>
      </c>
      <c r="F615" t="s">
        <v>578</v>
      </c>
      <c r="G615">
        <v>1</v>
      </c>
      <c r="H615">
        <v>9.8000000000000007</v>
      </c>
      <c r="I615">
        <v>14</v>
      </c>
      <c r="J615" t="s">
        <v>580</v>
      </c>
      <c r="K615">
        <v>168</v>
      </c>
      <c r="L615" s="145">
        <v>42061</v>
      </c>
    </row>
    <row r="616" spans="1:12">
      <c r="A616">
        <v>380362</v>
      </c>
      <c r="B616" t="s">
        <v>1465</v>
      </c>
      <c r="D616" t="s">
        <v>982</v>
      </c>
      <c r="E616">
        <v>34236</v>
      </c>
      <c r="F616" t="s">
        <v>578</v>
      </c>
      <c r="G616">
        <v>1</v>
      </c>
      <c r="H616">
        <v>11</v>
      </c>
      <c r="I616">
        <v>129</v>
      </c>
      <c r="J616" t="s">
        <v>580</v>
      </c>
      <c r="K616">
        <v>0</v>
      </c>
    </row>
    <row r="617" spans="1:12">
      <c r="A617">
        <v>380363</v>
      </c>
      <c r="B617" t="s">
        <v>1465</v>
      </c>
      <c r="D617" t="s">
        <v>983</v>
      </c>
      <c r="E617">
        <v>34237</v>
      </c>
      <c r="F617" t="s">
        <v>578</v>
      </c>
      <c r="G617">
        <v>1</v>
      </c>
      <c r="H617">
        <v>13.3</v>
      </c>
      <c r="I617">
        <v>18</v>
      </c>
      <c r="J617" t="s">
        <v>580</v>
      </c>
      <c r="K617">
        <v>112</v>
      </c>
      <c r="L617" s="145">
        <v>42054</v>
      </c>
    </row>
    <row r="618" spans="1:12">
      <c r="A618">
        <v>382613</v>
      </c>
      <c r="B618" t="s">
        <v>1465</v>
      </c>
      <c r="D618" t="s">
        <v>1002</v>
      </c>
      <c r="E618">
        <v>34242</v>
      </c>
      <c r="F618" t="s">
        <v>578</v>
      </c>
      <c r="G618">
        <v>1</v>
      </c>
      <c r="H618">
        <v>8.4</v>
      </c>
      <c r="I618">
        <v>135</v>
      </c>
      <c r="J618" t="s">
        <v>521</v>
      </c>
      <c r="K618">
        <v>0</v>
      </c>
    </row>
    <row r="619" spans="1:12">
      <c r="A619">
        <v>382614</v>
      </c>
      <c r="B619" t="s">
        <v>1465</v>
      </c>
      <c r="D619" t="s">
        <v>1003</v>
      </c>
      <c r="E619">
        <v>34243</v>
      </c>
      <c r="F619" t="s">
        <v>578</v>
      </c>
      <c r="G619">
        <v>1</v>
      </c>
      <c r="H619">
        <v>11.9</v>
      </c>
      <c r="I619">
        <v>36</v>
      </c>
      <c r="J619" t="s">
        <v>521</v>
      </c>
      <c r="K619">
        <v>84</v>
      </c>
      <c r="L619" s="145">
        <v>42073</v>
      </c>
    </row>
    <row r="620" spans="1:12">
      <c r="A620">
        <v>382615</v>
      </c>
      <c r="B620" t="s">
        <v>1465</v>
      </c>
      <c r="D620" t="s">
        <v>1004</v>
      </c>
      <c r="E620">
        <v>34244</v>
      </c>
      <c r="F620" t="s">
        <v>578</v>
      </c>
      <c r="G620">
        <v>1</v>
      </c>
      <c r="H620">
        <v>15.9</v>
      </c>
      <c r="I620">
        <v>38</v>
      </c>
      <c r="J620" t="s">
        <v>521</v>
      </c>
      <c r="K620">
        <v>84</v>
      </c>
      <c r="L620" s="145">
        <v>42073</v>
      </c>
    </row>
    <row r="621" spans="1:12">
      <c r="A621">
        <v>382616</v>
      </c>
      <c r="B621" t="s">
        <v>1465</v>
      </c>
      <c r="D621" t="s">
        <v>1005</v>
      </c>
      <c r="E621">
        <v>34245</v>
      </c>
      <c r="F621" t="s">
        <v>578</v>
      </c>
      <c r="G621">
        <v>1</v>
      </c>
      <c r="H621">
        <v>17.899999999999999</v>
      </c>
      <c r="I621">
        <v>40</v>
      </c>
      <c r="J621" t="s">
        <v>521</v>
      </c>
      <c r="K621">
        <v>0</v>
      </c>
    </row>
    <row r="622" spans="1:12">
      <c r="A622">
        <v>382650</v>
      </c>
      <c r="B622" t="s">
        <v>1791</v>
      </c>
      <c r="C622" s="145">
        <v>41095</v>
      </c>
      <c r="D622" t="s">
        <v>1174</v>
      </c>
      <c r="E622">
        <v>34251</v>
      </c>
      <c r="F622" t="s">
        <v>578</v>
      </c>
      <c r="G622">
        <v>2</v>
      </c>
      <c r="H622">
        <v>24.9</v>
      </c>
      <c r="I622">
        <v>1</v>
      </c>
      <c r="J622" t="s">
        <v>580</v>
      </c>
      <c r="K622">
        <v>0</v>
      </c>
    </row>
    <row r="623" spans="1:12">
      <c r="A623">
        <v>382765</v>
      </c>
      <c r="B623" t="s">
        <v>1465</v>
      </c>
      <c r="D623" t="s">
        <v>611</v>
      </c>
      <c r="E623">
        <v>34251</v>
      </c>
      <c r="F623" t="s">
        <v>578</v>
      </c>
      <c r="G623">
        <v>1</v>
      </c>
      <c r="H623">
        <v>25.5</v>
      </c>
      <c r="I623">
        <v>44</v>
      </c>
      <c r="J623" t="s">
        <v>580</v>
      </c>
      <c r="K623">
        <v>0</v>
      </c>
    </row>
    <row r="624" spans="1:12">
      <c r="A624">
        <v>382767</v>
      </c>
      <c r="B624" t="s">
        <v>1465</v>
      </c>
      <c r="D624" t="s">
        <v>987</v>
      </c>
      <c r="E624">
        <v>34249</v>
      </c>
      <c r="F624" t="s">
        <v>578</v>
      </c>
      <c r="G624">
        <v>1</v>
      </c>
      <c r="H624">
        <v>35.9</v>
      </c>
      <c r="I624">
        <v>33</v>
      </c>
      <c r="J624" t="s">
        <v>580</v>
      </c>
      <c r="K624">
        <v>0</v>
      </c>
    </row>
    <row r="625" spans="1:11">
      <c r="A625">
        <v>382766</v>
      </c>
      <c r="B625" t="s">
        <v>1465</v>
      </c>
      <c r="D625" t="s">
        <v>522</v>
      </c>
      <c r="E625">
        <v>34250</v>
      </c>
      <c r="F625" t="s">
        <v>578</v>
      </c>
      <c r="G625">
        <v>1</v>
      </c>
      <c r="H625">
        <v>31.9</v>
      </c>
      <c r="I625">
        <v>32</v>
      </c>
      <c r="J625" t="s">
        <v>580</v>
      </c>
      <c r="K625">
        <v>0</v>
      </c>
    </row>
    <row r="626" spans="1:11">
      <c r="A626">
        <v>382368</v>
      </c>
      <c r="B626" t="s">
        <v>1465</v>
      </c>
      <c r="D626" t="s">
        <v>984</v>
      </c>
      <c r="E626">
        <v>34307</v>
      </c>
      <c r="F626" t="s">
        <v>578</v>
      </c>
      <c r="G626">
        <v>2</v>
      </c>
      <c r="H626">
        <v>15.95</v>
      </c>
      <c r="I626">
        <v>35</v>
      </c>
      <c r="J626" t="s">
        <v>580</v>
      </c>
      <c r="K626">
        <v>0</v>
      </c>
    </row>
    <row r="627" spans="1:11">
      <c r="A627">
        <v>382601</v>
      </c>
      <c r="B627" t="s">
        <v>1465</v>
      </c>
      <c r="D627" t="s">
        <v>985</v>
      </c>
      <c r="E627">
        <v>34307</v>
      </c>
      <c r="F627" t="s">
        <v>578</v>
      </c>
      <c r="G627">
        <v>3</v>
      </c>
      <c r="H627">
        <v>11.9</v>
      </c>
      <c r="I627">
        <v>41</v>
      </c>
      <c r="J627" t="s">
        <v>580</v>
      </c>
      <c r="K627">
        <v>0</v>
      </c>
    </row>
    <row r="628" spans="1:11">
      <c r="A628">
        <v>382603</v>
      </c>
      <c r="B628" t="s">
        <v>1465</v>
      </c>
      <c r="D628" t="s">
        <v>986</v>
      </c>
      <c r="E628">
        <v>34307</v>
      </c>
      <c r="F628" t="s">
        <v>578</v>
      </c>
      <c r="G628">
        <v>1</v>
      </c>
      <c r="H628">
        <v>15.95</v>
      </c>
      <c r="I628">
        <v>30</v>
      </c>
      <c r="J628" t="s">
        <v>580</v>
      </c>
      <c r="K628">
        <v>0</v>
      </c>
    </row>
    <row r="629" spans="1:11">
      <c r="A629">
        <v>387425</v>
      </c>
      <c r="B629" t="s">
        <v>1465</v>
      </c>
      <c r="D629" t="s">
        <v>1007</v>
      </c>
      <c r="E629">
        <v>34305</v>
      </c>
      <c r="F629" t="s">
        <v>578</v>
      </c>
      <c r="G629">
        <v>3</v>
      </c>
      <c r="H629">
        <v>8.1</v>
      </c>
      <c r="I629">
        <v>52</v>
      </c>
      <c r="J629" t="s">
        <v>523</v>
      </c>
      <c r="K629">
        <v>0</v>
      </c>
    </row>
    <row r="630" spans="1:11">
      <c r="A630">
        <v>387435</v>
      </c>
      <c r="B630" t="s">
        <v>1465</v>
      </c>
      <c r="D630" t="s">
        <v>1008</v>
      </c>
      <c r="E630">
        <v>34305</v>
      </c>
      <c r="F630" t="s">
        <v>578</v>
      </c>
      <c r="G630">
        <v>2</v>
      </c>
      <c r="H630">
        <v>8.1</v>
      </c>
      <c r="I630">
        <v>46</v>
      </c>
      <c r="J630" t="s">
        <v>523</v>
      </c>
      <c r="K630">
        <v>0</v>
      </c>
    </row>
    <row r="631" spans="1:11">
      <c r="A631">
        <v>380445</v>
      </c>
      <c r="B631" t="s">
        <v>1465</v>
      </c>
      <c r="D631" t="s">
        <v>1006</v>
      </c>
      <c r="E631">
        <v>34305</v>
      </c>
      <c r="F631" t="s">
        <v>578</v>
      </c>
      <c r="G631">
        <v>1</v>
      </c>
      <c r="H631">
        <v>5.5</v>
      </c>
      <c r="I631">
        <v>22</v>
      </c>
      <c r="J631" t="s">
        <v>523</v>
      </c>
      <c r="K631">
        <v>0</v>
      </c>
    </row>
    <row r="632" spans="1:11">
      <c r="A632">
        <v>384302</v>
      </c>
      <c r="B632" t="s">
        <v>1465</v>
      </c>
      <c r="D632" t="s">
        <v>1603</v>
      </c>
      <c r="E632">
        <v>34305</v>
      </c>
      <c r="F632" t="s">
        <v>578</v>
      </c>
      <c r="G632">
        <v>5</v>
      </c>
      <c r="H632">
        <v>3.5</v>
      </c>
      <c r="I632">
        <v>156</v>
      </c>
      <c r="J632" t="s">
        <v>524</v>
      </c>
      <c r="K632">
        <v>0</v>
      </c>
    </row>
    <row r="633" spans="1:11">
      <c r="A633">
        <v>384296</v>
      </c>
      <c r="B633" t="s">
        <v>1465</v>
      </c>
      <c r="D633" t="s">
        <v>460</v>
      </c>
      <c r="E633">
        <v>34305</v>
      </c>
      <c r="F633" t="s">
        <v>578</v>
      </c>
      <c r="G633">
        <v>4</v>
      </c>
      <c r="H633">
        <v>5.95</v>
      </c>
      <c r="I633">
        <v>98</v>
      </c>
      <c r="J633" t="s">
        <v>524</v>
      </c>
      <c r="K633">
        <v>0</v>
      </c>
    </row>
    <row r="634" spans="1:11">
      <c r="A634">
        <v>360689</v>
      </c>
      <c r="B634" t="s">
        <v>1465</v>
      </c>
      <c r="D634" t="s">
        <v>1242</v>
      </c>
      <c r="E634">
        <v>34306</v>
      </c>
      <c r="F634" t="s">
        <v>578</v>
      </c>
      <c r="G634">
        <v>2</v>
      </c>
      <c r="H634">
        <v>6.3</v>
      </c>
      <c r="I634">
        <v>1</v>
      </c>
      <c r="J634" t="s">
        <v>580</v>
      </c>
      <c r="K634">
        <v>0</v>
      </c>
    </row>
    <row r="635" spans="1:11">
      <c r="A635">
        <v>360738</v>
      </c>
      <c r="B635" t="s">
        <v>1904</v>
      </c>
      <c r="D635" t="s">
        <v>1243</v>
      </c>
      <c r="E635">
        <v>34306</v>
      </c>
      <c r="F635" t="s">
        <v>578</v>
      </c>
      <c r="G635">
        <v>1</v>
      </c>
      <c r="H635">
        <v>6.55</v>
      </c>
      <c r="I635">
        <v>20</v>
      </c>
      <c r="J635" t="s">
        <v>580</v>
      </c>
      <c r="K635">
        <v>0</v>
      </c>
    </row>
    <row r="636" spans="1:11">
      <c r="A636">
        <v>360641</v>
      </c>
      <c r="B636" t="s">
        <v>1465</v>
      </c>
      <c r="D636" t="s">
        <v>1240</v>
      </c>
      <c r="E636">
        <v>34306</v>
      </c>
      <c r="F636" t="s">
        <v>578</v>
      </c>
      <c r="G636">
        <v>3</v>
      </c>
      <c r="H636">
        <v>6.6</v>
      </c>
      <c r="I636">
        <v>9</v>
      </c>
      <c r="J636" t="s">
        <v>580</v>
      </c>
      <c r="K636">
        <v>0</v>
      </c>
    </row>
    <row r="637" spans="1:11">
      <c r="A637">
        <v>360780</v>
      </c>
      <c r="B637" t="s">
        <v>1465</v>
      </c>
      <c r="D637" t="s">
        <v>1732</v>
      </c>
      <c r="E637">
        <v>34306</v>
      </c>
      <c r="F637" t="s">
        <v>578</v>
      </c>
      <c r="G637">
        <v>6</v>
      </c>
      <c r="H637">
        <v>5.25</v>
      </c>
      <c r="I637">
        <v>17</v>
      </c>
      <c r="J637" t="s">
        <v>580</v>
      </c>
      <c r="K637">
        <v>0</v>
      </c>
    </row>
    <row r="638" spans="1:11">
      <c r="A638">
        <v>360637</v>
      </c>
      <c r="B638" t="s">
        <v>1465</v>
      </c>
      <c r="D638" t="s">
        <v>1715</v>
      </c>
      <c r="E638">
        <v>34306</v>
      </c>
      <c r="F638" t="s">
        <v>578</v>
      </c>
      <c r="G638">
        <v>11</v>
      </c>
      <c r="H638">
        <v>5.25</v>
      </c>
      <c r="I638">
        <v>20</v>
      </c>
      <c r="J638" t="s">
        <v>580</v>
      </c>
      <c r="K638">
        <v>0</v>
      </c>
    </row>
    <row r="639" spans="1:11">
      <c r="A639">
        <v>360639</v>
      </c>
      <c r="B639" t="s">
        <v>1465</v>
      </c>
      <c r="D639" t="s">
        <v>1238</v>
      </c>
      <c r="E639">
        <v>34306</v>
      </c>
      <c r="F639" t="s">
        <v>578</v>
      </c>
      <c r="G639">
        <v>12</v>
      </c>
      <c r="H639">
        <v>5.25</v>
      </c>
      <c r="I639">
        <v>19</v>
      </c>
      <c r="J639" t="s">
        <v>580</v>
      </c>
      <c r="K639">
        <v>0</v>
      </c>
    </row>
    <row r="640" spans="1:11">
      <c r="A640">
        <v>360640</v>
      </c>
      <c r="B640" t="s">
        <v>1465</v>
      </c>
      <c r="D640" t="s">
        <v>1239</v>
      </c>
      <c r="E640">
        <v>34306</v>
      </c>
      <c r="F640" t="s">
        <v>578</v>
      </c>
      <c r="G640">
        <v>13</v>
      </c>
      <c r="H640">
        <v>5.25</v>
      </c>
      <c r="I640">
        <v>8</v>
      </c>
      <c r="J640" t="s">
        <v>580</v>
      </c>
      <c r="K640">
        <v>0</v>
      </c>
    </row>
    <row r="641" spans="1:12">
      <c r="A641">
        <v>360691</v>
      </c>
      <c r="B641" t="s">
        <v>1465</v>
      </c>
      <c r="D641" t="s">
        <v>525</v>
      </c>
      <c r="E641">
        <v>34306</v>
      </c>
      <c r="F641" t="s">
        <v>578</v>
      </c>
      <c r="G641">
        <v>8</v>
      </c>
      <c r="H641">
        <v>5.3</v>
      </c>
      <c r="I641">
        <v>9</v>
      </c>
      <c r="J641" t="s">
        <v>580</v>
      </c>
      <c r="K641">
        <v>0</v>
      </c>
    </row>
    <row r="642" spans="1:12">
      <c r="A642">
        <v>360692</v>
      </c>
      <c r="B642" t="s">
        <v>1465</v>
      </c>
      <c r="D642" t="s">
        <v>1646</v>
      </c>
      <c r="E642">
        <v>34306</v>
      </c>
      <c r="F642" t="s">
        <v>578</v>
      </c>
      <c r="G642">
        <v>9</v>
      </c>
      <c r="H642">
        <v>5.25</v>
      </c>
      <c r="I642">
        <v>13</v>
      </c>
      <c r="J642" t="s">
        <v>580</v>
      </c>
      <c r="K642">
        <v>0</v>
      </c>
    </row>
    <row r="643" spans="1:12">
      <c r="A643">
        <v>360693</v>
      </c>
      <c r="B643" t="s">
        <v>1465</v>
      </c>
      <c r="D643" t="s">
        <v>1149</v>
      </c>
      <c r="E643">
        <v>34306</v>
      </c>
      <c r="F643" t="s">
        <v>578</v>
      </c>
      <c r="G643">
        <v>10</v>
      </c>
      <c r="H643">
        <v>5.25</v>
      </c>
      <c r="I643">
        <v>25</v>
      </c>
      <c r="J643" t="s">
        <v>580</v>
      </c>
      <c r="K643">
        <v>0</v>
      </c>
    </row>
    <row r="644" spans="1:12">
      <c r="A644">
        <v>360642</v>
      </c>
      <c r="B644" t="s">
        <v>1465</v>
      </c>
      <c r="D644" t="s">
        <v>1241</v>
      </c>
      <c r="E644">
        <v>34306</v>
      </c>
      <c r="F644" t="s">
        <v>578</v>
      </c>
      <c r="G644">
        <v>4</v>
      </c>
      <c r="H644">
        <v>5.9</v>
      </c>
      <c r="I644">
        <v>22</v>
      </c>
      <c r="J644" t="s">
        <v>580</v>
      </c>
      <c r="K644">
        <v>0</v>
      </c>
    </row>
    <row r="645" spans="1:12">
      <c r="A645">
        <v>301193</v>
      </c>
      <c r="B645" t="s">
        <v>1465</v>
      </c>
      <c r="D645" t="s">
        <v>1870</v>
      </c>
      <c r="E645">
        <v>34306</v>
      </c>
      <c r="F645" t="s">
        <v>578</v>
      </c>
      <c r="G645">
        <v>5</v>
      </c>
      <c r="H645">
        <v>8.9</v>
      </c>
      <c r="I645">
        <v>3</v>
      </c>
      <c r="J645" t="s">
        <v>580</v>
      </c>
      <c r="K645">
        <v>0</v>
      </c>
    </row>
    <row r="646" spans="1:12">
      <c r="A646">
        <v>360690</v>
      </c>
      <c r="B646" t="s">
        <v>1465</v>
      </c>
      <c r="D646" t="s">
        <v>1150</v>
      </c>
      <c r="E646">
        <v>34306</v>
      </c>
      <c r="F646" t="s">
        <v>578</v>
      </c>
      <c r="G646">
        <v>7</v>
      </c>
      <c r="H646">
        <v>15.6</v>
      </c>
      <c r="I646">
        <v>38</v>
      </c>
      <c r="J646" t="s">
        <v>580</v>
      </c>
      <c r="K646">
        <v>0</v>
      </c>
    </row>
    <row r="647" spans="1:12">
      <c r="A647">
        <v>372452</v>
      </c>
      <c r="B647" t="s">
        <v>1465</v>
      </c>
      <c r="D647" t="s">
        <v>1107</v>
      </c>
      <c r="E647">
        <v>35419</v>
      </c>
      <c r="F647" t="s">
        <v>578</v>
      </c>
      <c r="G647">
        <v>1</v>
      </c>
      <c r="H647">
        <v>11.2</v>
      </c>
      <c r="I647">
        <v>87</v>
      </c>
      <c r="J647" t="s">
        <v>1151</v>
      </c>
      <c r="K647">
        <v>0</v>
      </c>
    </row>
    <row r="648" spans="1:12">
      <c r="A648">
        <v>372467</v>
      </c>
      <c r="B648" t="s">
        <v>1465</v>
      </c>
      <c r="D648" t="s">
        <v>1152</v>
      </c>
      <c r="E648">
        <v>35423</v>
      </c>
      <c r="F648" t="s">
        <v>578</v>
      </c>
      <c r="G648">
        <v>1</v>
      </c>
      <c r="H648">
        <v>10.199999999999999</v>
      </c>
      <c r="I648">
        <v>240</v>
      </c>
      <c r="J648" t="s">
        <v>1151</v>
      </c>
      <c r="K648">
        <v>0</v>
      </c>
    </row>
    <row r="649" spans="1:12">
      <c r="A649">
        <v>372703</v>
      </c>
      <c r="B649" t="s">
        <v>1465</v>
      </c>
      <c r="D649" t="s">
        <v>992</v>
      </c>
      <c r="E649">
        <v>35418</v>
      </c>
      <c r="F649" t="s">
        <v>578</v>
      </c>
      <c r="G649">
        <v>1</v>
      </c>
      <c r="H649">
        <v>21.63</v>
      </c>
      <c r="I649">
        <v>52</v>
      </c>
      <c r="J649" t="s">
        <v>1153</v>
      </c>
      <c r="K649">
        <v>0</v>
      </c>
    </row>
    <row r="650" spans="1:12">
      <c r="A650">
        <v>372740</v>
      </c>
      <c r="B650" t="s">
        <v>1529</v>
      </c>
      <c r="D650" t="s">
        <v>1531</v>
      </c>
      <c r="E650">
        <v>35422</v>
      </c>
      <c r="F650" t="s">
        <v>578</v>
      </c>
      <c r="G650">
        <v>1</v>
      </c>
      <c r="H650">
        <v>13.54</v>
      </c>
      <c r="I650">
        <v>59</v>
      </c>
      <c r="J650" t="s">
        <v>1154</v>
      </c>
      <c r="K650">
        <v>0</v>
      </c>
    </row>
    <row r="651" spans="1:12">
      <c r="A651">
        <v>300642</v>
      </c>
      <c r="B651" t="s">
        <v>1109</v>
      </c>
      <c r="D651" t="s">
        <v>543</v>
      </c>
      <c r="E651">
        <v>35414</v>
      </c>
      <c r="F651" t="s">
        <v>578</v>
      </c>
      <c r="G651">
        <v>7</v>
      </c>
      <c r="H651">
        <v>11.53</v>
      </c>
      <c r="I651">
        <v>91</v>
      </c>
      <c r="J651" t="s">
        <v>1154</v>
      </c>
      <c r="K651">
        <v>0</v>
      </c>
    </row>
    <row r="652" spans="1:12">
      <c r="A652">
        <v>372508</v>
      </c>
      <c r="B652" t="s">
        <v>1791</v>
      </c>
      <c r="C652" s="145">
        <v>41583</v>
      </c>
      <c r="D652" t="s">
        <v>1613</v>
      </c>
      <c r="E652">
        <v>35414</v>
      </c>
      <c r="F652" t="s">
        <v>578</v>
      </c>
      <c r="G652">
        <v>1</v>
      </c>
      <c r="H652">
        <v>14.9</v>
      </c>
      <c r="I652">
        <v>8</v>
      </c>
      <c r="J652" t="s">
        <v>1155</v>
      </c>
      <c r="K652">
        <v>0</v>
      </c>
    </row>
    <row r="653" spans="1:12">
      <c r="A653">
        <v>372518</v>
      </c>
      <c r="B653" t="s">
        <v>1465</v>
      </c>
      <c r="D653" t="s">
        <v>353</v>
      </c>
      <c r="E653">
        <v>35302</v>
      </c>
      <c r="F653" t="s">
        <v>578</v>
      </c>
      <c r="G653">
        <v>1</v>
      </c>
      <c r="H653">
        <v>27.69</v>
      </c>
      <c r="I653">
        <v>119</v>
      </c>
      <c r="J653" t="s">
        <v>1156</v>
      </c>
      <c r="K653">
        <v>0</v>
      </c>
    </row>
    <row r="654" spans="1:12">
      <c r="A654">
        <v>372519</v>
      </c>
      <c r="B654" t="s">
        <v>1465</v>
      </c>
      <c r="D654" t="s">
        <v>617</v>
      </c>
      <c r="E654">
        <v>35302</v>
      </c>
      <c r="F654" t="s">
        <v>578</v>
      </c>
      <c r="G654">
        <v>3</v>
      </c>
      <c r="H654">
        <v>32.4</v>
      </c>
      <c r="I654">
        <v>96</v>
      </c>
      <c r="J654" t="s">
        <v>1156</v>
      </c>
      <c r="K654">
        <v>60</v>
      </c>
      <c r="L654" s="145">
        <v>42080</v>
      </c>
    </row>
    <row r="655" spans="1:12">
      <c r="A655">
        <v>372543</v>
      </c>
      <c r="B655" t="s">
        <v>1465</v>
      </c>
      <c r="D655" t="s">
        <v>1882</v>
      </c>
      <c r="E655">
        <v>35302</v>
      </c>
      <c r="F655" t="s">
        <v>578</v>
      </c>
      <c r="G655">
        <v>4</v>
      </c>
      <c r="H655">
        <v>20.399999999999999</v>
      </c>
      <c r="I655">
        <v>61</v>
      </c>
      <c r="J655" t="s">
        <v>1156</v>
      </c>
      <c r="K655">
        <v>0</v>
      </c>
    </row>
    <row r="656" spans="1:12">
      <c r="A656">
        <v>372542</v>
      </c>
      <c r="B656" t="s">
        <v>1465</v>
      </c>
      <c r="D656" t="s">
        <v>1881</v>
      </c>
      <c r="E656">
        <v>35302</v>
      </c>
      <c r="F656" t="s">
        <v>578</v>
      </c>
      <c r="G656">
        <v>2</v>
      </c>
      <c r="H656">
        <v>10.27</v>
      </c>
      <c r="I656">
        <v>211</v>
      </c>
      <c r="J656" t="s">
        <v>1156</v>
      </c>
      <c r="K656">
        <v>60</v>
      </c>
      <c r="L656" s="145">
        <v>42080</v>
      </c>
    </row>
    <row r="657" spans="1:12">
      <c r="A657">
        <v>372548</v>
      </c>
      <c r="B657" t="s">
        <v>1791</v>
      </c>
      <c r="C657" s="145">
        <v>41703</v>
      </c>
      <c r="D657" t="s">
        <v>1887</v>
      </c>
      <c r="E657">
        <v>35414</v>
      </c>
      <c r="F657" t="s">
        <v>578</v>
      </c>
      <c r="G657">
        <v>5</v>
      </c>
      <c r="H657">
        <v>42.71</v>
      </c>
      <c r="I657">
        <v>19</v>
      </c>
      <c r="J657" t="s">
        <v>1156</v>
      </c>
      <c r="K657">
        <v>0</v>
      </c>
    </row>
    <row r="658" spans="1:12">
      <c r="A658">
        <v>372539</v>
      </c>
      <c r="B658" t="s">
        <v>1465</v>
      </c>
      <c r="D658" t="s">
        <v>624</v>
      </c>
      <c r="E658">
        <v>35203</v>
      </c>
      <c r="F658" t="s">
        <v>578</v>
      </c>
      <c r="G658">
        <v>3</v>
      </c>
      <c r="H658">
        <v>27.6</v>
      </c>
      <c r="I658">
        <v>70</v>
      </c>
      <c r="J658" t="s">
        <v>1156</v>
      </c>
      <c r="K658">
        <v>0</v>
      </c>
    </row>
    <row r="659" spans="1:12">
      <c r="A659">
        <v>372537</v>
      </c>
      <c r="B659" t="s">
        <v>1465</v>
      </c>
      <c r="D659" t="s">
        <v>623</v>
      </c>
      <c r="E659">
        <v>35202</v>
      </c>
      <c r="F659" t="s">
        <v>578</v>
      </c>
      <c r="G659">
        <v>2</v>
      </c>
      <c r="H659">
        <v>31</v>
      </c>
      <c r="I659">
        <v>31</v>
      </c>
      <c r="J659" t="s">
        <v>1156</v>
      </c>
      <c r="K659">
        <v>8</v>
      </c>
      <c r="L659" s="145">
        <v>42080</v>
      </c>
    </row>
    <row r="660" spans="1:12">
      <c r="A660">
        <v>372540</v>
      </c>
      <c r="B660" t="s">
        <v>1465</v>
      </c>
      <c r="D660" t="s">
        <v>625</v>
      </c>
      <c r="E660">
        <v>35203</v>
      </c>
      <c r="F660" t="s">
        <v>578</v>
      </c>
      <c r="G660">
        <v>1</v>
      </c>
      <c r="H660">
        <v>27.6</v>
      </c>
      <c r="I660">
        <v>47</v>
      </c>
      <c r="J660" t="s">
        <v>1156</v>
      </c>
      <c r="K660">
        <v>0</v>
      </c>
    </row>
    <row r="661" spans="1:12">
      <c r="A661">
        <v>372545</v>
      </c>
      <c r="B661" t="s">
        <v>1465</v>
      </c>
      <c r="D661" t="s">
        <v>1884</v>
      </c>
      <c r="E661">
        <v>35202</v>
      </c>
      <c r="F661" t="s">
        <v>578</v>
      </c>
      <c r="G661">
        <v>3</v>
      </c>
      <c r="H661">
        <v>31</v>
      </c>
      <c r="I661">
        <v>17</v>
      </c>
      <c r="J661" t="s">
        <v>1156</v>
      </c>
      <c r="K661">
        <v>8</v>
      </c>
      <c r="L661" s="145">
        <v>42080</v>
      </c>
    </row>
    <row r="662" spans="1:12">
      <c r="A662">
        <v>372546</v>
      </c>
      <c r="B662" t="s">
        <v>1465</v>
      </c>
      <c r="D662" t="s">
        <v>1885</v>
      </c>
      <c r="E662">
        <v>35202</v>
      </c>
      <c r="F662" t="s">
        <v>578</v>
      </c>
      <c r="G662">
        <v>5</v>
      </c>
      <c r="H662">
        <v>31</v>
      </c>
      <c r="I662">
        <v>6</v>
      </c>
      <c r="J662" t="s">
        <v>1156</v>
      </c>
      <c r="K662">
        <v>56</v>
      </c>
      <c r="L662" s="145">
        <v>42080</v>
      </c>
    </row>
    <row r="663" spans="1:12">
      <c r="A663">
        <v>372547</v>
      </c>
      <c r="B663" t="s">
        <v>1465</v>
      </c>
      <c r="D663" t="s">
        <v>1886</v>
      </c>
      <c r="E663">
        <v>35202</v>
      </c>
      <c r="F663" t="s">
        <v>578</v>
      </c>
      <c r="G663">
        <v>4</v>
      </c>
      <c r="H663">
        <v>31</v>
      </c>
      <c r="I663">
        <v>29</v>
      </c>
      <c r="J663" t="s">
        <v>1156</v>
      </c>
      <c r="K663">
        <v>8</v>
      </c>
      <c r="L663" s="145">
        <v>42080</v>
      </c>
    </row>
    <row r="664" spans="1:12">
      <c r="A664">
        <v>372549</v>
      </c>
      <c r="B664" t="s">
        <v>1791</v>
      </c>
      <c r="C664" s="145">
        <v>41887</v>
      </c>
      <c r="D664" t="s">
        <v>1888</v>
      </c>
      <c r="E664">
        <v>35414</v>
      </c>
      <c r="F664" t="s">
        <v>578</v>
      </c>
      <c r="G664">
        <v>4</v>
      </c>
      <c r="H664">
        <v>42.71</v>
      </c>
      <c r="I664">
        <v>21</v>
      </c>
      <c r="J664" t="s">
        <v>1156</v>
      </c>
      <c r="K664">
        <v>0</v>
      </c>
    </row>
    <row r="665" spans="1:12">
      <c r="A665">
        <v>372550</v>
      </c>
      <c r="B665" t="s">
        <v>1791</v>
      </c>
      <c r="C665" s="145">
        <v>41856</v>
      </c>
      <c r="D665" t="s">
        <v>1889</v>
      </c>
      <c r="E665">
        <v>35414</v>
      </c>
      <c r="F665" t="s">
        <v>578</v>
      </c>
      <c r="G665">
        <v>2</v>
      </c>
      <c r="H665">
        <v>48.75</v>
      </c>
      <c r="I665">
        <v>5</v>
      </c>
      <c r="J665" t="s">
        <v>1156</v>
      </c>
      <c r="K665">
        <v>0</v>
      </c>
    </row>
    <row r="666" spans="1:12">
      <c r="A666">
        <v>372553</v>
      </c>
      <c r="B666" t="s">
        <v>1465</v>
      </c>
      <c r="D666" t="s">
        <v>1754</v>
      </c>
      <c r="E666">
        <v>35102</v>
      </c>
      <c r="F666" t="s">
        <v>578</v>
      </c>
      <c r="G666">
        <v>23</v>
      </c>
      <c r="H666">
        <v>31</v>
      </c>
      <c r="I666">
        <v>16</v>
      </c>
      <c r="J666" t="s">
        <v>580</v>
      </c>
      <c r="K666">
        <v>0</v>
      </c>
    </row>
    <row r="667" spans="1:12">
      <c r="A667">
        <v>372553</v>
      </c>
      <c r="B667" t="s">
        <v>1465</v>
      </c>
      <c r="D667" t="s">
        <v>1754</v>
      </c>
      <c r="E667">
        <v>35202</v>
      </c>
      <c r="F667" t="s">
        <v>578</v>
      </c>
      <c r="G667">
        <v>7</v>
      </c>
      <c r="H667">
        <v>31</v>
      </c>
      <c r="I667">
        <v>16</v>
      </c>
      <c r="J667" t="s">
        <v>580</v>
      </c>
      <c r="K667">
        <v>0</v>
      </c>
    </row>
    <row r="668" spans="1:12">
      <c r="A668">
        <v>372554</v>
      </c>
      <c r="B668" t="s">
        <v>1465</v>
      </c>
      <c r="D668" t="s">
        <v>1755</v>
      </c>
      <c r="E668">
        <v>35202</v>
      </c>
      <c r="F668" t="s">
        <v>578</v>
      </c>
      <c r="G668">
        <v>8</v>
      </c>
      <c r="H668">
        <v>31</v>
      </c>
      <c r="I668">
        <v>20</v>
      </c>
      <c r="J668" t="s">
        <v>580</v>
      </c>
      <c r="K668">
        <v>0</v>
      </c>
    </row>
    <row r="669" spans="1:12">
      <c r="A669">
        <v>372554</v>
      </c>
      <c r="B669" t="s">
        <v>1465</v>
      </c>
      <c r="D669" t="s">
        <v>1755</v>
      </c>
      <c r="E669">
        <v>35102</v>
      </c>
      <c r="F669" t="s">
        <v>578</v>
      </c>
      <c r="G669">
        <v>22</v>
      </c>
      <c r="H669">
        <v>31</v>
      </c>
      <c r="I669">
        <v>20</v>
      </c>
      <c r="J669" t="s">
        <v>580</v>
      </c>
      <c r="K669">
        <v>0</v>
      </c>
    </row>
    <row r="670" spans="1:12">
      <c r="A670">
        <v>372557</v>
      </c>
      <c r="B670" t="s">
        <v>1465</v>
      </c>
      <c r="D670" t="s">
        <v>223</v>
      </c>
      <c r="E670">
        <v>35202</v>
      </c>
      <c r="F670" t="s">
        <v>578</v>
      </c>
      <c r="G670">
        <v>1</v>
      </c>
      <c r="H670">
        <v>31</v>
      </c>
      <c r="I670">
        <v>37</v>
      </c>
      <c r="J670" t="s">
        <v>1156</v>
      </c>
      <c r="K670">
        <v>0</v>
      </c>
    </row>
    <row r="671" spans="1:12">
      <c r="A671">
        <v>372558</v>
      </c>
      <c r="B671" t="s">
        <v>1465</v>
      </c>
      <c r="D671" t="s">
        <v>224</v>
      </c>
      <c r="E671">
        <v>35202</v>
      </c>
      <c r="F671" t="s">
        <v>578</v>
      </c>
      <c r="G671">
        <v>6</v>
      </c>
      <c r="H671">
        <v>31</v>
      </c>
      <c r="I671">
        <v>54</v>
      </c>
      <c r="J671" t="s">
        <v>1156</v>
      </c>
      <c r="K671">
        <v>0</v>
      </c>
    </row>
    <row r="672" spans="1:12">
      <c r="A672">
        <v>372559</v>
      </c>
      <c r="B672" t="s">
        <v>1791</v>
      </c>
      <c r="C672" s="145">
        <v>42040</v>
      </c>
      <c r="D672" t="s">
        <v>424</v>
      </c>
      <c r="E672">
        <v>35414</v>
      </c>
      <c r="F672" t="s">
        <v>578</v>
      </c>
      <c r="G672">
        <v>6</v>
      </c>
      <c r="H672">
        <v>18.920000000000002</v>
      </c>
      <c r="I672">
        <v>-1</v>
      </c>
      <c r="J672" t="s">
        <v>1156</v>
      </c>
      <c r="K672">
        <v>0</v>
      </c>
    </row>
    <row r="673" spans="1:12">
      <c r="A673">
        <v>372526</v>
      </c>
      <c r="B673" t="s">
        <v>1465</v>
      </c>
      <c r="D673" t="s">
        <v>619</v>
      </c>
      <c r="E673">
        <v>35102</v>
      </c>
      <c r="F673" t="s">
        <v>578</v>
      </c>
      <c r="G673">
        <v>16</v>
      </c>
      <c r="H673">
        <v>3.85</v>
      </c>
      <c r="I673">
        <v>23</v>
      </c>
      <c r="J673" t="s">
        <v>1156</v>
      </c>
      <c r="K673">
        <v>70</v>
      </c>
      <c r="L673" s="145">
        <v>42080</v>
      </c>
    </row>
    <row r="674" spans="1:12">
      <c r="A674">
        <v>372525</v>
      </c>
      <c r="B674" t="s">
        <v>1465</v>
      </c>
      <c r="D674" t="s">
        <v>618</v>
      </c>
      <c r="E674">
        <v>35102</v>
      </c>
      <c r="F674" t="s">
        <v>578</v>
      </c>
      <c r="G674">
        <v>19</v>
      </c>
      <c r="H674">
        <v>3.85</v>
      </c>
      <c r="I674">
        <v>60</v>
      </c>
      <c r="J674" t="s">
        <v>1156</v>
      </c>
      <c r="K674">
        <v>30</v>
      </c>
      <c r="L674" s="145">
        <v>42080</v>
      </c>
    </row>
    <row r="675" spans="1:12">
      <c r="A675">
        <v>372527</v>
      </c>
      <c r="B675" t="s">
        <v>1465</v>
      </c>
      <c r="D675" t="s">
        <v>620</v>
      </c>
      <c r="E675">
        <v>35102</v>
      </c>
      <c r="F675" t="s">
        <v>578</v>
      </c>
      <c r="G675">
        <v>20</v>
      </c>
      <c r="H675">
        <v>3.57</v>
      </c>
      <c r="I675">
        <v>471</v>
      </c>
      <c r="J675" t="s">
        <v>1156</v>
      </c>
      <c r="K675">
        <v>300</v>
      </c>
      <c r="L675" s="145">
        <v>42080</v>
      </c>
    </row>
    <row r="676" spans="1:12">
      <c r="A676">
        <v>372528</v>
      </c>
      <c r="B676" t="s">
        <v>1465</v>
      </c>
      <c r="D676" t="s">
        <v>621</v>
      </c>
      <c r="E676">
        <v>35102</v>
      </c>
      <c r="F676" t="s">
        <v>578</v>
      </c>
      <c r="G676">
        <v>18</v>
      </c>
      <c r="H676">
        <v>5.95</v>
      </c>
      <c r="I676">
        <v>17</v>
      </c>
      <c r="J676" t="s">
        <v>1156</v>
      </c>
      <c r="K676">
        <v>20</v>
      </c>
      <c r="L676" s="145">
        <v>42080</v>
      </c>
    </row>
    <row r="677" spans="1:12">
      <c r="A677">
        <v>372529</v>
      </c>
      <c r="B677" t="s">
        <v>1465</v>
      </c>
      <c r="D677" t="s">
        <v>622</v>
      </c>
      <c r="E677">
        <v>35102</v>
      </c>
      <c r="F677" t="s">
        <v>578</v>
      </c>
      <c r="G677">
        <v>17</v>
      </c>
      <c r="H677">
        <v>3.85</v>
      </c>
      <c r="I677">
        <v>29</v>
      </c>
      <c r="J677" t="s">
        <v>1156</v>
      </c>
      <c r="K677">
        <v>30</v>
      </c>
      <c r="L677" s="145">
        <v>42080</v>
      </c>
    </row>
    <row r="678" spans="1:12">
      <c r="A678">
        <v>360770</v>
      </c>
      <c r="B678" t="s">
        <v>1465</v>
      </c>
      <c r="D678" t="s">
        <v>1914</v>
      </c>
      <c r="E678">
        <v>35415</v>
      </c>
      <c r="F678" t="s">
        <v>578</v>
      </c>
      <c r="G678">
        <v>1</v>
      </c>
      <c r="H678">
        <v>11.76</v>
      </c>
      <c r="I678">
        <v>89</v>
      </c>
      <c r="J678" t="s">
        <v>1157</v>
      </c>
      <c r="K678">
        <v>0</v>
      </c>
    </row>
    <row r="679" spans="1:12">
      <c r="A679">
        <v>360786</v>
      </c>
      <c r="B679" t="s">
        <v>1465</v>
      </c>
      <c r="D679" t="s">
        <v>1158</v>
      </c>
      <c r="E679">
        <v>35409</v>
      </c>
      <c r="F679" t="s">
        <v>578</v>
      </c>
      <c r="G679">
        <v>1</v>
      </c>
      <c r="H679">
        <v>14.4</v>
      </c>
      <c r="I679">
        <v>30</v>
      </c>
      <c r="J679" t="s">
        <v>1157</v>
      </c>
      <c r="K679">
        <v>65</v>
      </c>
      <c r="L679" s="145">
        <v>42068</v>
      </c>
    </row>
    <row r="680" spans="1:12">
      <c r="A680">
        <v>360787</v>
      </c>
      <c r="B680" t="s">
        <v>1465</v>
      </c>
      <c r="D680" t="s">
        <v>1159</v>
      </c>
      <c r="E680">
        <v>35405</v>
      </c>
      <c r="F680" t="s">
        <v>578</v>
      </c>
      <c r="G680">
        <v>1</v>
      </c>
      <c r="H680">
        <v>16.440000000000001</v>
      </c>
      <c r="I680">
        <v>97</v>
      </c>
      <c r="J680" t="s">
        <v>1157</v>
      </c>
      <c r="K680">
        <v>0</v>
      </c>
    </row>
    <row r="681" spans="1:12">
      <c r="A681">
        <v>360787</v>
      </c>
      <c r="B681" t="s">
        <v>1465</v>
      </c>
      <c r="D681" t="s">
        <v>1159</v>
      </c>
      <c r="E681">
        <v>35410</v>
      </c>
      <c r="F681" t="s">
        <v>578</v>
      </c>
      <c r="G681">
        <v>2</v>
      </c>
      <c r="H681">
        <v>16.440000000000001</v>
      </c>
      <c r="I681">
        <v>97</v>
      </c>
      <c r="J681" t="s">
        <v>1157</v>
      </c>
      <c r="K681">
        <v>0</v>
      </c>
    </row>
    <row r="682" spans="1:12">
      <c r="A682">
        <v>360785</v>
      </c>
      <c r="B682" t="s">
        <v>1465</v>
      </c>
      <c r="D682" t="s">
        <v>1160</v>
      </c>
      <c r="E682">
        <v>35410</v>
      </c>
      <c r="F682" t="s">
        <v>578</v>
      </c>
      <c r="G682">
        <v>1</v>
      </c>
      <c r="H682">
        <v>14.4</v>
      </c>
      <c r="I682">
        <v>46</v>
      </c>
      <c r="J682" t="s">
        <v>1157</v>
      </c>
      <c r="K682">
        <v>0</v>
      </c>
    </row>
    <row r="683" spans="1:12">
      <c r="A683">
        <v>360788</v>
      </c>
      <c r="B683" t="s">
        <v>1465</v>
      </c>
      <c r="D683" t="s">
        <v>1161</v>
      </c>
      <c r="E683">
        <v>35404</v>
      </c>
      <c r="F683" t="s">
        <v>578</v>
      </c>
      <c r="G683">
        <v>1</v>
      </c>
      <c r="H683">
        <v>16.440000000000001</v>
      </c>
      <c r="I683">
        <v>121</v>
      </c>
      <c r="J683" t="s">
        <v>1157</v>
      </c>
      <c r="K683">
        <v>0</v>
      </c>
    </row>
    <row r="684" spans="1:12">
      <c r="A684">
        <v>372605</v>
      </c>
      <c r="B684" t="s">
        <v>1791</v>
      </c>
      <c r="C684" s="145">
        <v>42009</v>
      </c>
      <c r="D684" t="s">
        <v>416</v>
      </c>
      <c r="E684">
        <v>35414</v>
      </c>
      <c r="F684" t="s">
        <v>578</v>
      </c>
      <c r="G684">
        <v>3</v>
      </c>
      <c r="H684">
        <v>9.36</v>
      </c>
      <c r="I684">
        <v>5</v>
      </c>
      <c r="J684" t="s">
        <v>1157</v>
      </c>
      <c r="K684">
        <v>0</v>
      </c>
    </row>
    <row r="685" spans="1:12">
      <c r="A685">
        <v>372343</v>
      </c>
      <c r="B685" t="s">
        <v>1465</v>
      </c>
      <c r="D685" t="s">
        <v>1916</v>
      </c>
      <c r="E685">
        <v>35102</v>
      </c>
      <c r="F685" t="s">
        <v>578</v>
      </c>
      <c r="G685">
        <v>7</v>
      </c>
      <c r="H685">
        <v>5</v>
      </c>
      <c r="I685">
        <v>24</v>
      </c>
      <c r="J685" t="s">
        <v>1157</v>
      </c>
      <c r="K685">
        <v>20</v>
      </c>
      <c r="L685" s="145">
        <v>42068</v>
      </c>
    </row>
    <row r="686" spans="1:12">
      <c r="A686">
        <v>372344</v>
      </c>
      <c r="B686" t="s">
        <v>1465</v>
      </c>
      <c r="D686" t="s">
        <v>1917</v>
      </c>
      <c r="E686">
        <v>35102</v>
      </c>
      <c r="F686" t="s">
        <v>578</v>
      </c>
      <c r="G686">
        <v>8</v>
      </c>
      <c r="H686">
        <v>5</v>
      </c>
      <c r="I686">
        <v>12</v>
      </c>
      <c r="J686" t="s">
        <v>1157</v>
      </c>
      <c r="K686">
        <v>20</v>
      </c>
      <c r="L686" s="145">
        <v>42068</v>
      </c>
    </row>
    <row r="687" spans="1:12">
      <c r="A687">
        <v>372459</v>
      </c>
      <c r="B687" t="s">
        <v>1465</v>
      </c>
      <c r="D687" t="s">
        <v>1918</v>
      </c>
      <c r="E687">
        <v>35102</v>
      </c>
      <c r="F687" t="s">
        <v>578</v>
      </c>
      <c r="G687">
        <v>9</v>
      </c>
      <c r="H687">
        <v>5</v>
      </c>
      <c r="I687">
        <v>73</v>
      </c>
      <c r="J687" t="s">
        <v>1157</v>
      </c>
      <c r="K687">
        <v>0</v>
      </c>
    </row>
    <row r="688" spans="1:12">
      <c r="A688">
        <v>372376</v>
      </c>
      <c r="B688" t="s">
        <v>1465</v>
      </c>
      <c r="D688" t="s">
        <v>1162</v>
      </c>
      <c r="E688">
        <v>35102</v>
      </c>
      <c r="F688" t="s">
        <v>578</v>
      </c>
      <c r="G688">
        <v>4</v>
      </c>
      <c r="H688">
        <v>5</v>
      </c>
      <c r="I688">
        <v>1</v>
      </c>
      <c r="J688" t="s">
        <v>1157</v>
      </c>
      <c r="K688">
        <v>40</v>
      </c>
      <c r="L688" s="145">
        <v>42068</v>
      </c>
    </row>
    <row r="689" spans="1:12">
      <c r="A689">
        <v>372385</v>
      </c>
      <c r="B689" t="s">
        <v>1465</v>
      </c>
      <c r="D689" t="s">
        <v>1163</v>
      </c>
      <c r="E689">
        <v>35102</v>
      </c>
      <c r="F689" t="s">
        <v>578</v>
      </c>
      <c r="G689">
        <v>2</v>
      </c>
      <c r="H689">
        <v>5</v>
      </c>
      <c r="I689">
        <v>104</v>
      </c>
      <c r="J689" t="s">
        <v>1157</v>
      </c>
      <c r="K689">
        <v>0</v>
      </c>
    </row>
    <row r="690" spans="1:12">
      <c r="A690">
        <v>372377</v>
      </c>
      <c r="B690" t="s">
        <v>1465</v>
      </c>
      <c r="D690" t="s">
        <v>1164</v>
      </c>
      <c r="E690">
        <v>35102</v>
      </c>
      <c r="F690" t="s">
        <v>578</v>
      </c>
      <c r="G690">
        <v>10</v>
      </c>
      <c r="H690">
        <v>5</v>
      </c>
      <c r="I690">
        <v>32</v>
      </c>
      <c r="J690" t="s">
        <v>1157</v>
      </c>
      <c r="K690">
        <v>0</v>
      </c>
    </row>
    <row r="691" spans="1:12">
      <c r="A691">
        <v>372386</v>
      </c>
      <c r="B691" t="s">
        <v>1465</v>
      </c>
      <c r="D691" t="s">
        <v>1042</v>
      </c>
      <c r="E691">
        <v>35102</v>
      </c>
      <c r="F691" t="s">
        <v>578</v>
      </c>
      <c r="G691">
        <v>3</v>
      </c>
      <c r="H691">
        <v>5</v>
      </c>
      <c r="I691">
        <v>65</v>
      </c>
      <c r="J691" t="s">
        <v>1157</v>
      </c>
      <c r="K691">
        <v>0</v>
      </c>
    </row>
    <row r="692" spans="1:12">
      <c r="A692">
        <v>372379</v>
      </c>
      <c r="B692" t="s">
        <v>1465</v>
      </c>
      <c r="D692" t="s">
        <v>1165</v>
      </c>
      <c r="E692">
        <v>35102</v>
      </c>
      <c r="F692" t="s">
        <v>578</v>
      </c>
      <c r="G692">
        <v>6</v>
      </c>
      <c r="H692">
        <v>5</v>
      </c>
      <c r="I692">
        <v>24</v>
      </c>
      <c r="J692" t="s">
        <v>1157</v>
      </c>
      <c r="K692">
        <v>0</v>
      </c>
    </row>
    <row r="693" spans="1:12">
      <c r="A693">
        <v>372387</v>
      </c>
      <c r="B693" t="s">
        <v>1465</v>
      </c>
      <c r="D693" t="s">
        <v>1043</v>
      </c>
      <c r="E693">
        <v>35102</v>
      </c>
      <c r="F693" t="s">
        <v>578</v>
      </c>
      <c r="G693">
        <v>1</v>
      </c>
      <c r="H693">
        <v>5</v>
      </c>
      <c r="I693">
        <v>115</v>
      </c>
      <c r="J693" t="s">
        <v>1157</v>
      </c>
      <c r="K693">
        <v>0</v>
      </c>
    </row>
    <row r="694" spans="1:12">
      <c r="A694">
        <v>372380</v>
      </c>
      <c r="B694" t="s">
        <v>1465</v>
      </c>
      <c r="D694" t="s">
        <v>1166</v>
      </c>
      <c r="E694">
        <v>35102</v>
      </c>
      <c r="F694" t="s">
        <v>578</v>
      </c>
      <c r="G694">
        <v>11</v>
      </c>
      <c r="H694">
        <v>5</v>
      </c>
      <c r="I694">
        <v>7</v>
      </c>
      <c r="J694" t="s">
        <v>1157</v>
      </c>
      <c r="K694">
        <v>20</v>
      </c>
      <c r="L694" s="145">
        <v>42068</v>
      </c>
    </row>
    <row r="695" spans="1:12">
      <c r="A695">
        <v>372388</v>
      </c>
      <c r="B695" t="s">
        <v>1465</v>
      </c>
      <c r="D695" t="s">
        <v>1139</v>
      </c>
      <c r="E695">
        <v>35102</v>
      </c>
      <c r="F695" t="s">
        <v>578</v>
      </c>
      <c r="G695">
        <v>14</v>
      </c>
      <c r="H695">
        <v>5</v>
      </c>
      <c r="I695">
        <v>58</v>
      </c>
      <c r="J695" t="s">
        <v>1157</v>
      </c>
      <c r="K695">
        <v>0</v>
      </c>
    </row>
    <row r="696" spans="1:12">
      <c r="A696">
        <v>372389</v>
      </c>
      <c r="B696" t="s">
        <v>1465</v>
      </c>
      <c r="D696" t="s">
        <v>1140</v>
      </c>
      <c r="E696">
        <v>35102</v>
      </c>
      <c r="F696" t="s">
        <v>578</v>
      </c>
      <c r="G696">
        <v>13</v>
      </c>
      <c r="H696">
        <v>5</v>
      </c>
      <c r="I696">
        <v>32</v>
      </c>
      <c r="J696" t="s">
        <v>1157</v>
      </c>
      <c r="K696">
        <v>0</v>
      </c>
    </row>
    <row r="697" spans="1:12">
      <c r="A697">
        <v>372390</v>
      </c>
      <c r="B697" t="s">
        <v>1465</v>
      </c>
      <c r="D697" t="s">
        <v>1141</v>
      </c>
      <c r="E697">
        <v>35102</v>
      </c>
      <c r="F697" t="s">
        <v>578</v>
      </c>
      <c r="G697">
        <v>15</v>
      </c>
      <c r="H697">
        <v>5</v>
      </c>
      <c r="I697">
        <v>55</v>
      </c>
      <c r="J697" t="s">
        <v>1157</v>
      </c>
      <c r="K697">
        <v>40</v>
      </c>
      <c r="L697" s="145">
        <v>42068</v>
      </c>
    </row>
    <row r="698" spans="1:12">
      <c r="A698">
        <v>372382</v>
      </c>
      <c r="B698" t="s">
        <v>1465</v>
      </c>
      <c r="D698" t="s">
        <v>1167</v>
      </c>
      <c r="E698">
        <v>35102</v>
      </c>
      <c r="F698" t="s">
        <v>578</v>
      </c>
      <c r="G698">
        <v>5</v>
      </c>
      <c r="H698">
        <v>5</v>
      </c>
      <c r="I698">
        <v>2</v>
      </c>
      <c r="J698" t="s">
        <v>1157</v>
      </c>
      <c r="K698">
        <v>30</v>
      </c>
      <c r="L698" s="145">
        <v>42068</v>
      </c>
    </row>
    <row r="699" spans="1:12">
      <c r="A699">
        <v>372383</v>
      </c>
      <c r="B699" t="s">
        <v>1465</v>
      </c>
      <c r="D699" t="s">
        <v>1168</v>
      </c>
      <c r="E699">
        <v>35102</v>
      </c>
      <c r="F699" t="s">
        <v>578</v>
      </c>
      <c r="G699">
        <v>12</v>
      </c>
      <c r="H699">
        <v>5</v>
      </c>
      <c r="I699">
        <v>15</v>
      </c>
      <c r="J699" t="s">
        <v>1157</v>
      </c>
      <c r="K699">
        <v>0</v>
      </c>
    </row>
    <row r="700" spans="1:12">
      <c r="A700">
        <v>301194</v>
      </c>
      <c r="B700" t="s">
        <v>1904</v>
      </c>
      <c r="D700" t="s">
        <v>1010</v>
      </c>
      <c r="E700">
        <v>35103</v>
      </c>
      <c r="F700" t="s">
        <v>578</v>
      </c>
      <c r="G700">
        <v>2</v>
      </c>
      <c r="H700">
        <v>4.5999999999999996</v>
      </c>
      <c r="I700">
        <v>251</v>
      </c>
      <c r="J700" t="s">
        <v>1169</v>
      </c>
      <c r="K700">
        <v>0</v>
      </c>
    </row>
    <row r="701" spans="1:12">
      <c r="A701">
        <v>301192</v>
      </c>
      <c r="B701" t="s">
        <v>1904</v>
      </c>
      <c r="D701" t="s">
        <v>1009</v>
      </c>
      <c r="E701">
        <v>35103</v>
      </c>
      <c r="F701" t="s">
        <v>578</v>
      </c>
      <c r="G701">
        <v>1</v>
      </c>
      <c r="H701">
        <v>4.5999999999999996</v>
      </c>
      <c r="I701">
        <v>199</v>
      </c>
      <c r="J701" t="s">
        <v>1169</v>
      </c>
      <c r="K701">
        <v>0</v>
      </c>
    </row>
    <row r="702" spans="1:12">
      <c r="A702">
        <v>332836</v>
      </c>
      <c r="B702" t="s">
        <v>1465</v>
      </c>
      <c r="D702" t="s">
        <v>1473</v>
      </c>
      <c r="E702">
        <v>32102</v>
      </c>
      <c r="F702" t="s">
        <v>578</v>
      </c>
      <c r="G702">
        <v>1</v>
      </c>
      <c r="H702">
        <v>1.6</v>
      </c>
      <c r="I702">
        <v>159</v>
      </c>
      <c r="J702" t="s">
        <v>1170</v>
      </c>
      <c r="K702">
        <v>0</v>
      </c>
    </row>
    <row r="703" spans="1:12">
      <c r="A703">
        <v>332684</v>
      </c>
      <c r="B703" t="s">
        <v>1465</v>
      </c>
      <c r="D703" t="s">
        <v>484</v>
      </c>
      <c r="E703">
        <v>32102</v>
      </c>
      <c r="F703" t="s">
        <v>578</v>
      </c>
      <c r="G703">
        <v>4</v>
      </c>
      <c r="H703">
        <v>1.8</v>
      </c>
      <c r="I703">
        <v>24</v>
      </c>
      <c r="J703" t="s">
        <v>1171</v>
      </c>
      <c r="K703">
        <v>40</v>
      </c>
      <c r="L703" s="145">
        <v>41922</v>
      </c>
    </row>
    <row r="704" spans="1:12">
      <c r="A704">
        <v>332831</v>
      </c>
      <c r="B704" t="s">
        <v>1465</v>
      </c>
      <c r="D704" t="s">
        <v>1468</v>
      </c>
      <c r="E704">
        <v>32102</v>
      </c>
      <c r="F704" t="s">
        <v>578</v>
      </c>
      <c r="G704">
        <v>2</v>
      </c>
      <c r="H704">
        <v>2</v>
      </c>
      <c r="I704">
        <v>383</v>
      </c>
      <c r="J704" t="s">
        <v>1170</v>
      </c>
      <c r="K704">
        <v>0</v>
      </c>
    </row>
    <row r="705" spans="1:12">
      <c r="A705">
        <v>332686</v>
      </c>
      <c r="B705" t="s">
        <v>1465</v>
      </c>
      <c r="D705" t="s">
        <v>485</v>
      </c>
      <c r="E705">
        <v>32102</v>
      </c>
      <c r="F705" t="s">
        <v>578</v>
      </c>
      <c r="G705">
        <v>5</v>
      </c>
      <c r="H705">
        <v>2.15</v>
      </c>
      <c r="I705">
        <v>257</v>
      </c>
      <c r="J705" t="s">
        <v>1171</v>
      </c>
      <c r="K705">
        <v>0</v>
      </c>
    </row>
    <row r="706" spans="1:12">
      <c r="A706">
        <v>330035</v>
      </c>
      <c r="B706" t="s">
        <v>1465</v>
      </c>
      <c r="D706" t="s">
        <v>473</v>
      </c>
      <c r="E706">
        <v>32102</v>
      </c>
      <c r="F706" t="s">
        <v>578</v>
      </c>
      <c r="G706">
        <v>6</v>
      </c>
      <c r="H706">
        <v>7.1</v>
      </c>
      <c r="I706">
        <v>18</v>
      </c>
      <c r="J706" t="s">
        <v>1171</v>
      </c>
      <c r="K706">
        <v>11</v>
      </c>
      <c r="L706" s="145">
        <v>41922</v>
      </c>
    </row>
    <row r="707" spans="1:12">
      <c r="A707">
        <v>330035</v>
      </c>
      <c r="B707" t="s">
        <v>1465</v>
      </c>
      <c r="D707" t="s">
        <v>473</v>
      </c>
      <c r="E707">
        <v>32102</v>
      </c>
      <c r="F707" t="s">
        <v>578</v>
      </c>
      <c r="G707">
        <v>12</v>
      </c>
      <c r="H707">
        <v>7.1</v>
      </c>
      <c r="I707">
        <v>18</v>
      </c>
      <c r="J707" t="s">
        <v>1171</v>
      </c>
      <c r="K707">
        <v>11</v>
      </c>
      <c r="L707" s="145">
        <v>41922</v>
      </c>
    </row>
    <row r="708" spans="1:12">
      <c r="A708">
        <v>332687</v>
      </c>
      <c r="B708" t="s">
        <v>1465</v>
      </c>
      <c r="D708" t="s">
        <v>486</v>
      </c>
      <c r="E708">
        <v>32102</v>
      </c>
      <c r="F708" t="s">
        <v>578</v>
      </c>
      <c r="G708">
        <v>7</v>
      </c>
      <c r="H708">
        <v>2.6</v>
      </c>
      <c r="I708">
        <v>124</v>
      </c>
      <c r="J708" t="s">
        <v>1171</v>
      </c>
      <c r="K708">
        <v>80</v>
      </c>
      <c r="L708" s="145">
        <v>42061</v>
      </c>
    </row>
    <row r="709" spans="1:12">
      <c r="A709">
        <v>332832</v>
      </c>
      <c r="B709" t="s">
        <v>1465</v>
      </c>
      <c r="D709" t="s">
        <v>1469</v>
      </c>
      <c r="E709">
        <v>32102</v>
      </c>
      <c r="F709" t="s">
        <v>578</v>
      </c>
      <c r="G709">
        <v>3</v>
      </c>
      <c r="H709">
        <v>2.7</v>
      </c>
      <c r="I709">
        <v>329</v>
      </c>
      <c r="J709" t="s">
        <v>1170</v>
      </c>
      <c r="K709">
        <v>0</v>
      </c>
    </row>
    <row r="710" spans="1:12">
      <c r="A710">
        <v>332688</v>
      </c>
      <c r="B710" t="s">
        <v>1465</v>
      </c>
      <c r="D710" t="s">
        <v>487</v>
      </c>
      <c r="E710">
        <v>32102</v>
      </c>
      <c r="F710" t="s">
        <v>578</v>
      </c>
      <c r="G710">
        <v>8</v>
      </c>
      <c r="H710">
        <v>2.9</v>
      </c>
      <c r="I710">
        <v>76</v>
      </c>
      <c r="J710" t="s">
        <v>1171</v>
      </c>
      <c r="K710">
        <v>40</v>
      </c>
      <c r="L710" s="145">
        <v>41922</v>
      </c>
    </row>
    <row r="711" spans="1:12">
      <c r="A711">
        <v>332840</v>
      </c>
      <c r="B711" t="s">
        <v>1465</v>
      </c>
      <c r="D711" t="s">
        <v>1789</v>
      </c>
      <c r="E711">
        <v>32102</v>
      </c>
      <c r="F711" t="s">
        <v>578</v>
      </c>
      <c r="G711">
        <v>9</v>
      </c>
      <c r="H711">
        <v>3.75</v>
      </c>
      <c r="I711">
        <v>107</v>
      </c>
      <c r="J711" t="s">
        <v>1170</v>
      </c>
      <c r="K711">
        <v>0</v>
      </c>
    </row>
    <row r="712" spans="1:12">
      <c r="A712">
        <v>332690</v>
      </c>
      <c r="B712" t="s">
        <v>1465</v>
      </c>
      <c r="D712" t="s">
        <v>488</v>
      </c>
      <c r="E712">
        <v>32102</v>
      </c>
      <c r="F712" t="s">
        <v>578</v>
      </c>
      <c r="G712">
        <v>10</v>
      </c>
      <c r="H712">
        <v>3.85</v>
      </c>
      <c r="I712">
        <v>18</v>
      </c>
      <c r="J712" t="s">
        <v>1171</v>
      </c>
      <c r="K712">
        <v>40</v>
      </c>
      <c r="L712" s="145">
        <v>41922</v>
      </c>
    </row>
    <row r="713" spans="1:12">
      <c r="A713">
        <v>332692</v>
      </c>
      <c r="B713" t="s">
        <v>1465</v>
      </c>
      <c r="D713" t="s">
        <v>489</v>
      </c>
      <c r="E713">
        <v>32102</v>
      </c>
      <c r="F713" t="s">
        <v>578</v>
      </c>
      <c r="G713">
        <v>11</v>
      </c>
      <c r="H713">
        <v>4.55</v>
      </c>
      <c r="I713">
        <v>50</v>
      </c>
      <c r="J713" t="s">
        <v>1171</v>
      </c>
      <c r="K713">
        <v>50</v>
      </c>
      <c r="L713" s="145">
        <v>42061</v>
      </c>
    </row>
    <row r="714" spans="1:12">
      <c r="A714">
        <v>332707</v>
      </c>
      <c r="B714" t="s">
        <v>1465</v>
      </c>
      <c r="D714" t="s">
        <v>1796</v>
      </c>
      <c r="E714">
        <v>32102</v>
      </c>
      <c r="F714" t="s">
        <v>578</v>
      </c>
      <c r="G714">
        <v>18</v>
      </c>
      <c r="H714">
        <v>2.95</v>
      </c>
      <c r="I714">
        <v>119</v>
      </c>
      <c r="J714" t="s">
        <v>1171</v>
      </c>
      <c r="K714">
        <v>40</v>
      </c>
      <c r="L714" s="145">
        <v>42061</v>
      </c>
    </row>
    <row r="715" spans="1:12">
      <c r="A715">
        <v>332708</v>
      </c>
      <c r="B715" t="s">
        <v>1465</v>
      </c>
      <c r="D715" t="s">
        <v>343</v>
      </c>
      <c r="E715">
        <v>32102</v>
      </c>
      <c r="F715" t="s">
        <v>578</v>
      </c>
      <c r="G715">
        <v>19</v>
      </c>
      <c r="H715">
        <v>3.55</v>
      </c>
      <c r="I715">
        <v>152</v>
      </c>
      <c r="J715" t="s">
        <v>1171</v>
      </c>
      <c r="K715">
        <v>80</v>
      </c>
      <c r="L715" s="145">
        <v>42061</v>
      </c>
    </row>
    <row r="716" spans="1:12">
      <c r="A716">
        <v>332825</v>
      </c>
      <c r="B716" t="s">
        <v>1465</v>
      </c>
      <c r="D716" t="s">
        <v>1462</v>
      </c>
      <c r="E716">
        <v>32102</v>
      </c>
      <c r="F716" t="s">
        <v>578</v>
      </c>
      <c r="G716">
        <v>15</v>
      </c>
      <c r="H716">
        <v>3.6</v>
      </c>
      <c r="I716">
        <v>212</v>
      </c>
      <c r="J716" t="s">
        <v>1170</v>
      </c>
      <c r="K716">
        <v>0</v>
      </c>
    </row>
    <row r="717" spans="1:12">
      <c r="A717">
        <v>332709</v>
      </c>
      <c r="B717" t="s">
        <v>1465</v>
      </c>
      <c r="D717" t="s">
        <v>344</v>
      </c>
      <c r="E717">
        <v>32102</v>
      </c>
      <c r="F717" t="s">
        <v>578</v>
      </c>
      <c r="G717">
        <v>20</v>
      </c>
      <c r="H717">
        <v>4.25</v>
      </c>
      <c r="I717">
        <v>56</v>
      </c>
      <c r="J717" t="s">
        <v>1171</v>
      </c>
      <c r="K717">
        <v>80</v>
      </c>
      <c r="L717" s="145">
        <v>42061</v>
      </c>
    </row>
    <row r="718" spans="1:12">
      <c r="A718">
        <v>330032</v>
      </c>
      <c r="B718" t="s">
        <v>1465</v>
      </c>
      <c r="D718" t="s">
        <v>472</v>
      </c>
      <c r="E718">
        <v>32102</v>
      </c>
      <c r="F718" t="s">
        <v>578</v>
      </c>
      <c r="G718">
        <v>21</v>
      </c>
      <c r="H718">
        <v>14.05</v>
      </c>
      <c r="I718">
        <v>35</v>
      </c>
      <c r="J718" t="s">
        <v>1171</v>
      </c>
      <c r="K718">
        <v>40</v>
      </c>
      <c r="L718" s="145">
        <v>42061</v>
      </c>
    </row>
    <row r="719" spans="1:12">
      <c r="A719">
        <v>332826</v>
      </c>
      <c r="B719" t="s">
        <v>1465</v>
      </c>
      <c r="D719" t="s">
        <v>1466</v>
      </c>
      <c r="E719">
        <v>32102</v>
      </c>
      <c r="F719" t="s">
        <v>578</v>
      </c>
      <c r="G719">
        <v>16</v>
      </c>
      <c r="H719">
        <v>4.95</v>
      </c>
      <c r="I719">
        <v>250</v>
      </c>
      <c r="J719" t="s">
        <v>1170</v>
      </c>
      <c r="K719">
        <v>0</v>
      </c>
    </row>
    <row r="720" spans="1:12">
      <c r="A720">
        <v>332826</v>
      </c>
      <c r="B720" t="s">
        <v>1465</v>
      </c>
      <c r="D720" t="s">
        <v>1466</v>
      </c>
      <c r="E720">
        <v>32102</v>
      </c>
      <c r="F720" t="s">
        <v>578</v>
      </c>
      <c r="G720">
        <v>14</v>
      </c>
      <c r="H720">
        <v>4.95</v>
      </c>
      <c r="I720">
        <v>250</v>
      </c>
      <c r="J720" t="s">
        <v>1170</v>
      </c>
      <c r="K720">
        <v>0</v>
      </c>
    </row>
    <row r="721" spans="1:12">
      <c r="A721">
        <v>332710</v>
      </c>
      <c r="B721" t="s">
        <v>1465</v>
      </c>
      <c r="D721" t="s">
        <v>235</v>
      </c>
      <c r="E721">
        <v>32202</v>
      </c>
      <c r="F721" t="s">
        <v>578</v>
      </c>
      <c r="G721">
        <v>1</v>
      </c>
      <c r="H721">
        <v>5.35</v>
      </c>
      <c r="I721">
        <v>56</v>
      </c>
      <c r="J721" t="s">
        <v>1171</v>
      </c>
      <c r="K721">
        <v>40</v>
      </c>
      <c r="L721" s="145">
        <v>42061</v>
      </c>
    </row>
    <row r="722" spans="1:12">
      <c r="A722">
        <v>332711</v>
      </c>
      <c r="B722" t="s">
        <v>1465</v>
      </c>
      <c r="D722" t="s">
        <v>1382</v>
      </c>
      <c r="E722">
        <v>32202</v>
      </c>
      <c r="F722" t="s">
        <v>578</v>
      </c>
      <c r="G722">
        <v>2</v>
      </c>
      <c r="H722">
        <v>8.4499999999999993</v>
      </c>
      <c r="I722">
        <v>63</v>
      </c>
      <c r="J722" t="s">
        <v>1171</v>
      </c>
      <c r="K722">
        <v>0</v>
      </c>
    </row>
    <row r="723" spans="1:12">
      <c r="A723">
        <v>332837</v>
      </c>
      <c r="B723" t="s">
        <v>1465</v>
      </c>
      <c r="D723" t="s">
        <v>1474</v>
      </c>
      <c r="E723">
        <v>32102</v>
      </c>
      <c r="F723" t="s">
        <v>578</v>
      </c>
      <c r="G723">
        <v>17</v>
      </c>
      <c r="H723">
        <v>12.65</v>
      </c>
      <c r="I723">
        <v>71</v>
      </c>
      <c r="J723" t="s">
        <v>1170</v>
      </c>
      <c r="K723">
        <v>0</v>
      </c>
    </row>
    <row r="724" spans="1:12">
      <c r="A724">
        <v>332715</v>
      </c>
      <c r="B724" t="s">
        <v>1028</v>
      </c>
      <c r="D724" t="s">
        <v>458</v>
      </c>
      <c r="E724">
        <v>32302</v>
      </c>
      <c r="F724" t="s">
        <v>578</v>
      </c>
      <c r="G724">
        <v>5</v>
      </c>
      <c r="H724">
        <v>2.1</v>
      </c>
      <c r="I724">
        <v>30</v>
      </c>
      <c r="J724" t="s">
        <v>1171</v>
      </c>
      <c r="K724">
        <v>0</v>
      </c>
    </row>
    <row r="725" spans="1:12">
      <c r="A725">
        <v>332632</v>
      </c>
      <c r="B725" t="s">
        <v>1465</v>
      </c>
      <c r="D725" t="s">
        <v>477</v>
      </c>
      <c r="E725">
        <v>32302</v>
      </c>
      <c r="F725" t="s">
        <v>578</v>
      </c>
      <c r="G725">
        <v>6</v>
      </c>
      <c r="H725">
        <v>9.5</v>
      </c>
      <c r="I725">
        <v>13</v>
      </c>
      <c r="J725" t="s">
        <v>1171</v>
      </c>
      <c r="K725">
        <v>0</v>
      </c>
    </row>
    <row r="726" spans="1:12">
      <c r="A726">
        <v>330788</v>
      </c>
      <c r="B726" t="s">
        <v>1465</v>
      </c>
      <c r="D726" t="s">
        <v>1551</v>
      </c>
      <c r="E726">
        <v>32302</v>
      </c>
      <c r="F726" t="s">
        <v>578</v>
      </c>
      <c r="G726">
        <v>7</v>
      </c>
      <c r="H726">
        <v>20.9</v>
      </c>
      <c r="I726">
        <v>9</v>
      </c>
      <c r="J726" t="s">
        <v>580</v>
      </c>
      <c r="K726">
        <v>0</v>
      </c>
    </row>
    <row r="727" spans="1:12">
      <c r="A727">
        <v>332833</v>
      </c>
      <c r="B727" t="s">
        <v>1465</v>
      </c>
      <c r="D727" t="s">
        <v>1470</v>
      </c>
      <c r="E727">
        <v>32202</v>
      </c>
      <c r="F727" t="s">
        <v>578</v>
      </c>
      <c r="G727">
        <v>3</v>
      </c>
      <c r="H727">
        <v>1.45</v>
      </c>
      <c r="I727">
        <v>248</v>
      </c>
      <c r="J727" t="s">
        <v>1170</v>
      </c>
      <c r="K727">
        <v>0</v>
      </c>
    </row>
    <row r="728" spans="1:12">
      <c r="A728">
        <v>332677</v>
      </c>
      <c r="B728" t="s">
        <v>1465</v>
      </c>
      <c r="D728" t="s">
        <v>481</v>
      </c>
      <c r="E728">
        <v>32202</v>
      </c>
      <c r="F728" t="s">
        <v>578</v>
      </c>
      <c r="G728">
        <v>5</v>
      </c>
      <c r="H728">
        <v>1.6</v>
      </c>
      <c r="I728">
        <v>-1</v>
      </c>
      <c r="J728" t="s">
        <v>1171</v>
      </c>
      <c r="K728">
        <v>40</v>
      </c>
      <c r="L728" s="145">
        <v>42061</v>
      </c>
    </row>
    <row r="729" spans="1:12">
      <c r="A729">
        <v>332834</v>
      </c>
      <c r="B729" t="s">
        <v>1465</v>
      </c>
      <c r="D729" t="s">
        <v>1471</v>
      </c>
      <c r="E729">
        <v>32202</v>
      </c>
      <c r="F729" t="s">
        <v>578</v>
      </c>
      <c r="G729">
        <v>4</v>
      </c>
      <c r="H729">
        <v>1.65</v>
      </c>
      <c r="I729">
        <v>249</v>
      </c>
      <c r="J729" t="s">
        <v>1170</v>
      </c>
      <c r="K729">
        <v>0</v>
      </c>
    </row>
    <row r="730" spans="1:12">
      <c r="A730">
        <v>332679</v>
      </c>
      <c r="B730" t="s">
        <v>1465</v>
      </c>
      <c r="D730" t="s">
        <v>482</v>
      </c>
      <c r="E730">
        <v>32202</v>
      </c>
      <c r="F730" t="s">
        <v>578</v>
      </c>
      <c r="G730">
        <v>6</v>
      </c>
      <c r="H730">
        <v>2.1</v>
      </c>
      <c r="I730">
        <v>37</v>
      </c>
      <c r="J730" t="s">
        <v>1171</v>
      </c>
      <c r="K730">
        <v>80</v>
      </c>
      <c r="L730" s="145">
        <v>41922</v>
      </c>
    </row>
    <row r="731" spans="1:12">
      <c r="A731">
        <v>330029</v>
      </c>
      <c r="B731" t="s">
        <v>1465</v>
      </c>
      <c r="D731" t="s">
        <v>471</v>
      </c>
      <c r="E731">
        <v>32202</v>
      </c>
      <c r="F731" t="s">
        <v>578</v>
      </c>
      <c r="G731">
        <v>7</v>
      </c>
      <c r="H731">
        <v>8</v>
      </c>
      <c r="I731">
        <v>63</v>
      </c>
      <c r="J731" t="s">
        <v>1171</v>
      </c>
      <c r="K731">
        <v>0</v>
      </c>
    </row>
    <row r="732" spans="1:12">
      <c r="A732">
        <v>332680</v>
      </c>
      <c r="B732" t="s">
        <v>1465</v>
      </c>
      <c r="D732" t="s">
        <v>483</v>
      </c>
      <c r="E732">
        <v>32202</v>
      </c>
      <c r="F732" t="s">
        <v>578</v>
      </c>
      <c r="G732">
        <v>8</v>
      </c>
      <c r="H732">
        <v>3.85</v>
      </c>
      <c r="I732">
        <v>78</v>
      </c>
      <c r="J732" t="s">
        <v>1171</v>
      </c>
      <c r="K732">
        <v>40</v>
      </c>
      <c r="L732" s="145">
        <v>42061</v>
      </c>
    </row>
    <row r="733" spans="1:12">
      <c r="A733">
        <v>332668</v>
      </c>
      <c r="B733" t="s">
        <v>1465</v>
      </c>
      <c r="D733" t="s">
        <v>480</v>
      </c>
      <c r="E733">
        <v>32202</v>
      </c>
      <c r="F733" t="s">
        <v>578</v>
      </c>
      <c r="G733">
        <v>9</v>
      </c>
      <c r="H733">
        <v>1.75</v>
      </c>
      <c r="I733">
        <v>42</v>
      </c>
      <c r="J733" t="s">
        <v>1171</v>
      </c>
      <c r="K733">
        <v>0</v>
      </c>
    </row>
    <row r="734" spans="1:12">
      <c r="A734">
        <v>332656</v>
      </c>
      <c r="B734" t="s">
        <v>1465</v>
      </c>
      <c r="D734" t="s">
        <v>478</v>
      </c>
      <c r="E734">
        <v>32202</v>
      </c>
      <c r="F734" t="s">
        <v>578</v>
      </c>
      <c r="G734">
        <v>10</v>
      </c>
      <c r="H734">
        <v>2.1</v>
      </c>
      <c r="I734">
        <v>67</v>
      </c>
      <c r="J734" t="s">
        <v>1171</v>
      </c>
      <c r="K734">
        <v>0</v>
      </c>
    </row>
    <row r="735" spans="1:12">
      <c r="A735">
        <v>332658</v>
      </c>
      <c r="B735" t="s">
        <v>1465</v>
      </c>
      <c r="D735" t="s">
        <v>479</v>
      </c>
      <c r="E735">
        <v>32202</v>
      </c>
      <c r="F735" t="s">
        <v>578</v>
      </c>
      <c r="G735">
        <v>11</v>
      </c>
      <c r="H735">
        <v>3.35</v>
      </c>
      <c r="I735">
        <v>67</v>
      </c>
      <c r="J735" t="s">
        <v>1171</v>
      </c>
      <c r="K735">
        <v>0</v>
      </c>
    </row>
    <row r="736" spans="1:12">
      <c r="A736">
        <v>332835</v>
      </c>
      <c r="B736" t="s">
        <v>1465</v>
      </c>
      <c r="D736" t="s">
        <v>1472</v>
      </c>
      <c r="E736">
        <v>32202</v>
      </c>
      <c r="F736" t="s">
        <v>578</v>
      </c>
      <c r="G736">
        <v>12</v>
      </c>
      <c r="H736">
        <v>3.35</v>
      </c>
      <c r="I736">
        <v>104</v>
      </c>
      <c r="J736" t="s">
        <v>1170</v>
      </c>
      <c r="K736">
        <v>0</v>
      </c>
    </row>
    <row r="737" spans="1:12">
      <c r="A737">
        <v>332838</v>
      </c>
      <c r="B737" t="s">
        <v>1465</v>
      </c>
      <c r="D737" t="s">
        <v>1475</v>
      </c>
      <c r="E737">
        <v>32302</v>
      </c>
      <c r="F737" t="s">
        <v>578</v>
      </c>
      <c r="G737">
        <v>9</v>
      </c>
      <c r="H737">
        <v>10.4</v>
      </c>
      <c r="I737">
        <v>100</v>
      </c>
      <c r="J737" t="s">
        <v>1170</v>
      </c>
      <c r="K737">
        <v>0</v>
      </c>
    </row>
    <row r="738" spans="1:12">
      <c r="A738">
        <v>332838</v>
      </c>
      <c r="B738" t="s">
        <v>1465</v>
      </c>
      <c r="D738" t="s">
        <v>1475</v>
      </c>
      <c r="E738">
        <v>32202</v>
      </c>
      <c r="F738" t="s">
        <v>578</v>
      </c>
      <c r="G738">
        <v>13</v>
      </c>
      <c r="H738">
        <v>10.4</v>
      </c>
      <c r="I738">
        <v>100</v>
      </c>
      <c r="J738" t="s">
        <v>1170</v>
      </c>
      <c r="K738">
        <v>0</v>
      </c>
    </row>
    <row r="739" spans="1:12">
      <c r="A739">
        <v>332839</v>
      </c>
      <c r="B739" t="s">
        <v>1465</v>
      </c>
      <c r="D739" t="s">
        <v>1476</v>
      </c>
      <c r="E739">
        <v>32202</v>
      </c>
      <c r="F739" t="s">
        <v>578</v>
      </c>
      <c r="G739">
        <v>14</v>
      </c>
      <c r="H739">
        <v>4.25</v>
      </c>
      <c r="I739">
        <v>5</v>
      </c>
      <c r="J739" t="s">
        <v>1170</v>
      </c>
      <c r="K739">
        <v>0</v>
      </c>
    </row>
    <row r="740" spans="1:12">
      <c r="A740">
        <v>332701</v>
      </c>
      <c r="B740" t="s">
        <v>1465</v>
      </c>
      <c r="D740" t="s">
        <v>490</v>
      </c>
      <c r="E740">
        <v>32202</v>
      </c>
      <c r="F740" t="s">
        <v>578</v>
      </c>
      <c r="G740">
        <v>15</v>
      </c>
      <c r="H740">
        <v>3.55</v>
      </c>
      <c r="I740">
        <v>4</v>
      </c>
      <c r="J740" t="s">
        <v>1171</v>
      </c>
      <c r="K740">
        <v>40</v>
      </c>
      <c r="L740" s="145">
        <v>42061</v>
      </c>
    </row>
    <row r="741" spans="1:12">
      <c r="A741">
        <v>332829</v>
      </c>
      <c r="B741" t="s">
        <v>1465</v>
      </c>
      <c r="D741" t="s">
        <v>1864</v>
      </c>
      <c r="E741">
        <v>32202</v>
      </c>
      <c r="F741" t="s">
        <v>578</v>
      </c>
      <c r="G741">
        <v>16</v>
      </c>
      <c r="H741">
        <v>3.8</v>
      </c>
      <c r="I741">
        <v>72</v>
      </c>
      <c r="J741" t="s">
        <v>1170</v>
      </c>
      <c r="K741">
        <v>0</v>
      </c>
    </row>
    <row r="742" spans="1:12">
      <c r="A742">
        <v>332789</v>
      </c>
      <c r="B742" t="s">
        <v>1465</v>
      </c>
      <c r="D742" t="s">
        <v>459</v>
      </c>
      <c r="E742">
        <v>32202</v>
      </c>
      <c r="F742" t="s">
        <v>578</v>
      </c>
      <c r="G742">
        <v>18</v>
      </c>
      <c r="H742">
        <v>4.25</v>
      </c>
      <c r="I742">
        <v>16</v>
      </c>
      <c r="J742" t="s">
        <v>1171</v>
      </c>
      <c r="K742">
        <v>120</v>
      </c>
      <c r="L742" s="145">
        <v>42061</v>
      </c>
    </row>
    <row r="743" spans="1:12">
      <c r="A743">
        <v>332830</v>
      </c>
      <c r="B743" t="s">
        <v>1465</v>
      </c>
      <c r="D743" t="s">
        <v>1865</v>
      </c>
      <c r="E743">
        <v>32202</v>
      </c>
      <c r="F743" t="s">
        <v>578</v>
      </c>
      <c r="G743">
        <v>17</v>
      </c>
      <c r="H743">
        <v>4.0999999999999996</v>
      </c>
      <c r="I743">
        <v>73</v>
      </c>
      <c r="J743" t="s">
        <v>1170</v>
      </c>
      <c r="K743">
        <v>0</v>
      </c>
    </row>
    <row r="744" spans="1:12">
      <c r="A744">
        <v>332703</v>
      </c>
      <c r="B744" t="s">
        <v>1465</v>
      </c>
      <c r="D744" t="s">
        <v>491</v>
      </c>
      <c r="E744">
        <v>32202</v>
      </c>
      <c r="F744" t="s">
        <v>578</v>
      </c>
      <c r="G744">
        <v>19</v>
      </c>
      <c r="H744">
        <v>4.95</v>
      </c>
      <c r="I744">
        <v>6</v>
      </c>
      <c r="J744" t="s">
        <v>1171</v>
      </c>
      <c r="K744">
        <v>0</v>
      </c>
    </row>
    <row r="745" spans="1:12">
      <c r="A745">
        <v>332704</v>
      </c>
      <c r="B745" t="s">
        <v>1465</v>
      </c>
      <c r="D745" t="s">
        <v>492</v>
      </c>
      <c r="E745">
        <v>32202</v>
      </c>
      <c r="F745" t="s">
        <v>578</v>
      </c>
      <c r="G745">
        <v>20</v>
      </c>
      <c r="H745">
        <v>6.2</v>
      </c>
      <c r="I745">
        <v>23</v>
      </c>
      <c r="J745" t="s">
        <v>1171</v>
      </c>
      <c r="K745">
        <v>40</v>
      </c>
      <c r="L745" s="145">
        <v>41922</v>
      </c>
    </row>
    <row r="746" spans="1:12">
      <c r="A746">
        <v>332827</v>
      </c>
      <c r="B746" t="s">
        <v>1465</v>
      </c>
      <c r="D746" t="s">
        <v>1862</v>
      </c>
      <c r="E746">
        <v>32302</v>
      </c>
      <c r="F746" t="s">
        <v>578</v>
      </c>
      <c r="G746">
        <v>1</v>
      </c>
      <c r="H746">
        <v>3.75</v>
      </c>
      <c r="I746">
        <v>78</v>
      </c>
      <c r="J746" t="s">
        <v>1170</v>
      </c>
      <c r="K746">
        <v>0</v>
      </c>
    </row>
    <row r="747" spans="1:12">
      <c r="A747">
        <v>332724</v>
      </c>
      <c r="B747" t="s">
        <v>1465</v>
      </c>
      <c r="D747" t="s">
        <v>1029</v>
      </c>
      <c r="E747">
        <v>32302</v>
      </c>
      <c r="F747" t="s">
        <v>578</v>
      </c>
      <c r="G747">
        <v>3</v>
      </c>
      <c r="H747">
        <v>4.3</v>
      </c>
      <c r="I747">
        <v>19</v>
      </c>
      <c r="J747" t="s">
        <v>1171</v>
      </c>
      <c r="K747">
        <v>0</v>
      </c>
    </row>
    <row r="748" spans="1:12">
      <c r="A748">
        <v>332828</v>
      </c>
      <c r="B748" t="s">
        <v>1465</v>
      </c>
      <c r="D748" t="s">
        <v>1863</v>
      </c>
      <c r="E748">
        <v>32302</v>
      </c>
      <c r="F748" t="s">
        <v>578</v>
      </c>
      <c r="G748">
        <v>2</v>
      </c>
      <c r="H748">
        <v>5.4</v>
      </c>
      <c r="I748">
        <v>107</v>
      </c>
      <c r="J748" t="s">
        <v>1170</v>
      </c>
      <c r="K748">
        <v>0</v>
      </c>
    </row>
    <row r="749" spans="1:12">
      <c r="A749">
        <v>332729</v>
      </c>
      <c r="B749" t="s">
        <v>1465</v>
      </c>
      <c r="D749" t="s">
        <v>1620</v>
      </c>
      <c r="E749">
        <v>32302</v>
      </c>
      <c r="F749" t="s">
        <v>578</v>
      </c>
      <c r="G749">
        <v>4</v>
      </c>
      <c r="H749">
        <v>6.4</v>
      </c>
      <c r="I749">
        <v>23</v>
      </c>
      <c r="J749" t="s">
        <v>1171</v>
      </c>
      <c r="K749">
        <v>0</v>
      </c>
    </row>
    <row r="750" spans="1:12">
      <c r="A750">
        <v>330019</v>
      </c>
      <c r="B750" t="s">
        <v>1465</v>
      </c>
      <c r="D750" t="s">
        <v>1532</v>
      </c>
      <c r="E750">
        <v>32103</v>
      </c>
      <c r="F750" t="s">
        <v>578</v>
      </c>
      <c r="G750">
        <v>1</v>
      </c>
      <c r="H750">
        <v>2.8</v>
      </c>
      <c r="I750">
        <v>711</v>
      </c>
      <c r="J750" t="s">
        <v>1172</v>
      </c>
      <c r="K750">
        <v>0</v>
      </c>
    </row>
    <row r="751" spans="1:12">
      <c r="A751">
        <v>332824</v>
      </c>
      <c r="B751" t="s">
        <v>1465</v>
      </c>
      <c r="D751" t="s">
        <v>1533</v>
      </c>
      <c r="E751">
        <v>32203</v>
      </c>
      <c r="F751" t="s">
        <v>578</v>
      </c>
      <c r="G751">
        <v>3</v>
      </c>
      <c r="H751">
        <v>3.7</v>
      </c>
      <c r="I751" s="45">
        <v>1054</v>
      </c>
      <c r="J751" t="s">
        <v>1172</v>
      </c>
      <c r="K751">
        <v>0</v>
      </c>
    </row>
    <row r="752" spans="1:12">
      <c r="A752">
        <v>332849</v>
      </c>
      <c r="B752" t="s">
        <v>1465</v>
      </c>
      <c r="D752" t="s">
        <v>1528</v>
      </c>
      <c r="E752">
        <v>32104</v>
      </c>
      <c r="F752" t="s">
        <v>578</v>
      </c>
      <c r="G752">
        <v>1</v>
      </c>
      <c r="H752">
        <v>2.5</v>
      </c>
      <c r="I752">
        <v>125</v>
      </c>
      <c r="J752" t="s">
        <v>1154</v>
      </c>
      <c r="K752">
        <v>450</v>
      </c>
      <c r="L752" s="145">
        <v>42066</v>
      </c>
    </row>
    <row r="753" spans="1:12">
      <c r="A753">
        <v>332848</v>
      </c>
      <c r="B753" t="s">
        <v>1465</v>
      </c>
      <c r="D753" t="s">
        <v>1527</v>
      </c>
      <c r="E753">
        <v>36019</v>
      </c>
      <c r="F753" t="s">
        <v>578</v>
      </c>
      <c r="G753">
        <v>1</v>
      </c>
      <c r="H753">
        <v>3.5</v>
      </c>
      <c r="I753">
        <v>139</v>
      </c>
      <c r="J753" t="s">
        <v>1154</v>
      </c>
      <c r="K753">
        <v>330</v>
      </c>
      <c r="L753" s="145">
        <v>42066</v>
      </c>
    </row>
    <row r="754" spans="1:12">
      <c r="A754">
        <v>332848</v>
      </c>
      <c r="B754" t="s">
        <v>1465</v>
      </c>
      <c r="D754" t="s">
        <v>1527</v>
      </c>
      <c r="E754">
        <v>32204</v>
      </c>
      <c r="F754" t="s">
        <v>578</v>
      </c>
      <c r="G754">
        <v>1</v>
      </c>
      <c r="H754">
        <v>3.5</v>
      </c>
      <c r="I754">
        <v>139</v>
      </c>
      <c r="J754" t="s">
        <v>1154</v>
      </c>
      <c r="K754">
        <v>330</v>
      </c>
      <c r="L754" s="145">
        <v>42066</v>
      </c>
    </row>
    <row r="755" spans="1:12">
      <c r="A755">
        <v>332847</v>
      </c>
      <c r="B755" t="s">
        <v>1465</v>
      </c>
      <c r="D755" t="s">
        <v>1604</v>
      </c>
      <c r="E755">
        <v>32304</v>
      </c>
      <c r="F755" t="s">
        <v>578</v>
      </c>
      <c r="G755">
        <v>1</v>
      </c>
      <c r="H755">
        <v>4.7</v>
      </c>
      <c r="I755">
        <v>51</v>
      </c>
      <c r="J755" t="s">
        <v>1154</v>
      </c>
      <c r="K755">
        <v>0</v>
      </c>
    </row>
    <row r="756" spans="1:12">
      <c r="A756">
        <v>332847</v>
      </c>
      <c r="B756" t="s">
        <v>1465</v>
      </c>
      <c r="D756" t="s">
        <v>1604</v>
      </c>
      <c r="E756">
        <v>32102</v>
      </c>
      <c r="F756" t="s">
        <v>578</v>
      </c>
      <c r="G756">
        <v>13</v>
      </c>
      <c r="H756">
        <v>4.7</v>
      </c>
      <c r="I756">
        <v>51</v>
      </c>
      <c r="J756" t="s">
        <v>1154</v>
      </c>
      <c r="K756">
        <v>0</v>
      </c>
    </row>
    <row r="757" spans="1:12">
      <c r="A757">
        <v>303104</v>
      </c>
      <c r="B757" t="s">
        <v>1465</v>
      </c>
      <c r="D757" t="s">
        <v>1213</v>
      </c>
      <c r="E757">
        <v>38202</v>
      </c>
      <c r="F757" t="s">
        <v>578</v>
      </c>
      <c r="G757">
        <v>14</v>
      </c>
      <c r="H757">
        <v>9.25</v>
      </c>
      <c r="I757">
        <v>43</v>
      </c>
      <c r="J757" t="s">
        <v>580</v>
      </c>
      <c r="K757">
        <v>0</v>
      </c>
    </row>
    <row r="758" spans="1:12">
      <c r="A758">
        <v>303004</v>
      </c>
      <c r="B758" t="s">
        <v>1465</v>
      </c>
      <c r="D758" t="s">
        <v>626</v>
      </c>
      <c r="E758">
        <v>35446</v>
      </c>
      <c r="F758" t="s">
        <v>578</v>
      </c>
      <c r="G758">
        <v>1</v>
      </c>
      <c r="H758">
        <v>24.5</v>
      </c>
      <c r="I758">
        <v>94</v>
      </c>
      <c r="J758" t="s">
        <v>1173</v>
      </c>
      <c r="K758">
        <v>0</v>
      </c>
    </row>
    <row r="759" spans="1:12">
      <c r="A759">
        <v>303002</v>
      </c>
      <c r="B759" t="s">
        <v>1465</v>
      </c>
      <c r="D759" t="s">
        <v>1702</v>
      </c>
      <c r="E759">
        <v>35444</v>
      </c>
      <c r="F759" t="s">
        <v>578</v>
      </c>
      <c r="G759">
        <v>1</v>
      </c>
      <c r="H759">
        <v>7.6</v>
      </c>
      <c r="I759">
        <v>122</v>
      </c>
      <c r="J759" t="s">
        <v>425</v>
      </c>
      <c r="K759">
        <v>0</v>
      </c>
    </row>
    <row r="760" spans="1:12">
      <c r="A760">
        <v>303003</v>
      </c>
      <c r="B760" t="s">
        <v>1465</v>
      </c>
      <c r="D760" t="s">
        <v>228</v>
      </c>
      <c r="E760">
        <v>35445</v>
      </c>
      <c r="F760" t="s">
        <v>578</v>
      </c>
      <c r="G760">
        <v>1</v>
      </c>
      <c r="H760">
        <v>4.45</v>
      </c>
      <c r="I760">
        <v>29</v>
      </c>
      <c r="J760" t="s">
        <v>1171</v>
      </c>
      <c r="K760">
        <v>0</v>
      </c>
    </row>
    <row r="761" spans="1:12">
      <c r="A761">
        <v>310750</v>
      </c>
      <c r="B761" t="s">
        <v>1465</v>
      </c>
      <c r="D761" t="s">
        <v>1194</v>
      </c>
      <c r="E761">
        <v>35303</v>
      </c>
      <c r="F761" t="s">
        <v>578</v>
      </c>
      <c r="G761">
        <v>1</v>
      </c>
      <c r="H761">
        <v>5.4</v>
      </c>
      <c r="I761">
        <v>88</v>
      </c>
      <c r="J761" t="s">
        <v>445</v>
      </c>
      <c r="K761">
        <v>285</v>
      </c>
      <c r="L761" s="145">
        <v>42072</v>
      </c>
    </row>
    <row r="762" spans="1:12">
      <c r="A762">
        <v>310026</v>
      </c>
      <c r="B762" t="s">
        <v>1465</v>
      </c>
      <c r="D762" t="s">
        <v>1705</v>
      </c>
      <c r="E762">
        <v>35103</v>
      </c>
      <c r="F762" t="s">
        <v>578</v>
      </c>
      <c r="G762">
        <v>3</v>
      </c>
      <c r="H762">
        <v>14.9</v>
      </c>
      <c r="I762">
        <v>37</v>
      </c>
      <c r="J762" t="s">
        <v>425</v>
      </c>
      <c r="K762">
        <v>0</v>
      </c>
    </row>
    <row r="763" spans="1:12">
      <c r="A763">
        <v>310610</v>
      </c>
      <c r="B763" t="s">
        <v>1465</v>
      </c>
      <c r="D763" t="s">
        <v>1192</v>
      </c>
      <c r="E763">
        <v>36022</v>
      </c>
      <c r="F763" t="s">
        <v>578</v>
      </c>
      <c r="G763">
        <v>1</v>
      </c>
      <c r="H763">
        <v>13.5</v>
      </c>
      <c r="I763">
        <v>54</v>
      </c>
      <c r="J763" t="s">
        <v>425</v>
      </c>
      <c r="K763">
        <v>0</v>
      </c>
    </row>
    <row r="764" spans="1:12">
      <c r="A764">
        <v>310028</v>
      </c>
      <c r="B764" t="s">
        <v>1465</v>
      </c>
      <c r="D764" t="s">
        <v>1706</v>
      </c>
      <c r="E764">
        <v>36021</v>
      </c>
      <c r="F764" t="s">
        <v>578</v>
      </c>
      <c r="G764">
        <v>1</v>
      </c>
      <c r="H764">
        <v>11.5</v>
      </c>
      <c r="I764">
        <v>104</v>
      </c>
      <c r="J764" t="s">
        <v>425</v>
      </c>
      <c r="K764">
        <v>0</v>
      </c>
    </row>
    <row r="765" spans="1:12">
      <c r="A765">
        <v>310030</v>
      </c>
      <c r="B765" t="s">
        <v>1465</v>
      </c>
      <c r="D765" t="s">
        <v>1707</v>
      </c>
      <c r="E765">
        <v>36029</v>
      </c>
      <c r="F765" t="s">
        <v>578</v>
      </c>
      <c r="G765">
        <v>1</v>
      </c>
      <c r="H765">
        <v>12.7</v>
      </c>
      <c r="I765">
        <v>36</v>
      </c>
      <c r="J765" t="s">
        <v>425</v>
      </c>
      <c r="K765">
        <v>0</v>
      </c>
    </row>
    <row r="766" spans="1:12">
      <c r="A766">
        <v>310031</v>
      </c>
      <c r="B766" t="s">
        <v>1465</v>
      </c>
      <c r="D766" t="s">
        <v>1708</v>
      </c>
      <c r="E766">
        <v>36031</v>
      </c>
      <c r="F766" t="s">
        <v>578</v>
      </c>
      <c r="G766">
        <v>1</v>
      </c>
      <c r="H766">
        <v>15.9</v>
      </c>
      <c r="I766">
        <v>39</v>
      </c>
      <c r="J766" t="s">
        <v>425</v>
      </c>
      <c r="K766">
        <v>0</v>
      </c>
    </row>
    <row r="767" spans="1:12">
      <c r="A767">
        <v>310442</v>
      </c>
      <c r="B767" t="s">
        <v>1465</v>
      </c>
      <c r="D767" t="s">
        <v>1190</v>
      </c>
      <c r="E767">
        <v>36032</v>
      </c>
      <c r="F767" t="s">
        <v>578</v>
      </c>
      <c r="G767">
        <v>1</v>
      </c>
      <c r="H767">
        <v>12.25</v>
      </c>
      <c r="I767">
        <v>78</v>
      </c>
      <c r="J767" t="s">
        <v>425</v>
      </c>
      <c r="K767">
        <v>0</v>
      </c>
    </row>
    <row r="768" spans="1:12">
      <c r="A768">
        <v>310443</v>
      </c>
      <c r="B768" t="s">
        <v>1465</v>
      </c>
      <c r="D768" t="s">
        <v>1191</v>
      </c>
      <c r="E768">
        <v>36030</v>
      </c>
      <c r="F768" t="s">
        <v>578</v>
      </c>
      <c r="G768">
        <v>1</v>
      </c>
      <c r="H768">
        <v>19.899999999999999</v>
      </c>
      <c r="I768">
        <v>93</v>
      </c>
      <c r="J768" t="s">
        <v>425</v>
      </c>
      <c r="K768">
        <v>0</v>
      </c>
    </row>
    <row r="769" spans="1:11">
      <c r="A769">
        <v>310625</v>
      </c>
      <c r="B769" t="s">
        <v>1465</v>
      </c>
      <c r="D769" t="s">
        <v>1193</v>
      </c>
      <c r="E769">
        <v>36023</v>
      </c>
      <c r="F769" t="s">
        <v>578</v>
      </c>
      <c r="G769">
        <v>1</v>
      </c>
      <c r="H769">
        <v>9.15</v>
      </c>
      <c r="I769">
        <v>46</v>
      </c>
      <c r="J769" t="s">
        <v>425</v>
      </c>
      <c r="K769">
        <v>0</v>
      </c>
    </row>
    <row r="770" spans="1:11">
      <c r="A770">
        <v>310039</v>
      </c>
      <c r="B770" t="s">
        <v>1465</v>
      </c>
      <c r="D770" t="s">
        <v>1189</v>
      </c>
      <c r="E770">
        <v>36024</v>
      </c>
      <c r="F770" t="s">
        <v>578</v>
      </c>
      <c r="G770">
        <v>1</v>
      </c>
      <c r="H770">
        <v>12.05</v>
      </c>
      <c r="I770">
        <v>56</v>
      </c>
      <c r="J770" t="s">
        <v>425</v>
      </c>
      <c r="K770">
        <v>0</v>
      </c>
    </row>
    <row r="771" spans="1:11">
      <c r="A771">
        <v>310015</v>
      </c>
      <c r="B771" t="s">
        <v>1465</v>
      </c>
      <c r="D771" t="s">
        <v>1704</v>
      </c>
      <c r="E771">
        <v>32303</v>
      </c>
      <c r="F771" t="s">
        <v>578</v>
      </c>
      <c r="G771">
        <v>1</v>
      </c>
      <c r="H771">
        <v>7.1</v>
      </c>
      <c r="I771">
        <v>44</v>
      </c>
      <c r="J771" t="s">
        <v>425</v>
      </c>
      <c r="K771">
        <v>0</v>
      </c>
    </row>
    <row r="772" spans="1:11">
      <c r="A772">
        <v>310013</v>
      </c>
      <c r="B772" t="s">
        <v>1465</v>
      </c>
      <c r="D772" t="s">
        <v>1703</v>
      </c>
      <c r="E772">
        <v>32303</v>
      </c>
      <c r="F772" t="s">
        <v>578</v>
      </c>
      <c r="G772">
        <v>2</v>
      </c>
      <c r="H772">
        <v>9.8000000000000007</v>
      </c>
      <c r="I772">
        <v>93</v>
      </c>
      <c r="J772" t="s">
        <v>425</v>
      </c>
      <c r="K772">
        <v>0</v>
      </c>
    </row>
    <row r="773" spans="1:11">
      <c r="A773">
        <v>310013</v>
      </c>
      <c r="B773" t="s">
        <v>1465</v>
      </c>
      <c r="D773" t="s">
        <v>1703</v>
      </c>
      <c r="E773">
        <v>36028</v>
      </c>
      <c r="F773" t="s">
        <v>578</v>
      </c>
      <c r="G773">
        <v>1</v>
      </c>
      <c r="H773">
        <v>9.8000000000000007</v>
      </c>
      <c r="I773">
        <v>93</v>
      </c>
      <c r="J773" t="s">
        <v>425</v>
      </c>
      <c r="K773">
        <v>0</v>
      </c>
    </row>
    <row r="774" spans="1:11">
      <c r="A774">
        <v>310381</v>
      </c>
      <c r="B774" t="s">
        <v>1465</v>
      </c>
      <c r="D774" t="s">
        <v>627</v>
      </c>
      <c r="E774">
        <v>32402</v>
      </c>
      <c r="F774" t="s">
        <v>578</v>
      </c>
      <c r="G774">
        <v>6</v>
      </c>
      <c r="H774">
        <v>2.5</v>
      </c>
      <c r="I774">
        <v>64</v>
      </c>
      <c r="J774" t="s">
        <v>1173</v>
      </c>
      <c r="K774">
        <v>0</v>
      </c>
    </row>
    <row r="775" spans="1:11">
      <c r="A775">
        <v>310383</v>
      </c>
      <c r="B775" t="s">
        <v>1465</v>
      </c>
      <c r="D775" t="s">
        <v>629</v>
      </c>
      <c r="E775">
        <v>32402</v>
      </c>
      <c r="F775" t="s">
        <v>578</v>
      </c>
      <c r="G775">
        <v>7</v>
      </c>
      <c r="H775">
        <v>4.2</v>
      </c>
      <c r="I775">
        <v>66</v>
      </c>
      <c r="J775" t="s">
        <v>1173</v>
      </c>
      <c r="K775">
        <v>0</v>
      </c>
    </row>
    <row r="776" spans="1:11">
      <c r="A776">
        <v>310385</v>
      </c>
      <c r="B776" t="s">
        <v>1465</v>
      </c>
      <c r="D776" t="s">
        <v>630</v>
      </c>
      <c r="E776">
        <v>32402</v>
      </c>
      <c r="F776" t="s">
        <v>578</v>
      </c>
      <c r="G776">
        <v>8</v>
      </c>
      <c r="H776">
        <v>5.85</v>
      </c>
      <c r="I776">
        <v>84</v>
      </c>
      <c r="J776" t="s">
        <v>1173</v>
      </c>
      <c r="K776">
        <v>0</v>
      </c>
    </row>
    <row r="777" spans="1:11">
      <c r="A777">
        <v>310401</v>
      </c>
      <c r="B777" t="s">
        <v>1465</v>
      </c>
      <c r="D777" t="s">
        <v>631</v>
      </c>
      <c r="E777">
        <v>32402</v>
      </c>
      <c r="F777" t="s">
        <v>578</v>
      </c>
      <c r="G777">
        <v>9</v>
      </c>
      <c r="H777">
        <v>7.3</v>
      </c>
      <c r="I777">
        <v>99</v>
      </c>
      <c r="J777" t="s">
        <v>1173</v>
      </c>
      <c r="K777">
        <v>0</v>
      </c>
    </row>
    <row r="778" spans="1:11">
      <c r="A778">
        <v>310402</v>
      </c>
      <c r="B778" t="s">
        <v>1465</v>
      </c>
      <c r="D778" t="s">
        <v>632</v>
      </c>
      <c r="E778">
        <v>32402</v>
      </c>
      <c r="F778" t="s">
        <v>578</v>
      </c>
      <c r="G778">
        <v>10</v>
      </c>
      <c r="H778">
        <v>3.75</v>
      </c>
      <c r="I778">
        <v>120</v>
      </c>
      <c r="J778" t="s">
        <v>1173</v>
      </c>
      <c r="K778">
        <v>0</v>
      </c>
    </row>
    <row r="779" spans="1:11">
      <c r="A779">
        <v>310404</v>
      </c>
      <c r="B779" t="s">
        <v>1465</v>
      </c>
      <c r="D779" t="s">
        <v>633</v>
      </c>
      <c r="E779">
        <v>32402</v>
      </c>
      <c r="F779" t="s">
        <v>578</v>
      </c>
      <c r="G779">
        <v>11</v>
      </c>
      <c r="H779">
        <v>5.6</v>
      </c>
      <c r="I779">
        <v>87</v>
      </c>
      <c r="J779" t="s">
        <v>1173</v>
      </c>
      <c r="K779">
        <v>0</v>
      </c>
    </row>
    <row r="780" spans="1:11">
      <c r="A780">
        <v>310406</v>
      </c>
      <c r="B780" t="s">
        <v>1465</v>
      </c>
      <c r="D780" t="s">
        <v>634</v>
      </c>
      <c r="E780">
        <v>32402</v>
      </c>
      <c r="F780" t="s">
        <v>578</v>
      </c>
      <c r="G780">
        <v>12</v>
      </c>
      <c r="H780">
        <v>8.8000000000000007</v>
      </c>
      <c r="I780">
        <v>40</v>
      </c>
      <c r="J780" t="s">
        <v>1173</v>
      </c>
      <c r="K780">
        <v>0</v>
      </c>
    </row>
    <row r="781" spans="1:11">
      <c r="A781">
        <v>310408</v>
      </c>
      <c r="B781" t="s">
        <v>1465</v>
      </c>
      <c r="D781" t="s">
        <v>635</v>
      </c>
      <c r="E781">
        <v>32402</v>
      </c>
      <c r="F781" t="s">
        <v>578</v>
      </c>
      <c r="G781">
        <v>13</v>
      </c>
      <c r="H781">
        <v>5.6</v>
      </c>
      <c r="I781">
        <v>115</v>
      </c>
      <c r="J781" t="s">
        <v>1173</v>
      </c>
      <c r="K781">
        <v>0</v>
      </c>
    </row>
    <row r="782" spans="1:11">
      <c r="A782">
        <v>310410</v>
      </c>
      <c r="B782" t="s">
        <v>1465</v>
      </c>
      <c r="D782" t="s">
        <v>1716</v>
      </c>
      <c r="E782">
        <v>32402</v>
      </c>
      <c r="F782" t="s">
        <v>578</v>
      </c>
      <c r="G782">
        <v>14</v>
      </c>
      <c r="H782">
        <v>7.8</v>
      </c>
      <c r="I782">
        <v>43</v>
      </c>
      <c r="J782" t="s">
        <v>1173</v>
      </c>
      <c r="K782">
        <v>0</v>
      </c>
    </row>
    <row r="783" spans="1:11">
      <c r="A783">
        <v>310411</v>
      </c>
      <c r="B783" t="s">
        <v>1465</v>
      </c>
      <c r="D783" t="s">
        <v>1717</v>
      </c>
      <c r="E783">
        <v>32402</v>
      </c>
      <c r="F783" t="s">
        <v>578</v>
      </c>
      <c r="G783">
        <v>15</v>
      </c>
      <c r="H783">
        <v>10.6</v>
      </c>
      <c r="I783">
        <v>27</v>
      </c>
      <c r="J783" t="s">
        <v>1173</v>
      </c>
      <c r="K783">
        <v>0</v>
      </c>
    </row>
    <row r="784" spans="1:11">
      <c r="A784">
        <v>310414</v>
      </c>
      <c r="B784" t="s">
        <v>1465</v>
      </c>
      <c r="D784" t="s">
        <v>1718</v>
      </c>
      <c r="E784">
        <v>32402</v>
      </c>
      <c r="F784" t="s">
        <v>578</v>
      </c>
      <c r="G784">
        <v>16</v>
      </c>
      <c r="H784">
        <v>7.9</v>
      </c>
      <c r="I784">
        <v>22</v>
      </c>
      <c r="J784" t="s">
        <v>1173</v>
      </c>
      <c r="K784">
        <v>0</v>
      </c>
    </row>
    <row r="785" spans="1:12">
      <c r="A785">
        <v>310415</v>
      </c>
      <c r="B785" t="s">
        <v>1465</v>
      </c>
      <c r="D785" t="s">
        <v>1719</v>
      </c>
      <c r="E785">
        <v>32402</v>
      </c>
      <c r="F785" t="s">
        <v>578</v>
      </c>
      <c r="G785">
        <v>17</v>
      </c>
      <c r="H785">
        <v>11.5</v>
      </c>
      <c r="I785">
        <v>20</v>
      </c>
      <c r="J785" t="s">
        <v>1173</v>
      </c>
      <c r="K785">
        <v>0</v>
      </c>
    </row>
    <row r="786" spans="1:12">
      <c r="A786">
        <v>330041</v>
      </c>
      <c r="B786" t="s">
        <v>1465</v>
      </c>
      <c r="D786" t="s">
        <v>476</v>
      </c>
      <c r="E786">
        <v>32302</v>
      </c>
      <c r="F786" t="s">
        <v>578</v>
      </c>
      <c r="G786">
        <v>12</v>
      </c>
      <c r="H786">
        <v>8.4</v>
      </c>
      <c r="I786">
        <v>20</v>
      </c>
      <c r="J786" t="s">
        <v>1171</v>
      </c>
      <c r="K786">
        <v>0</v>
      </c>
    </row>
    <row r="787" spans="1:12">
      <c r="A787">
        <v>330040</v>
      </c>
      <c r="B787" t="s">
        <v>1465</v>
      </c>
      <c r="D787" t="s">
        <v>475</v>
      </c>
      <c r="E787">
        <v>32302</v>
      </c>
      <c r="F787" t="s">
        <v>578</v>
      </c>
      <c r="G787">
        <v>20</v>
      </c>
      <c r="H787">
        <v>13.8</v>
      </c>
      <c r="I787">
        <v>13</v>
      </c>
      <c r="J787" t="s">
        <v>1171</v>
      </c>
      <c r="K787">
        <v>10</v>
      </c>
      <c r="L787" s="145">
        <v>42061</v>
      </c>
    </row>
    <row r="788" spans="1:12">
      <c r="A788">
        <v>330037</v>
      </c>
      <c r="B788" t="s">
        <v>1465</v>
      </c>
      <c r="D788" t="s">
        <v>410</v>
      </c>
      <c r="E788">
        <v>32302</v>
      </c>
      <c r="F788" t="s">
        <v>578</v>
      </c>
      <c r="G788">
        <v>8</v>
      </c>
      <c r="H788">
        <v>14.6</v>
      </c>
      <c r="I788">
        <v>4</v>
      </c>
      <c r="J788" t="s">
        <v>1171</v>
      </c>
      <c r="K788">
        <v>10</v>
      </c>
      <c r="L788" s="145">
        <v>42061</v>
      </c>
    </row>
    <row r="789" spans="1:12">
      <c r="A789">
        <v>330037</v>
      </c>
      <c r="B789" t="s">
        <v>1465</v>
      </c>
      <c r="D789" t="s">
        <v>410</v>
      </c>
      <c r="E789">
        <v>32402</v>
      </c>
      <c r="F789" t="s">
        <v>578</v>
      </c>
      <c r="G789">
        <v>3</v>
      </c>
      <c r="H789">
        <v>14.6</v>
      </c>
      <c r="I789">
        <v>4</v>
      </c>
      <c r="J789" t="s">
        <v>1171</v>
      </c>
      <c r="K789">
        <v>10</v>
      </c>
      <c r="L789" s="145">
        <v>42061</v>
      </c>
    </row>
    <row r="790" spans="1:12">
      <c r="A790">
        <v>330038</v>
      </c>
      <c r="B790" t="s">
        <v>1465</v>
      </c>
      <c r="D790" t="s">
        <v>474</v>
      </c>
      <c r="E790">
        <v>32402</v>
      </c>
      <c r="F790" t="s">
        <v>578</v>
      </c>
      <c r="G790">
        <v>5</v>
      </c>
      <c r="H790">
        <v>20</v>
      </c>
      <c r="I790">
        <v>17</v>
      </c>
      <c r="J790" t="s">
        <v>1171</v>
      </c>
      <c r="K790">
        <v>0</v>
      </c>
    </row>
    <row r="791" spans="1:12">
      <c r="A791">
        <v>313370</v>
      </c>
      <c r="B791" t="s">
        <v>1465</v>
      </c>
      <c r="D791" t="s">
        <v>229</v>
      </c>
      <c r="E791">
        <v>32302</v>
      </c>
      <c r="F791" t="s">
        <v>578</v>
      </c>
      <c r="G791">
        <v>10</v>
      </c>
      <c r="H791">
        <v>1.45</v>
      </c>
      <c r="I791">
        <v>98</v>
      </c>
      <c r="J791" t="s">
        <v>1171</v>
      </c>
      <c r="K791">
        <v>0</v>
      </c>
    </row>
    <row r="792" spans="1:12">
      <c r="A792">
        <v>313371</v>
      </c>
      <c r="B792" t="s">
        <v>1465</v>
      </c>
      <c r="D792" t="s">
        <v>230</v>
      </c>
      <c r="E792">
        <v>32302</v>
      </c>
      <c r="F792" t="s">
        <v>578</v>
      </c>
      <c r="G792">
        <v>11</v>
      </c>
      <c r="H792">
        <v>1.95</v>
      </c>
      <c r="I792">
        <v>67</v>
      </c>
      <c r="J792" t="s">
        <v>1171</v>
      </c>
      <c r="K792">
        <v>50</v>
      </c>
      <c r="L792" s="145">
        <v>42061</v>
      </c>
    </row>
    <row r="793" spans="1:12">
      <c r="A793">
        <v>313372</v>
      </c>
      <c r="B793" t="s">
        <v>1465</v>
      </c>
      <c r="D793" t="s">
        <v>231</v>
      </c>
      <c r="E793">
        <v>32302</v>
      </c>
      <c r="F793" t="s">
        <v>578</v>
      </c>
      <c r="G793">
        <v>13</v>
      </c>
      <c r="H793">
        <v>2.9</v>
      </c>
      <c r="I793">
        <v>95</v>
      </c>
      <c r="J793" t="s">
        <v>1171</v>
      </c>
      <c r="K793">
        <v>0</v>
      </c>
    </row>
    <row r="794" spans="1:12">
      <c r="A794">
        <v>313374</v>
      </c>
      <c r="B794" t="s">
        <v>1465</v>
      </c>
      <c r="D794" t="s">
        <v>232</v>
      </c>
      <c r="E794">
        <v>32302</v>
      </c>
      <c r="F794" t="s">
        <v>578</v>
      </c>
      <c r="G794">
        <v>14</v>
      </c>
      <c r="H794">
        <v>4.0999999999999996</v>
      </c>
      <c r="I794">
        <v>13</v>
      </c>
      <c r="J794" t="s">
        <v>1171</v>
      </c>
      <c r="K794">
        <v>50</v>
      </c>
      <c r="L794" s="145">
        <v>41922</v>
      </c>
    </row>
    <row r="795" spans="1:12">
      <c r="A795">
        <v>313378</v>
      </c>
      <c r="B795" t="s">
        <v>1465</v>
      </c>
      <c r="D795" t="s">
        <v>233</v>
      </c>
      <c r="E795">
        <v>32302</v>
      </c>
      <c r="F795" t="s">
        <v>578</v>
      </c>
      <c r="G795">
        <v>15</v>
      </c>
      <c r="H795">
        <v>2.4</v>
      </c>
      <c r="I795">
        <v>39</v>
      </c>
      <c r="J795" t="s">
        <v>1171</v>
      </c>
      <c r="K795">
        <v>50</v>
      </c>
      <c r="L795" s="145">
        <v>41922</v>
      </c>
    </row>
    <row r="796" spans="1:12">
      <c r="A796">
        <v>313379</v>
      </c>
      <c r="B796" t="s">
        <v>1465</v>
      </c>
      <c r="D796" t="s">
        <v>234</v>
      </c>
      <c r="E796">
        <v>32302</v>
      </c>
      <c r="F796" t="s">
        <v>578</v>
      </c>
      <c r="G796">
        <v>16</v>
      </c>
      <c r="H796">
        <v>2.5</v>
      </c>
      <c r="I796">
        <v>69</v>
      </c>
      <c r="J796" t="s">
        <v>1171</v>
      </c>
      <c r="K796">
        <v>0</v>
      </c>
    </row>
    <row r="797" spans="1:12">
      <c r="A797">
        <v>313380</v>
      </c>
      <c r="B797" t="s">
        <v>1465</v>
      </c>
      <c r="D797" t="s">
        <v>505</v>
      </c>
      <c r="E797">
        <v>32302</v>
      </c>
      <c r="F797" t="s">
        <v>578</v>
      </c>
      <c r="G797">
        <v>17</v>
      </c>
      <c r="H797">
        <v>3.2</v>
      </c>
      <c r="I797">
        <v>69</v>
      </c>
      <c r="J797" t="s">
        <v>1171</v>
      </c>
      <c r="K797">
        <v>0</v>
      </c>
    </row>
    <row r="798" spans="1:12">
      <c r="A798">
        <v>313387</v>
      </c>
      <c r="B798" t="s">
        <v>1465</v>
      </c>
      <c r="D798" t="s">
        <v>506</v>
      </c>
      <c r="E798">
        <v>32302</v>
      </c>
      <c r="F798" t="s">
        <v>578</v>
      </c>
      <c r="G798">
        <v>18</v>
      </c>
      <c r="H798">
        <v>3.4</v>
      </c>
      <c r="I798">
        <v>100</v>
      </c>
      <c r="J798" t="s">
        <v>1171</v>
      </c>
      <c r="K798">
        <v>0</v>
      </c>
    </row>
    <row r="799" spans="1:12">
      <c r="A799">
        <v>313388</v>
      </c>
      <c r="B799" t="s">
        <v>1465</v>
      </c>
      <c r="D799" t="s">
        <v>507</v>
      </c>
      <c r="E799">
        <v>32302</v>
      </c>
      <c r="F799" t="s">
        <v>578</v>
      </c>
      <c r="G799">
        <v>19</v>
      </c>
      <c r="H799">
        <v>4.3</v>
      </c>
      <c r="I799">
        <v>3</v>
      </c>
      <c r="J799" t="s">
        <v>1171</v>
      </c>
      <c r="K799">
        <v>40</v>
      </c>
      <c r="L799" s="145">
        <v>42061</v>
      </c>
    </row>
    <row r="800" spans="1:12">
      <c r="A800">
        <v>313389</v>
      </c>
      <c r="B800" t="s">
        <v>1465</v>
      </c>
      <c r="D800" t="s">
        <v>1479</v>
      </c>
      <c r="E800">
        <v>32402</v>
      </c>
      <c r="F800" t="s">
        <v>578</v>
      </c>
      <c r="G800">
        <v>1</v>
      </c>
      <c r="H800">
        <v>5.4</v>
      </c>
      <c r="I800">
        <v>48</v>
      </c>
      <c r="J800" t="s">
        <v>1171</v>
      </c>
      <c r="K800">
        <v>0</v>
      </c>
    </row>
    <row r="801" spans="1:12">
      <c r="A801">
        <v>313393</v>
      </c>
      <c r="B801" t="s">
        <v>1465</v>
      </c>
      <c r="D801" t="s">
        <v>584</v>
      </c>
      <c r="E801">
        <v>32402</v>
      </c>
      <c r="F801" t="s">
        <v>578</v>
      </c>
      <c r="G801">
        <v>2</v>
      </c>
      <c r="H801">
        <v>3.85</v>
      </c>
      <c r="I801">
        <v>102</v>
      </c>
      <c r="J801" t="s">
        <v>1171</v>
      </c>
      <c r="K801">
        <v>0</v>
      </c>
    </row>
    <row r="802" spans="1:12">
      <c r="A802">
        <v>313398</v>
      </c>
      <c r="B802" t="s">
        <v>1465</v>
      </c>
      <c r="D802" t="s">
        <v>585</v>
      </c>
      <c r="E802">
        <v>32402</v>
      </c>
      <c r="F802" t="s">
        <v>578</v>
      </c>
      <c r="G802">
        <v>4</v>
      </c>
      <c r="H802">
        <v>5.5</v>
      </c>
      <c r="I802">
        <v>62</v>
      </c>
      <c r="J802" t="s">
        <v>1171</v>
      </c>
      <c r="K802">
        <v>32</v>
      </c>
      <c r="L802" s="145">
        <v>42061</v>
      </c>
    </row>
    <row r="803" spans="1:12">
      <c r="A803">
        <v>301188</v>
      </c>
      <c r="B803" t="s">
        <v>1465</v>
      </c>
      <c r="D803" t="s">
        <v>1869</v>
      </c>
      <c r="E803">
        <v>34253</v>
      </c>
      <c r="F803" t="s">
        <v>578</v>
      </c>
      <c r="G803">
        <v>1</v>
      </c>
      <c r="H803">
        <v>19.399999999999999</v>
      </c>
      <c r="I803">
        <v>43</v>
      </c>
      <c r="J803" t="s">
        <v>580</v>
      </c>
      <c r="K803">
        <v>0</v>
      </c>
    </row>
    <row r="804" spans="1:12">
      <c r="A804">
        <v>301189</v>
      </c>
      <c r="B804" t="s">
        <v>1465</v>
      </c>
      <c r="D804" t="s">
        <v>426</v>
      </c>
      <c r="E804">
        <v>34252</v>
      </c>
      <c r="F804" t="s">
        <v>578</v>
      </c>
      <c r="G804">
        <v>1</v>
      </c>
      <c r="H804">
        <v>20.8</v>
      </c>
      <c r="I804">
        <v>37</v>
      </c>
      <c r="J804" t="s">
        <v>580</v>
      </c>
      <c r="K804">
        <v>0</v>
      </c>
    </row>
    <row r="805" spans="1:12">
      <c r="A805">
        <v>350241</v>
      </c>
      <c r="B805" t="s">
        <v>1465</v>
      </c>
      <c r="D805" t="s">
        <v>303</v>
      </c>
      <c r="E805">
        <v>32405</v>
      </c>
      <c r="F805" t="s">
        <v>578</v>
      </c>
      <c r="G805">
        <v>4</v>
      </c>
      <c r="H805">
        <v>60.9</v>
      </c>
      <c r="I805">
        <v>4</v>
      </c>
      <c r="J805" t="s">
        <v>427</v>
      </c>
      <c r="K805">
        <v>0</v>
      </c>
    </row>
    <row r="806" spans="1:12">
      <c r="A806">
        <v>350241</v>
      </c>
      <c r="B806" t="s">
        <v>1465</v>
      </c>
      <c r="D806" t="s">
        <v>303</v>
      </c>
      <c r="E806">
        <v>38205</v>
      </c>
      <c r="F806" t="s">
        <v>578</v>
      </c>
      <c r="G806">
        <v>2</v>
      </c>
      <c r="H806">
        <v>60.9</v>
      </c>
      <c r="I806">
        <v>4</v>
      </c>
      <c r="J806" t="s">
        <v>427</v>
      </c>
      <c r="K806">
        <v>0</v>
      </c>
    </row>
    <row r="807" spans="1:12">
      <c r="A807">
        <v>350230</v>
      </c>
      <c r="B807" t="s">
        <v>1465</v>
      </c>
      <c r="D807" t="s">
        <v>1890</v>
      </c>
      <c r="E807">
        <v>32403</v>
      </c>
      <c r="F807" t="s">
        <v>578</v>
      </c>
      <c r="G807">
        <v>1</v>
      </c>
      <c r="H807">
        <v>6.05</v>
      </c>
      <c r="I807">
        <v>219</v>
      </c>
      <c r="J807" t="s">
        <v>427</v>
      </c>
      <c r="K807">
        <v>0</v>
      </c>
    </row>
    <row r="808" spans="1:12">
      <c r="A808">
        <v>350230</v>
      </c>
      <c r="B808" t="s">
        <v>1465</v>
      </c>
      <c r="D808" t="s">
        <v>1890</v>
      </c>
      <c r="E808">
        <v>32404</v>
      </c>
      <c r="F808" t="s">
        <v>578</v>
      </c>
      <c r="G808">
        <v>1</v>
      </c>
      <c r="H808">
        <v>6.05</v>
      </c>
      <c r="I808">
        <v>219</v>
      </c>
      <c r="J808" t="s">
        <v>427</v>
      </c>
      <c r="K808">
        <v>0</v>
      </c>
    </row>
    <row r="809" spans="1:12">
      <c r="A809">
        <v>350245</v>
      </c>
      <c r="B809" t="s">
        <v>1904</v>
      </c>
      <c r="D809" t="s">
        <v>1903</v>
      </c>
      <c r="E809">
        <v>112</v>
      </c>
      <c r="F809" t="s">
        <v>578</v>
      </c>
      <c r="G809">
        <v>2</v>
      </c>
      <c r="H809">
        <v>11.2</v>
      </c>
      <c r="I809">
        <v>570</v>
      </c>
      <c r="J809" t="s">
        <v>427</v>
      </c>
      <c r="K809">
        <v>60</v>
      </c>
      <c r="L809" s="145">
        <v>42059</v>
      </c>
    </row>
    <row r="810" spans="1:12">
      <c r="A810">
        <v>350245</v>
      </c>
      <c r="B810" t="s">
        <v>1904</v>
      </c>
      <c r="D810" t="s">
        <v>1903</v>
      </c>
      <c r="E810">
        <v>32000</v>
      </c>
      <c r="F810" t="s">
        <v>578</v>
      </c>
      <c r="G810">
        <v>1</v>
      </c>
      <c r="H810">
        <v>11.2</v>
      </c>
      <c r="I810">
        <v>570</v>
      </c>
      <c r="J810" t="s">
        <v>427</v>
      </c>
      <c r="K810">
        <v>60</v>
      </c>
      <c r="L810" s="145">
        <v>42059</v>
      </c>
    </row>
    <row r="811" spans="1:12">
      <c r="A811">
        <v>350245</v>
      </c>
      <c r="B811" t="s">
        <v>1904</v>
      </c>
      <c r="D811" t="s">
        <v>1903</v>
      </c>
      <c r="E811">
        <v>32405</v>
      </c>
      <c r="F811" t="s">
        <v>578</v>
      </c>
      <c r="G811">
        <v>1</v>
      </c>
      <c r="H811">
        <v>11.2</v>
      </c>
      <c r="I811">
        <v>570</v>
      </c>
      <c r="J811" t="s">
        <v>427</v>
      </c>
      <c r="K811">
        <v>60</v>
      </c>
      <c r="L811" s="145">
        <v>42059</v>
      </c>
    </row>
    <row r="812" spans="1:12">
      <c r="A812">
        <v>350245</v>
      </c>
      <c r="B812" t="s">
        <v>1904</v>
      </c>
      <c r="D812" t="s">
        <v>1903</v>
      </c>
      <c r="E812">
        <v>85000</v>
      </c>
      <c r="F812" t="s">
        <v>578</v>
      </c>
      <c r="G812">
        <v>1</v>
      </c>
      <c r="H812">
        <v>11.2</v>
      </c>
      <c r="I812">
        <v>570</v>
      </c>
      <c r="J812" t="s">
        <v>427</v>
      </c>
      <c r="K812">
        <v>60</v>
      </c>
      <c r="L812" s="145">
        <v>42059</v>
      </c>
    </row>
    <row r="813" spans="1:12">
      <c r="A813">
        <v>350250</v>
      </c>
      <c r="B813" t="s">
        <v>1904</v>
      </c>
      <c r="D813" t="s">
        <v>1906</v>
      </c>
      <c r="E813">
        <v>104</v>
      </c>
      <c r="F813" t="s">
        <v>578</v>
      </c>
      <c r="G813">
        <v>5</v>
      </c>
      <c r="H813">
        <v>10.95</v>
      </c>
      <c r="I813">
        <v>64</v>
      </c>
      <c r="J813" t="s">
        <v>427</v>
      </c>
      <c r="K813">
        <v>0</v>
      </c>
    </row>
    <row r="814" spans="1:12">
      <c r="A814">
        <v>350250</v>
      </c>
      <c r="B814" t="s">
        <v>1904</v>
      </c>
      <c r="D814" t="s">
        <v>1906</v>
      </c>
      <c r="E814">
        <v>32403</v>
      </c>
      <c r="F814" t="s">
        <v>578</v>
      </c>
      <c r="G814">
        <v>7</v>
      </c>
      <c r="H814">
        <v>10.95</v>
      </c>
      <c r="I814">
        <v>64</v>
      </c>
      <c r="J814" t="s">
        <v>427</v>
      </c>
      <c r="K814">
        <v>0</v>
      </c>
    </row>
    <row r="815" spans="1:12">
      <c r="A815">
        <v>350250</v>
      </c>
      <c r="B815" t="s">
        <v>1904</v>
      </c>
      <c r="D815" t="s">
        <v>1906</v>
      </c>
      <c r="E815">
        <v>32404</v>
      </c>
      <c r="F815" t="s">
        <v>578</v>
      </c>
      <c r="G815">
        <v>7</v>
      </c>
      <c r="H815">
        <v>10.95</v>
      </c>
      <c r="I815">
        <v>64</v>
      </c>
      <c r="J815" t="s">
        <v>427</v>
      </c>
      <c r="K815">
        <v>0</v>
      </c>
    </row>
    <row r="816" spans="1:12">
      <c r="A816">
        <v>350248</v>
      </c>
      <c r="B816" t="s">
        <v>1904</v>
      </c>
      <c r="D816" t="s">
        <v>1905</v>
      </c>
      <c r="E816">
        <v>32403</v>
      </c>
      <c r="F816" t="s">
        <v>578</v>
      </c>
      <c r="G816">
        <v>6</v>
      </c>
      <c r="H816">
        <v>6.95</v>
      </c>
      <c r="I816">
        <v>156</v>
      </c>
      <c r="J816" t="s">
        <v>427</v>
      </c>
      <c r="K816">
        <v>150</v>
      </c>
      <c r="L816" s="145">
        <v>42062</v>
      </c>
    </row>
    <row r="817" spans="1:12">
      <c r="A817">
        <v>350248</v>
      </c>
      <c r="B817" t="s">
        <v>1904</v>
      </c>
      <c r="D817" t="s">
        <v>1905</v>
      </c>
      <c r="E817">
        <v>32404</v>
      </c>
      <c r="F817" t="s">
        <v>578</v>
      </c>
      <c r="G817">
        <v>6</v>
      </c>
      <c r="H817">
        <v>6.95</v>
      </c>
      <c r="I817">
        <v>156</v>
      </c>
      <c r="J817" t="s">
        <v>427</v>
      </c>
      <c r="K817">
        <v>150</v>
      </c>
      <c r="L817" s="145">
        <v>42062</v>
      </c>
    </row>
    <row r="818" spans="1:12">
      <c r="A818">
        <v>350222</v>
      </c>
      <c r="B818" t="s">
        <v>1465</v>
      </c>
      <c r="D818" t="s">
        <v>464</v>
      </c>
      <c r="E818">
        <v>32403</v>
      </c>
      <c r="F818" t="s">
        <v>578</v>
      </c>
      <c r="G818">
        <v>8</v>
      </c>
      <c r="H818">
        <v>8.4499999999999993</v>
      </c>
      <c r="I818">
        <v>18</v>
      </c>
      <c r="J818" t="s">
        <v>427</v>
      </c>
      <c r="K818">
        <v>0</v>
      </c>
    </row>
    <row r="819" spans="1:12">
      <c r="A819">
        <v>350222</v>
      </c>
      <c r="B819" t="s">
        <v>1465</v>
      </c>
      <c r="D819" t="s">
        <v>464</v>
      </c>
      <c r="E819">
        <v>32403</v>
      </c>
      <c r="F819" t="s">
        <v>578</v>
      </c>
      <c r="G819">
        <v>9</v>
      </c>
      <c r="H819">
        <v>8.4499999999999993</v>
      </c>
      <c r="I819">
        <v>18</v>
      </c>
      <c r="J819" t="s">
        <v>427</v>
      </c>
      <c r="K819">
        <v>0</v>
      </c>
    </row>
    <row r="820" spans="1:12">
      <c r="A820">
        <v>350005</v>
      </c>
      <c r="B820" t="s">
        <v>1465</v>
      </c>
      <c r="D820" t="s">
        <v>461</v>
      </c>
      <c r="E820">
        <v>32203</v>
      </c>
      <c r="F820" t="s">
        <v>578</v>
      </c>
      <c r="G820">
        <v>1</v>
      </c>
      <c r="H820">
        <v>7.9</v>
      </c>
      <c r="I820">
        <v>11</v>
      </c>
      <c r="J820" t="s">
        <v>427</v>
      </c>
      <c r="K820">
        <v>12</v>
      </c>
      <c r="L820" s="145">
        <v>42059</v>
      </c>
    </row>
    <row r="821" spans="1:12">
      <c r="A821">
        <v>350006</v>
      </c>
      <c r="B821" t="s">
        <v>1465</v>
      </c>
      <c r="D821" t="s">
        <v>462</v>
      </c>
      <c r="E821">
        <v>32203</v>
      </c>
      <c r="F821" t="s">
        <v>578</v>
      </c>
      <c r="G821">
        <v>2</v>
      </c>
      <c r="H821">
        <v>7.9</v>
      </c>
      <c r="I821">
        <v>13</v>
      </c>
      <c r="J821" t="s">
        <v>427</v>
      </c>
      <c r="K821">
        <v>12</v>
      </c>
      <c r="L821" s="145">
        <v>42059</v>
      </c>
    </row>
    <row r="822" spans="1:12">
      <c r="A822">
        <v>350504</v>
      </c>
      <c r="B822" t="s">
        <v>1465</v>
      </c>
      <c r="D822" t="s">
        <v>350</v>
      </c>
      <c r="E822">
        <v>32404</v>
      </c>
      <c r="F822" t="s">
        <v>578</v>
      </c>
      <c r="G822">
        <v>4</v>
      </c>
      <c r="H822">
        <v>4.95</v>
      </c>
      <c r="I822">
        <v>27</v>
      </c>
      <c r="J822" t="s">
        <v>427</v>
      </c>
      <c r="K822">
        <v>12</v>
      </c>
      <c r="L822" s="145">
        <v>42059</v>
      </c>
    </row>
    <row r="823" spans="1:12">
      <c r="A823">
        <v>350504</v>
      </c>
      <c r="B823" t="s">
        <v>1465</v>
      </c>
      <c r="D823" t="s">
        <v>350</v>
      </c>
      <c r="E823">
        <v>32403</v>
      </c>
      <c r="F823" t="s">
        <v>578</v>
      </c>
      <c r="G823">
        <v>4</v>
      </c>
      <c r="H823">
        <v>4.95</v>
      </c>
      <c r="I823">
        <v>27</v>
      </c>
      <c r="J823" t="s">
        <v>427</v>
      </c>
      <c r="K823">
        <v>12</v>
      </c>
      <c r="L823" s="145">
        <v>42059</v>
      </c>
    </row>
    <row r="824" spans="1:12">
      <c r="A824">
        <v>350505</v>
      </c>
      <c r="B824" t="s">
        <v>1465</v>
      </c>
      <c r="D824" t="s">
        <v>1041</v>
      </c>
      <c r="E824">
        <v>32000</v>
      </c>
      <c r="F824" t="s">
        <v>578</v>
      </c>
      <c r="G824">
        <v>2</v>
      </c>
      <c r="H824">
        <v>10.9</v>
      </c>
      <c r="I824">
        <v>187</v>
      </c>
      <c r="J824" t="s">
        <v>427</v>
      </c>
      <c r="K824">
        <v>60</v>
      </c>
      <c r="L824" s="145">
        <v>42059</v>
      </c>
    </row>
    <row r="825" spans="1:12">
      <c r="A825">
        <v>350282</v>
      </c>
      <c r="B825" t="s">
        <v>1465</v>
      </c>
      <c r="D825" t="s">
        <v>1910</v>
      </c>
      <c r="E825">
        <v>32403</v>
      </c>
      <c r="F825" t="s">
        <v>578</v>
      </c>
      <c r="G825">
        <v>2</v>
      </c>
      <c r="H825">
        <v>4.55</v>
      </c>
      <c r="I825">
        <v>30</v>
      </c>
      <c r="J825" t="s">
        <v>427</v>
      </c>
      <c r="K825">
        <v>12</v>
      </c>
      <c r="L825" s="145">
        <v>42059</v>
      </c>
    </row>
    <row r="826" spans="1:12">
      <c r="A826">
        <v>350282</v>
      </c>
      <c r="B826" t="s">
        <v>1465</v>
      </c>
      <c r="D826" t="s">
        <v>1910</v>
      </c>
      <c r="E826">
        <v>32404</v>
      </c>
      <c r="F826" t="s">
        <v>578</v>
      </c>
      <c r="G826">
        <v>2</v>
      </c>
      <c r="H826">
        <v>4.55</v>
      </c>
      <c r="I826">
        <v>30</v>
      </c>
      <c r="J826" t="s">
        <v>427</v>
      </c>
      <c r="K826">
        <v>12</v>
      </c>
      <c r="L826" s="145">
        <v>42059</v>
      </c>
    </row>
    <row r="827" spans="1:12">
      <c r="A827">
        <v>350500</v>
      </c>
      <c r="B827" t="s">
        <v>1465</v>
      </c>
      <c r="D827" t="s">
        <v>1866</v>
      </c>
      <c r="E827">
        <v>32103</v>
      </c>
      <c r="F827" t="s">
        <v>578</v>
      </c>
      <c r="G827">
        <v>2</v>
      </c>
      <c r="H827">
        <v>6.8</v>
      </c>
      <c r="I827">
        <v>65</v>
      </c>
      <c r="J827" t="s">
        <v>427</v>
      </c>
      <c r="K827">
        <v>0</v>
      </c>
    </row>
    <row r="828" spans="1:12">
      <c r="A828">
        <v>350500</v>
      </c>
      <c r="B828" t="s">
        <v>1465</v>
      </c>
      <c r="D828" t="s">
        <v>1866</v>
      </c>
      <c r="E828">
        <v>32403</v>
      </c>
      <c r="F828" t="s">
        <v>578</v>
      </c>
      <c r="G828">
        <v>5</v>
      </c>
      <c r="H828">
        <v>6.8</v>
      </c>
      <c r="I828">
        <v>65</v>
      </c>
      <c r="J828" t="s">
        <v>427</v>
      </c>
      <c r="K828">
        <v>0</v>
      </c>
    </row>
    <row r="829" spans="1:12">
      <c r="A829">
        <v>350500</v>
      </c>
      <c r="B829" t="s">
        <v>1465</v>
      </c>
      <c r="D829" t="s">
        <v>1866</v>
      </c>
      <c r="E829">
        <v>32404</v>
      </c>
      <c r="F829" t="s">
        <v>578</v>
      </c>
      <c r="G829">
        <v>5</v>
      </c>
      <c r="H829">
        <v>6.8</v>
      </c>
      <c r="I829">
        <v>65</v>
      </c>
      <c r="J829" t="s">
        <v>427</v>
      </c>
      <c r="K829">
        <v>0</v>
      </c>
    </row>
    <row r="830" spans="1:12">
      <c r="A830">
        <v>350276</v>
      </c>
      <c r="B830" t="s">
        <v>1465</v>
      </c>
      <c r="D830" t="s">
        <v>1909</v>
      </c>
      <c r="E830">
        <v>32404</v>
      </c>
      <c r="F830" t="s">
        <v>578</v>
      </c>
      <c r="G830">
        <v>10</v>
      </c>
      <c r="H830">
        <v>7.3</v>
      </c>
      <c r="I830">
        <v>34</v>
      </c>
      <c r="J830" t="s">
        <v>427</v>
      </c>
      <c r="K830">
        <v>0</v>
      </c>
    </row>
    <row r="831" spans="1:12">
      <c r="A831">
        <v>350276</v>
      </c>
      <c r="B831" t="s">
        <v>1465</v>
      </c>
      <c r="D831" t="s">
        <v>1909</v>
      </c>
      <c r="E831">
        <v>32404</v>
      </c>
      <c r="F831" t="s">
        <v>578</v>
      </c>
      <c r="G831">
        <v>11</v>
      </c>
      <c r="H831">
        <v>7.3</v>
      </c>
      <c r="I831">
        <v>34</v>
      </c>
      <c r="J831" t="s">
        <v>427</v>
      </c>
      <c r="K831">
        <v>0</v>
      </c>
    </row>
    <row r="832" spans="1:12">
      <c r="A832">
        <v>350258</v>
      </c>
      <c r="B832" t="s">
        <v>1465</v>
      </c>
      <c r="D832" t="s">
        <v>1907</v>
      </c>
      <c r="E832">
        <v>32404</v>
      </c>
      <c r="F832" t="s">
        <v>578</v>
      </c>
      <c r="G832">
        <v>8</v>
      </c>
      <c r="H832">
        <v>9.1</v>
      </c>
      <c r="I832">
        <v>31</v>
      </c>
      <c r="J832" t="s">
        <v>427</v>
      </c>
      <c r="K832">
        <v>12</v>
      </c>
      <c r="L832" s="145">
        <v>42059</v>
      </c>
    </row>
    <row r="833" spans="1:12">
      <c r="A833">
        <v>350218</v>
      </c>
      <c r="B833" t="s">
        <v>1465</v>
      </c>
      <c r="D833" t="s">
        <v>463</v>
      </c>
      <c r="E833">
        <v>32404</v>
      </c>
      <c r="F833" t="s">
        <v>578</v>
      </c>
      <c r="G833">
        <v>9</v>
      </c>
      <c r="H833">
        <v>9.5</v>
      </c>
      <c r="I833">
        <v>29</v>
      </c>
      <c r="J833" t="s">
        <v>427</v>
      </c>
      <c r="K833">
        <v>24</v>
      </c>
      <c r="L833" s="145">
        <v>42059</v>
      </c>
    </row>
    <row r="834" spans="1:12">
      <c r="A834">
        <v>350501</v>
      </c>
      <c r="B834" t="s">
        <v>1465</v>
      </c>
      <c r="D834" t="s">
        <v>1793</v>
      </c>
      <c r="E834">
        <v>32403</v>
      </c>
      <c r="F834" t="s">
        <v>578</v>
      </c>
      <c r="G834">
        <v>10</v>
      </c>
      <c r="H834">
        <v>8.5500000000000007</v>
      </c>
      <c r="I834">
        <v>6</v>
      </c>
      <c r="J834" t="s">
        <v>427</v>
      </c>
      <c r="K834">
        <v>0</v>
      </c>
    </row>
    <row r="835" spans="1:12">
      <c r="A835">
        <v>350502</v>
      </c>
      <c r="B835" t="s">
        <v>1465</v>
      </c>
      <c r="D835" t="s">
        <v>1794</v>
      </c>
      <c r="E835">
        <v>32405</v>
      </c>
      <c r="F835" t="s">
        <v>578</v>
      </c>
      <c r="G835">
        <v>3</v>
      </c>
      <c r="H835">
        <v>15.9</v>
      </c>
      <c r="I835">
        <v>17</v>
      </c>
      <c r="J835" t="s">
        <v>427</v>
      </c>
      <c r="K835">
        <v>0</v>
      </c>
    </row>
    <row r="836" spans="1:12">
      <c r="A836">
        <v>350503</v>
      </c>
      <c r="B836" t="s">
        <v>1465</v>
      </c>
      <c r="D836" t="s">
        <v>1795</v>
      </c>
      <c r="E836">
        <v>32403</v>
      </c>
      <c r="F836" t="s">
        <v>578</v>
      </c>
      <c r="G836">
        <v>12</v>
      </c>
      <c r="H836">
        <v>8.75</v>
      </c>
      <c r="I836">
        <v>35</v>
      </c>
      <c r="J836" t="s">
        <v>427</v>
      </c>
      <c r="K836">
        <v>0</v>
      </c>
    </row>
    <row r="837" spans="1:12">
      <c r="A837">
        <v>301427</v>
      </c>
      <c r="B837" t="s">
        <v>1465</v>
      </c>
      <c r="D837" t="s">
        <v>1876</v>
      </c>
      <c r="E837">
        <v>32405</v>
      </c>
      <c r="F837" t="s">
        <v>578</v>
      </c>
      <c r="G837">
        <v>5</v>
      </c>
      <c r="H837">
        <v>1.9</v>
      </c>
      <c r="I837">
        <v>182</v>
      </c>
      <c r="J837" t="s">
        <v>580</v>
      </c>
      <c r="K837">
        <v>0</v>
      </c>
    </row>
    <row r="838" spans="1:12">
      <c r="A838">
        <v>301851</v>
      </c>
      <c r="B838" t="s">
        <v>1465</v>
      </c>
      <c r="D838" t="s">
        <v>1210</v>
      </c>
      <c r="E838">
        <v>32405</v>
      </c>
      <c r="F838" t="s">
        <v>578</v>
      </c>
      <c r="G838">
        <v>6</v>
      </c>
      <c r="H838">
        <v>3.85</v>
      </c>
      <c r="I838">
        <v>53</v>
      </c>
      <c r="J838" t="s">
        <v>580</v>
      </c>
      <c r="K838">
        <v>0</v>
      </c>
    </row>
    <row r="839" spans="1:12">
      <c r="A839">
        <v>301852</v>
      </c>
      <c r="B839" t="s">
        <v>1904</v>
      </c>
      <c r="D839" t="s">
        <v>1211</v>
      </c>
      <c r="E839">
        <v>112</v>
      </c>
      <c r="F839" t="s">
        <v>578</v>
      </c>
      <c r="G839">
        <v>3</v>
      </c>
      <c r="H839">
        <v>4.9000000000000004</v>
      </c>
      <c r="I839">
        <v>201</v>
      </c>
      <c r="J839" t="s">
        <v>580</v>
      </c>
      <c r="K839">
        <v>20</v>
      </c>
      <c r="L839" s="145">
        <v>42061</v>
      </c>
    </row>
    <row r="840" spans="1:12">
      <c r="A840">
        <v>301852</v>
      </c>
      <c r="B840" t="s">
        <v>1904</v>
      </c>
      <c r="D840" t="s">
        <v>1211</v>
      </c>
      <c r="E840">
        <v>85000</v>
      </c>
      <c r="F840" t="s">
        <v>578</v>
      </c>
      <c r="G840">
        <v>3</v>
      </c>
      <c r="H840">
        <v>4.9000000000000004</v>
      </c>
      <c r="I840">
        <v>201</v>
      </c>
      <c r="J840" t="s">
        <v>580</v>
      </c>
      <c r="K840">
        <v>20</v>
      </c>
      <c r="L840" s="145">
        <v>42061</v>
      </c>
    </row>
    <row r="841" spans="1:12">
      <c r="A841">
        <v>301852</v>
      </c>
      <c r="B841" t="s">
        <v>1904</v>
      </c>
      <c r="D841" t="s">
        <v>1211</v>
      </c>
      <c r="E841">
        <v>32405</v>
      </c>
      <c r="F841" t="s">
        <v>578</v>
      </c>
      <c r="G841">
        <v>7</v>
      </c>
      <c r="H841">
        <v>4.9000000000000004</v>
      </c>
      <c r="I841">
        <v>201</v>
      </c>
      <c r="J841" t="s">
        <v>580</v>
      </c>
      <c r="K841">
        <v>20</v>
      </c>
      <c r="L841" s="145">
        <v>42061</v>
      </c>
    </row>
    <row r="842" spans="1:12">
      <c r="A842">
        <v>350275</v>
      </c>
      <c r="B842" t="s">
        <v>1465</v>
      </c>
      <c r="D842" t="s">
        <v>1908</v>
      </c>
      <c r="E842">
        <v>32404</v>
      </c>
      <c r="F842" t="s">
        <v>578</v>
      </c>
      <c r="G842">
        <v>12</v>
      </c>
      <c r="H842">
        <v>5.95</v>
      </c>
      <c r="I842">
        <v>12</v>
      </c>
      <c r="J842" t="s">
        <v>427</v>
      </c>
      <c r="K842">
        <v>24</v>
      </c>
      <c r="L842" s="145">
        <v>42059</v>
      </c>
    </row>
    <row r="843" spans="1:12">
      <c r="A843">
        <v>354064</v>
      </c>
      <c r="B843" t="s">
        <v>1465</v>
      </c>
      <c r="D843" t="s">
        <v>1911</v>
      </c>
      <c r="E843">
        <v>32405</v>
      </c>
      <c r="F843" t="s">
        <v>578</v>
      </c>
      <c r="G843">
        <v>9</v>
      </c>
      <c r="H843">
        <v>38</v>
      </c>
      <c r="I843">
        <v>5</v>
      </c>
      <c r="J843" t="s">
        <v>427</v>
      </c>
      <c r="K843">
        <v>0</v>
      </c>
    </row>
    <row r="844" spans="1:12">
      <c r="A844">
        <v>354064</v>
      </c>
      <c r="B844" t="s">
        <v>1465</v>
      </c>
      <c r="D844" t="s">
        <v>1911</v>
      </c>
      <c r="E844">
        <v>38305</v>
      </c>
      <c r="F844" t="s">
        <v>578</v>
      </c>
      <c r="G844">
        <v>2</v>
      </c>
      <c r="H844">
        <v>38</v>
      </c>
      <c r="I844">
        <v>5</v>
      </c>
      <c r="J844" t="s">
        <v>427</v>
      </c>
      <c r="K844">
        <v>0</v>
      </c>
    </row>
    <row r="845" spans="1:12">
      <c r="A845">
        <v>350234</v>
      </c>
      <c r="B845" t="s">
        <v>1465</v>
      </c>
      <c r="D845" t="s">
        <v>302</v>
      </c>
      <c r="E845">
        <v>32405</v>
      </c>
      <c r="F845" t="s">
        <v>578</v>
      </c>
      <c r="G845">
        <v>8</v>
      </c>
      <c r="H845">
        <v>41.5</v>
      </c>
      <c r="I845">
        <v>3</v>
      </c>
      <c r="J845" t="s">
        <v>427</v>
      </c>
      <c r="K845">
        <v>0</v>
      </c>
    </row>
    <row r="846" spans="1:12">
      <c r="A846">
        <v>350234</v>
      </c>
      <c r="B846" t="s">
        <v>1465</v>
      </c>
      <c r="D846" t="s">
        <v>302</v>
      </c>
      <c r="E846">
        <v>38204</v>
      </c>
      <c r="F846" t="s">
        <v>578</v>
      </c>
      <c r="G846">
        <v>2</v>
      </c>
      <c r="H846">
        <v>41.5</v>
      </c>
      <c r="I846">
        <v>3</v>
      </c>
      <c r="J846" t="s">
        <v>427</v>
      </c>
      <c r="K846">
        <v>0</v>
      </c>
    </row>
    <row r="847" spans="1:12">
      <c r="A847">
        <v>360208</v>
      </c>
      <c r="B847" t="s">
        <v>1465</v>
      </c>
      <c r="D847" t="s">
        <v>583</v>
      </c>
      <c r="E847">
        <v>35435</v>
      </c>
      <c r="F847" t="s">
        <v>578</v>
      </c>
      <c r="G847">
        <v>1</v>
      </c>
      <c r="H847">
        <v>16.59</v>
      </c>
      <c r="I847">
        <v>95</v>
      </c>
      <c r="J847" t="s">
        <v>1151</v>
      </c>
      <c r="K847">
        <v>0</v>
      </c>
    </row>
    <row r="848" spans="1:12">
      <c r="A848">
        <v>303030</v>
      </c>
      <c r="B848" t="s">
        <v>1465</v>
      </c>
      <c r="D848" t="s">
        <v>582</v>
      </c>
      <c r="E848">
        <v>35430</v>
      </c>
      <c r="F848" t="s">
        <v>578</v>
      </c>
      <c r="G848">
        <v>1</v>
      </c>
      <c r="H848">
        <v>11.34</v>
      </c>
      <c r="I848">
        <v>529</v>
      </c>
      <c r="J848" t="s">
        <v>1151</v>
      </c>
      <c r="K848">
        <v>0</v>
      </c>
    </row>
    <row r="849" spans="1:11">
      <c r="A849">
        <v>372406</v>
      </c>
      <c r="B849" t="s">
        <v>1791</v>
      </c>
      <c r="C849" s="145">
        <v>42040</v>
      </c>
      <c r="D849" t="s">
        <v>1687</v>
      </c>
      <c r="E849">
        <v>35431</v>
      </c>
      <c r="F849" t="s">
        <v>578</v>
      </c>
      <c r="G849">
        <v>1</v>
      </c>
      <c r="H849">
        <v>16.149999999999999</v>
      </c>
      <c r="I849">
        <v>1</v>
      </c>
      <c r="J849" t="s">
        <v>1151</v>
      </c>
      <c r="K849">
        <v>0</v>
      </c>
    </row>
    <row r="850" spans="1:11">
      <c r="A850">
        <v>300694</v>
      </c>
      <c r="B850" t="s">
        <v>1109</v>
      </c>
      <c r="D850" t="s">
        <v>1829</v>
      </c>
      <c r="E850">
        <v>35431</v>
      </c>
      <c r="F850" t="s">
        <v>578</v>
      </c>
      <c r="G850">
        <v>2</v>
      </c>
      <c r="H850">
        <v>15.05</v>
      </c>
      <c r="I850">
        <v>115</v>
      </c>
      <c r="J850" t="s">
        <v>428</v>
      </c>
      <c r="K850">
        <v>0</v>
      </c>
    </row>
    <row r="851" spans="1:11">
      <c r="A851">
        <v>350389</v>
      </c>
      <c r="B851" t="s">
        <v>1529</v>
      </c>
      <c r="D851" t="s">
        <v>1530</v>
      </c>
      <c r="E851">
        <v>35434</v>
      </c>
      <c r="F851" t="s">
        <v>578</v>
      </c>
      <c r="G851">
        <v>1</v>
      </c>
      <c r="H851">
        <v>17.559999999999999</v>
      </c>
      <c r="I851">
        <v>113</v>
      </c>
      <c r="J851" t="s">
        <v>1154</v>
      </c>
      <c r="K851">
        <v>0</v>
      </c>
    </row>
    <row r="852" spans="1:11">
      <c r="A852">
        <v>300963</v>
      </c>
      <c r="B852" t="s">
        <v>1109</v>
      </c>
      <c r="D852" t="s">
        <v>417</v>
      </c>
      <c r="E852">
        <v>35427</v>
      </c>
      <c r="F852" t="s">
        <v>578</v>
      </c>
      <c r="G852">
        <v>1</v>
      </c>
      <c r="H852">
        <v>4.49</v>
      </c>
      <c r="I852" s="45">
        <v>1716</v>
      </c>
      <c r="J852" t="s">
        <v>429</v>
      </c>
      <c r="K852">
        <v>0</v>
      </c>
    </row>
    <row r="853" spans="1:11">
      <c r="A853">
        <v>302769</v>
      </c>
      <c r="B853" t="s">
        <v>1465</v>
      </c>
      <c r="D853" t="s">
        <v>1919</v>
      </c>
      <c r="E853">
        <v>35436</v>
      </c>
      <c r="F853" t="s">
        <v>578</v>
      </c>
      <c r="G853">
        <v>1</v>
      </c>
      <c r="H853">
        <v>5.0999999999999996</v>
      </c>
      <c r="I853">
        <v>308</v>
      </c>
      <c r="J853" t="s">
        <v>430</v>
      </c>
      <c r="K853">
        <v>0</v>
      </c>
    </row>
    <row r="854" spans="1:11">
      <c r="A854">
        <v>302772</v>
      </c>
      <c r="B854" t="s">
        <v>1465</v>
      </c>
      <c r="D854" t="s">
        <v>1920</v>
      </c>
      <c r="E854">
        <v>35437</v>
      </c>
      <c r="F854" t="s">
        <v>578</v>
      </c>
      <c r="G854">
        <v>1</v>
      </c>
      <c r="H854">
        <v>6.16</v>
      </c>
      <c r="I854">
        <v>448</v>
      </c>
      <c r="J854" t="s">
        <v>430</v>
      </c>
      <c r="K854">
        <v>0</v>
      </c>
    </row>
    <row r="855" spans="1:11">
      <c r="A855">
        <v>302773</v>
      </c>
      <c r="B855" t="s">
        <v>1465</v>
      </c>
      <c r="D855" t="s">
        <v>494</v>
      </c>
      <c r="E855">
        <v>35439</v>
      </c>
      <c r="F855" t="s">
        <v>578</v>
      </c>
      <c r="G855">
        <v>1</v>
      </c>
      <c r="H855">
        <v>7.38</v>
      </c>
      <c r="I855">
        <v>226</v>
      </c>
      <c r="J855" t="s">
        <v>430</v>
      </c>
      <c r="K855">
        <v>0</v>
      </c>
    </row>
    <row r="856" spans="1:11">
      <c r="A856">
        <v>302774</v>
      </c>
      <c r="B856" t="s">
        <v>1465</v>
      </c>
      <c r="D856" t="s">
        <v>495</v>
      </c>
      <c r="E856">
        <v>35440</v>
      </c>
      <c r="F856" t="s">
        <v>578</v>
      </c>
      <c r="G856">
        <v>1</v>
      </c>
      <c r="H856">
        <v>7.92</v>
      </c>
      <c r="I856">
        <v>331</v>
      </c>
      <c r="J856" t="s">
        <v>430</v>
      </c>
      <c r="K856">
        <v>0</v>
      </c>
    </row>
    <row r="857" spans="1:11">
      <c r="A857">
        <v>302774</v>
      </c>
      <c r="B857" t="s">
        <v>1465</v>
      </c>
      <c r="D857" t="s">
        <v>495</v>
      </c>
      <c r="E857">
        <v>35438</v>
      </c>
      <c r="F857" t="s">
        <v>578</v>
      </c>
      <c r="G857">
        <v>1</v>
      </c>
      <c r="H857">
        <v>7.92</v>
      </c>
      <c r="I857">
        <v>331</v>
      </c>
      <c r="J857" t="s">
        <v>430</v>
      </c>
      <c r="K857">
        <v>0</v>
      </c>
    </row>
    <row r="858" spans="1:11">
      <c r="A858">
        <v>372436</v>
      </c>
      <c r="B858" t="s">
        <v>1465</v>
      </c>
      <c r="D858" t="s">
        <v>1187</v>
      </c>
      <c r="E858">
        <v>36004</v>
      </c>
      <c r="F858" t="s">
        <v>578</v>
      </c>
      <c r="G858">
        <v>1</v>
      </c>
      <c r="H858">
        <v>8.26</v>
      </c>
      <c r="I858">
        <v>115</v>
      </c>
      <c r="J858" t="s">
        <v>445</v>
      </c>
      <c r="K858">
        <v>0</v>
      </c>
    </row>
    <row r="859" spans="1:11">
      <c r="A859">
        <v>372437</v>
      </c>
      <c r="B859" t="s">
        <v>1465</v>
      </c>
      <c r="D859" t="s">
        <v>1188</v>
      </c>
      <c r="E859">
        <v>36009</v>
      </c>
      <c r="F859" t="s">
        <v>578</v>
      </c>
      <c r="G859">
        <v>1</v>
      </c>
      <c r="H859">
        <v>10.45</v>
      </c>
      <c r="I859">
        <v>112</v>
      </c>
      <c r="J859" t="s">
        <v>445</v>
      </c>
      <c r="K859">
        <v>0</v>
      </c>
    </row>
    <row r="860" spans="1:11">
      <c r="A860">
        <v>372438</v>
      </c>
      <c r="B860" t="s">
        <v>1465</v>
      </c>
      <c r="D860" t="s">
        <v>1612</v>
      </c>
      <c r="E860">
        <v>36010</v>
      </c>
      <c r="F860" t="s">
        <v>578</v>
      </c>
      <c r="G860">
        <v>1</v>
      </c>
      <c r="H860">
        <v>11.8</v>
      </c>
      <c r="I860">
        <v>85</v>
      </c>
      <c r="J860" t="s">
        <v>445</v>
      </c>
      <c r="K860">
        <v>0</v>
      </c>
    </row>
    <row r="861" spans="1:11">
      <c r="A861">
        <v>360126</v>
      </c>
      <c r="B861" t="s">
        <v>1465</v>
      </c>
      <c r="D861" t="s">
        <v>496</v>
      </c>
      <c r="E861">
        <v>36005</v>
      </c>
      <c r="F861" t="s">
        <v>578</v>
      </c>
      <c r="G861">
        <v>1</v>
      </c>
      <c r="H861">
        <v>18.48</v>
      </c>
      <c r="I861">
        <v>31</v>
      </c>
      <c r="J861" t="s">
        <v>430</v>
      </c>
      <c r="K861">
        <v>0</v>
      </c>
    </row>
    <row r="862" spans="1:11">
      <c r="A862">
        <v>360081</v>
      </c>
      <c r="B862" t="s">
        <v>1465</v>
      </c>
      <c r="D862" t="s">
        <v>1618</v>
      </c>
      <c r="E862">
        <v>36008</v>
      </c>
      <c r="F862" t="s">
        <v>578</v>
      </c>
      <c r="G862">
        <v>1</v>
      </c>
      <c r="H862">
        <v>9.4499999999999993</v>
      </c>
      <c r="I862">
        <v>77</v>
      </c>
      <c r="J862" t="s">
        <v>445</v>
      </c>
      <c r="K862">
        <v>0</v>
      </c>
    </row>
    <row r="863" spans="1:11">
      <c r="A863">
        <v>360073</v>
      </c>
      <c r="B863" t="s">
        <v>1465</v>
      </c>
      <c r="D863" t="s">
        <v>431</v>
      </c>
      <c r="E863">
        <v>36015</v>
      </c>
      <c r="F863" t="s">
        <v>578</v>
      </c>
      <c r="G863">
        <v>1</v>
      </c>
      <c r="H863">
        <v>17.43</v>
      </c>
      <c r="I863">
        <v>34</v>
      </c>
      <c r="J863" t="s">
        <v>580</v>
      </c>
      <c r="K863">
        <v>0</v>
      </c>
    </row>
    <row r="864" spans="1:11">
      <c r="A864">
        <v>360074</v>
      </c>
      <c r="B864" t="s">
        <v>1465</v>
      </c>
      <c r="D864" t="s">
        <v>432</v>
      </c>
      <c r="E864">
        <v>36016</v>
      </c>
      <c r="F864" t="s">
        <v>578</v>
      </c>
      <c r="G864">
        <v>1</v>
      </c>
      <c r="H864">
        <v>25.8</v>
      </c>
      <c r="I864">
        <v>42</v>
      </c>
      <c r="J864" t="s">
        <v>580</v>
      </c>
      <c r="K864">
        <v>0</v>
      </c>
    </row>
    <row r="865" spans="1:12">
      <c r="A865">
        <v>360075</v>
      </c>
      <c r="B865" t="s">
        <v>1465</v>
      </c>
      <c r="D865" t="s">
        <v>433</v>
      </c>
      <c r="E865">
        <v>36017</v>
      </c>
      <c r="F865" t="s">
        <v>578</v>
      </c>
      <c r="G865">
        <v>1</v>
      </c>
      <c r="H865">
        <v>37.1</v>
      </c>
      <c r="I865">
        <v>24</v>
      </c>
      <c r="J865" t="s">
        <v>580</v>
      </c>
      <c r="K865">
        <v>0</v>
      </c>
    </row>
    <row r="866" spans="1:12">
      <c r="A866">
        <v>370072</v>
      </c>
      <c r="B866" t="s">
        <v>1465</v>
      </c>
      <c r="D866" t="s">
        <v>1184</v>
      </c>
      <c r="E866">
        <v>36014</v>
      </c>
      <c r="F866" t="s">
        <v>578</v>
      </c>
      <c r="G866">
        <v>1</v>
      </c>
      <c r="H866">
        <v>17.649999999999999</v>
      </c>
      <c r="I866">
        <v>24</v>
      </c>
      <c r="J866" t="s">
        <v>445</v>
      </c>
      <c r="K866">
        <v>0</v>
      </c>
    </row>
    <row r="867" spans="1:12">
      <c r="A867">
        <v>360004</v>
      </c>
      <c r="B867" t="s">
        <v>1465</v>
      </c>
      <c r="D867" t="s">
        <v>1614</v>
      </c>
      <c r="E867">
        <v>34106</v>
      </c>
      <c r="F867" t="s">
        <v>578</v>
      </c>
      <c r="G867">
        <v>1</v>
      </c>
      <c r="H867">
        <v>2.6</v>
      </c>
      <c r="I867">
        <v>82</v>
      </c>
      <c r="J867" t="s">
        <v>445</v>
      </c>
      <c r="K867">
        <v>0</v>
      </c>
    </row>
    <row r="868" spans="1:12">
      <c r="A868">
        <v>360007</v>
      </c>
      <c r="B868" t="s">
        <v>1465</v>
      </c>
      <c r="D868" t="s">
        <v>1616</v>
      </c>
      <c r="E868">
        <v>34106</v>
      </c>
      <c r="F868" t="s">
        <v>578</v>
      </c>
      <c r="G868">
        <v>2</v>
      </c>
      <c r="H868">
        <v>3.5</v>
      </c>
      <c r="I868">
        <v>139</v>
      </c>
      <c r="J868" t="s">
        <v>445</v>
      </c>
      <c r="K868">
        <v>0</v>
      </c>
    </row>
    <row r="869" spans="1:12">
      <c r="A869">
        <v>372430</v>
      </c>
      <c r="B869" t="s">
        <v>1465</v>
      </c>
      <c r="D869" t="s">
        <v>1185</v>
      </c>
      <c r="E869">
        <v>34106</v>
      </c>
      <c r="F869" t="s">
        <v>578</v>
      </c>
      <c r="G869">
        <v>3</v>
      </c>
      <c r="H869">
        <v>6.7</v>
      </c>
      <c r="I869">
        <v>85</v>
      </c>
      <c r="J869" t="s">
        <v>445</v>
      </c>
      <c r="K869">
        <v>0</v>
      </c>
    </row>
    <row r="870" spans="1:12">
      <c r="A870">
        <v>360005</v>
      </c>
      <c r="B870" t="s">
        <v>1465</v>
      </c>
      <c r="D870" t="s">
        <v>1615</v>
      </c>
      <c r="E870">
        <v>34107</v>
      </c>
      <c r="F870" t="s">
        <v>578</v>
      </c>
      <c r="G870">
        <v>1</v>
      </c>
      <c r="H870">
        <v>3.3</v>
      </c>
      <c r="I870">
        <v>95</v>
      </c>
      <c r="J870" t="s">
        <v>445</v>
      </c>
      <c r="K870">
        <v>0</v>
      </c>
    </row>
    <row r="871" spans="1:12">
      <c r="A871">
        <v>360008</v>
      </c>
      <c r="B871" t="s">
        <v>1465</v>
      </c>
      <c r="D871" t="s">
        <v>1617</v>
      </c>
      <c r="E871">
        <v>34107</v>
      </c>
      <c r="F871" t="s">
        <v>578</v>
      </c>
      <c r="G871">
        <v>2</v>
      </c>
      <c r="H871">
        <v>4.3499999999999996</v>
      </c>
      <c r="I871">
        <v>34</v>
      </c>
      <c r="J871" t="s">
        <v>445</v>
      </c>
      <c r="K871">
        <v>0</v>
      </c>
    </row>
    <row r="872" spans="1:12">
      <c r="A872">
        <v>372431</v>
      </c>
      <c r="B872" t="s">
        <v>1465</v>
      </c>
      <c r="D872" t="s">
        <v>1186</v>
      </c>
      <c r="E872">
        <v>34107</v>
      </c>
      <c r="F872" t="s">
        <v>578</v>
      </c>
      <c r="G872">
        <v>3</v>
      </c>
      <c r="H872">
        <v>8.35</v>
      </c>
      <c r="I872">
        <v>38</v>
      </c>
      <c r="J872" t="s">
        <v>445</v>
      </c>
      <c r="K872">
        <v>0</v>
      </c>
    </row>
    <row r="873" spans="1:12">
      <c r="A873">
        <v>360702</v>
      </c>
      <c r="B873" t="s">
        <v>1465</v>
      </c>
      <c r="D873" t="s">
        <v>1619</v>
      </c>
      <c r="E873">
        <v>34103</v>
      </c>
      <c r="F873" t="s">
        <v>578</v>
      </c>
      <c r="G873">
        <v>1</v>
      </c>
      <c r="H873">
        <v>5.6</v>
      </c>
      <c r="I873">
        <v>131</v>
      </c>
      <c r="J873" t="s">
        <v>445</v>
      </c>
      <c r="K873">
        <v>0</v>
      </c>
    </row>
    <row r="874" spans="1:12">
      <c r="A874">
        <v>360031</v>
      </c>
      <c r="B874" t="s">
        <v>1465</v>
      </c>
      <c r="D874" t="s">
        <v>434</v>
      </c>
      <c r="E874">
        <v>34103</v>
      </c>
      <c r="F874" t="s">
        <v>578</v>
      </c>
      <c r="G874">
        <v>3</v>
      </c>
      <c r="H874">
        <v>4.2</v>
      </c>
      <c r="I874">
        <v>159</v>
      </c>
      <c r="J874" t="s">
        <v>580</v>
      </c>
      <c r="K874">
        <v>0</v>
      </c>
    </row>
    <row r="875" spans="1:12">
      <c r="A875">
        <v>360031</v>
      </c>
      <c r="B875" t="s">
        <v>1465</v>
      </c>
      <c r="D875" t="s">
        <v>434</v>
      </c>
      <c r="E875">
        <v>34104</v>
      </c>
      <c r="F875" t="s">
        <v>578</v>
      </c>
      <c r="G875">
        <v>1</v>
      </c>
      <c r="H875">
        <v>4.2</v>
      </c>
      <c r="I875">
        <v>159</v>
      </c>
      <c r="J875" t="s">
        <v>580</v>
      </c>
      <c r="K875">
        <v>0</v>
      </c>
    </row>
    <row r="876" spans="1:12">
      <c r="A876">
        <v>360034</v>
      </c>
      <c r="B876" t="s">
        <v>1465</v>
      </c>
      <c r="D876" t="s">
        <v>435</v>
      </c>
      <c r="E876">
        <v>34104</v>
      </c>
      <c r="F876" t="s">
        <v>578</v>
      </c>
      <c r="G876">
        <v>2</v>
      </c>
      <c r="H876">
        <v>5.7</v>
      </c>
      <c r="I876">
        <v>106</v>
      </c>
      <c r="J876" t="s">
        <v>580</v>
      </c>
      <c r="K876">
        <v>0</v>
      </c>
    </row>
    <row r="877" spans="1:12">
      <c r="A877">
        <v>360743</v>
      </c>
      <c r="B877" t="s">
        <v>1465</v>
      </c>
      <c r="D877" t="s">
        <v>436</v>
      </c>
      <c r="E877">
        <v>34104</v>
      </c>
      <c r="F877" t="s">
        <v>578</v>
      </c>
      <c r="G877">
        <v>3</v>
      </c>
      <c r="H877">
        <v>11.1</v>
      </c>
      <c r="I877">
        <v>46</v>
      </c>
      <c r="J877" t="s">
        <v>580</v>
      </c>
      <c r="K877">
        <v>0</v>
      </c>
    </row>
    <row r="878" spans="1:12">
      <c r="A878">
        <v>360032</v>
      </c>
      <c r="B878" t="s">
        <v>1465</v>
      </c>
      <c r="D878" t="s">
        <v>437</v>
      </c>
      <c r="E878">
        <v>34105</v>
      </c>
      <c r="F878" t="s">
        <v>578</v>
      </c>
      <c r="G878">
        <v>1</v>
      </c>
      <c r="H878">
        <v>6.7</v>
      </c>
      <c r="I878">
        <v>27</v>
      </c>
      <c r="J878" t="s">
        <v>580</v>
      </c>
      <c r="K878">
        <v>159</v>
      </c>
      <c r="L878" s="145">
        <v>42061</v>
      </c>
    </row>
    <row r="879" spans="1:12">
      <c r="A879">
        <v>360035</v>
      </c>
      <c r="B879" t="s">
        <v>1465</v>
      </c>
      <c r="D879" t="s">
        <v>1544</v>
      </c>
      <c r="E879">
        <v>34105</v>
      </c>
      <c r="F879" t="s">
        <v>578</v>
      </c>
      <c r="G879">
        <v>2</v>
      </c>
      <c r="H879">
        <v>9.65</v>
      </c>
      <c r="I879">
        <v>90</v>
      </c>
      <c r="J879" t="s">
        <v>580</v>
      </c>
      <c r="K879">
        <v>0</v>
      </c>
    </row>
    <row r="880" spans="1:12">
      <c r="A880">
        <v>360744</v>
      </c>
      <c r="B880" t="s">
        <v>1465</v>
      </c>
      <c r="D880" t="s">
        <v>1545</v>
      </c>
      <c r="E880">
        <v>34105</v>
      </c>
      <c r="F880" t="s">
        <v>578</v>
      </c>
      <c r="G880">
        <v>3</v>
      </c>
      <c r="H880">
        <v>19.3</v>
      </c>
      <c r="I880">
        <v>13</v>
      </c>
      <c r="J880" t="s">
        <v>580</v>
      </c>
      <c r="K880">
        <v>0</v>
      </c>
    </row>
    <row r="881" spans="1:12">
      <c r="A881">
        <v>360744</v>
      </c>
      <c r="B881" t="s">
        <v>1465</v>
      </c>
      <c r="D881" t="s">
        <v>1545</v>
      </c>
      <c r="E881">
        <v>34103</v>
      </c>
      <c r="F881" t="s">
        <v>578</v>
      </c>
      <c r="G881">
        <v>2</v>
      </c>
      <c r="H881">
        <v>19.3</v>
      </c>
      <c r="I881">
        <v>13</v>
      </c>
      <c r="J881" t="s">
        <v>580</v>
      </c>
      <c r="K881">
        <v>0</v>
      </c>
    </row>
    <row r="882" spans="1:12">
      <c r="A882">
        <v>370001</v>
      </c>
      <c r="B882" t="s">
        <v>1465</v>
      </c>
      <c r="D882" t="s">
        <v>996</v>
      </c>
      <c r="E882">
        <v>39129</v>
      </c>
      <c r="F882" t="s">
        <v>578</v>
      </c>
      <c r="G882">
        <v>2</v>
      </c>
      <c r="H882">
        <v>10.7</v>
      </c>
      <c r="I882">
        <v>47</v>
      </c>
      <c r="J882" t="s">
        <v>1546</v>
      </c>
      <c r="K882">
        <v>0</v>
      </c>
    </row>
    <row r="883" spans="1:12">
      <c r="A883">
        <v>370002</v>
      </c>
      <c r="B883" t="s">
        <v>1465</v>
      </c>
      <c r="D883" t="s">
        <v>997</v>
      </c>
      <c r="E883">
        <v>32901</v>
      </c>
      <c r="F883" t="s">
        <v>578</v>
      </c>
      <c r="G883">
        <v>3</v>
      </c>
      <c r="H883">
        <v>20.6</v>
      </c>
      <c r="I883">
        <v>67</v>
      </c>
      <c r="J883" t="s">
        <v>1546</v>
      </c>
      <c r="K883">
        <v>0</v>
      </c>
    </row>
    <row r="884" spans="1:12">
      <c r="A884">
        <v>370003</v>
      </c>
      <c r="B884" t="s">
        <v>1465</v>
      </c>
      <c r="D884" t="s">
        <v>998</v>
      </c>
      <c r="E884">
        <v>32901</v>
      </c>
      <c r="F884" t="s">
        <v>578</v>
      </c>
      <c r="G884">
        <v>1</v>
      </c>
      <c r="H884">
        <v>36.950000000000003</v>
      </c>
      <c r="I884">
        <v>29</v>
      </c>
      <c r="J884" t="s">
        <v>1546</v>
      </c>
      <c r="K884">
        <v>0</v>
      </c>
    </row>
    <row r="885" spans="1:12">
      <c r="A885">
        <v>371715</v>
      </c>
      <c r="B885" t="s">
        <v>1465</v>
      </c>
      <c r="D885" t="s">
        <v>999</v>
      </c>
      <c r="E885">
        <v>39129</v>
      </c>
      <c r="F885" t="s">
        <v>578</v>
      </c>
      <c r="G885">
        <v>3</v>
      </c>
      <c r="H885">
        <v>18.649999999999999</v>
      </c>
      <c r="I885">
        <v>19</v>
      </c>
      <c r="J885" t="s">
        <v>1546</v>
      </c>
      <c r="K885">
        <v>0</v>
      </c>
    </row>
    <row r="886" spans="1:12">
      <c r="A886">
        <v>371727</v>
      </c>
      <c r="B886" t="s">
        <v>1465</v>
      </c>
      <c r="D886" t="s">
        <v>1000</v>
      </c>
      <c r="E886">
        <v>32901</v>
      </c>
      <c r="F886" t="s">
        <v>578</v>
      </c>
      <c r="G886">
        <v>4</v>
      </c>
      <c r="H886">
        <v>30.55</v>
      </c>
      <c r="I886">
        <v>16</v>
      </c>
      <c r="J886" t="s">
        <v>1546</v>
      </c>
      <c r="K886">
        <v>0</v>
      </c>
    </row>
    <row r="887" spans="1:12">
      <c r="A887">
        <v>371729</v>
      </c>
      <c r="B887" t="s">
        <v>1465</v>
      </c>
      <c r="D887" t="s">
        <v>1001</v>
      </c>
      <c r="E887">
        <v>32901</v>
      </c>
      <c r="F887" t="s">
        <v>578</v>
      </c>
      <c r="G887">
        <v>2</v>
      </c>
      <c r="H887">
        <v>56.7</v>
      </c>
      <c r="I887">
        <v>13</v>
      </c>
      <c r="J887" t="s">
        <v>1546</v>
      </c>
      <c r="K887">
        <v>0</v>
      </c>
    </row>
    <row r="888" spans="1:12">
      <c r="A888">
        <v>313422</v>
      </c>
      <c r="B888" t="s">
        <v>1465</v>
      </c>
      <c r="D888" t="s">
        <v>1901</v>
      </c>
      <c r="E888">
        <v>38104</v>
      </c>
      <c r="F888" t="s">
        <v>578</v>
      </c>
      <c r="G888">
        <v>5</v>
      </c>
      <c r="H888">
        <v>2</v>
      </c>
      <c r="I888">
        <v>496</v>
      </c>
      <c r="J888" t="s">
        <v>580</v>
      </c>
      <c r="K888">
        <v>0</v>
      </c>
    </row>
    <row r="889" spans="1:12">
      <c r="A889">
        <v>313425</v>
      </c>
      <c r="B889" t="s">
        <v>1465</v>
      </c>
      <c r="D889" t="s">
        <v>1547</v>
      </c>
      <c r="E889">
        <v>38102</v>
      </c>
      <c r="F889" t="s">
        <v>578</v>
      </c>
      <c r="G889">
        <v>16</v>
      </c>
      <c r="H889">
        <v>12.5</v>
      </c>
      <c r="I889">
        <v>72</v>
      </c>
      <c r="J889" t="s">
        <v>580</v>
      </c>
      <c r="K889">
        <v>0</v>
      </c>
    </row>
    <row r="890" spans="1:12">
      <c r="A890">
        <v>313426</v>
      </c>
      <c r="B890" t="s">
        <v>1465</v>
      </c>
      <c r="D890" t="s">
        <v>1902</v>
      </c>
      <c r="E890">
        <v>38102</v>
      </c>
      <c r="F890" t="s">
        <v>578</v>
      </c>
      <c r="G890">
        <v>14</v>
      </c>
      <c r="H890">
        <v>15.5</v>
      </c>
      <c r="I890">
        <v>14</v>
      </c>
      <c r="J890" t="s">
        <v>580</v>
      </c>
      <c r="K890">
        <v>16</v>
      </c>
      <c r="L890" s="145">
        <v>42061</v>
      </c>
    </row>
    <row r="891" spans="1:12">
      <c r="A891">
        <v>313427</v>
      </c>
      <c r="B891" t="s">
        <v>1465</v>
      </c>
      <c r="D891" t="s">
        <v>1548</v>
      </c>
      <c r="E891">
        <v>38102</v>
      </c>
      <c r="F891" t="s">
        <v>578</v>
      </c>
      <c r="G891">
        <v>15</v>
      </c>
      <c r="H891">
        <v>10.95</v>
      </c>
      <c r="I891">
        <v>18</v>
      </c>
      <c r="J891" t="s">
        <v>580</v>
      </c>
      <c r="K891">
        <v>0</v>
      </c>
    </row>
    <row r="892" spans="1:12">
      <c r="A892">
        <v>313460</v>
      </c>
      <c r="B892" t="s">
        <v>1465</v>
      </c>
      <c r="D892" t="s">
        <v>452</v>
      </c>
      <c r="E892">
        <v>38104</v>
      </c>
      <c r="F892" t="s">
        <v>578</v>
      </c>
      <c r="G892">
        <v>1</v>
      </c>
      <c r="H892">
        <v>7.1</v>
      </c>
      <c r="I892">
        <v>19</v>
      </c>
      <c r="J892" t="s">
        <v>580</v>
      </c>
      <c r="K892">
        <v>24</v>
      </c>
      <c r="L892" s="145">
        <v>42061</v>
      </c>
    </row>
    <row r="893" spans="1:12">
      <c r="A893">
        <v>313461</v>
      </c>
      <c r="B893" t="s">
        <v>1791</v>
      </c>
      <c r="C893" s="145">
        <v>42009</v>
      </c>
      <c r="D893" t="s">
        <v>1145</v>
      </c>
      <c r="E893">
        <v>38104</v>
      </c>
      <c r="F893" t="s">
        <v>578</v>
      </c>
      <c r="G893">
        <v>2</v>
      </c>
      <c r="H893">
        <v>6.2</v>
      </c>
      <c r="I893">
        <v>1</v>
      </c>
      <c r="J893" t="s">
        <v>580</v>
      </c>
      <c r="K893">
        <v>0</v>
      </c>
    </row>
    <row r="894" spans="1:12">
      <c r="A894">
        <v>313487</v>
      </c>
      <c r="B894" t="s">
        <v>1465</v>
      </c>
      <c r="D894" t="s">
        <v>331</v>
      </c>
      <c r="E894">
        <v>38104</v>
      </c>
      <c r="F894" t="s">
        <v>578</v>
      </c>
      <c r="G894">
        <v>6</v>
      </c>
      <c r="H894">
        <v>6.9</v>
      </c>
      <c r="I894">
        <v>87</v>
      </c>
      <c r="J894" t="s">
        <v>580</v>
      </c>
      <c r="K894">
        <v>0</v>
      </c>
    </row>
    <row r="895" spans="1:12">
      <c r="A895">
        <v>313462</v>
      </c>
      <c r="B895" t="s">
        <v>1465</v>
      </c>
      <c r="D895" t="s">
        <v>1146</v>
      </c>
      <c r="E895">
        <v>38102</v>
      </c>
      <c r="F895" t="s">
        <v>578</v>
      </c>
      <c r="G895">
        <v>12</v>
      </c>
      <c r="H895">
        <v>26.9</v>
      </c>
      <c r="I895">
        <v>5</v>
      </c>
      <c r="J895" t="s">
        <v>580</v>
      </c>
      <c r="K895">
        <v>0</v>
      </c>
    </row>
    <row r="896" spans="1:12">
      <c r="A896">
        <v>313463</v>
      </c>
      <c r="B896" t="s">
        <v>1465</v>
      </c>
      <c r="D896" t="s">
        <v>1147</v>
      </c>
      <c r="E896">
        <v>38102</v>
      </c>
      <c r="F896" t="s">
        <v>578</v>
      </c>
      <c r="G896">
        <v>13</v>
      </c>
      <c r="H896">
        <v>22.9</v>
      </c>
      <c r="I896">
        <v>5</v>
      </c>
      <c r="J896" t="s">
        <v>580</v>
      </c>
      <c r="K896">
        <v>4</v>
      </c>
      <c r="L896" s="145">
        <v>42061</v>
      </c>
    </row>
    <row r="897" spans="1:11">
      <c r="A897">
        <v>313464</v>
      </c>
      <c r="B897" t="s">
        <v>1465</v>
      </c>
      <c r="D897" t="s">
        <v>453</v>
      </c>
      <c r="E897">
        <v>38102</v>
      </c>
      <c r="F897" t="s">
        <v>578</v>
      </c>
      <c r="G897">
        <v>11</v>
      </c>
      <c r="H897">
        <v>29.9</v>
      </c>
      <c r="I897">
        <v>4</v>
      </c>
      <c r="J897" t="s">
        <v>580</v>
      </c>
      <c r="K897">
        <v>0</v>
      </c>
    </row>
    <row r="898" spans="1:11">
      <c r="A898">
        <v>313466</v>
      </c>
      <c r="B898" t="s">
        <v>1465</v>
      </c>
      <c r="D898" t="s">
        <v>1148</v>
      </c>
      <c r="E898">
        <v>38102</v>
      </c>
      <c r="F898" t="s">
        <v>578</v>
      </c>
      <c r="G898">
        <v>9</v>
      </c>
      <c r="H898">
        <v>23</v>
      </c>
      <c r="I898">
        <v>7</v>
      </c>
      <c r="J898" t="s">
        <v>580</v>
      </c>
      <c r="K898">
        <v>0</v>
      </c>
    </row>
    <row r="899" spans="1:11">
      <c r="A899">
        <v>313467</v>
      </c>
      <c r="B899" t="s">
        <v>1465</v>
      </c>
      <c r="D899" t="s">
        <v>1637</v>
      </c>
      <c r="E899">
        <v>38102</v>
      </c>
      <c r="F899" t="s">
        <v>578</v>
      </c>
      <c r="G899">
        <v>10</v>
      </c>
      <c r="H899">
        <v>19.7</v>
      </c>
      <c r="I899">
        <v>9</v>
      </c>
      <c r="J899" t="s">
        <v>580</v>
      </c>
      <c r="K899">
        <v>0</v>
      </c>
    </row>
    <row r="900" spans="1:11">
      <c r="A900">
        <v>313491</v>
      </c>
      <c r="B900" t="s">
        <v>1465</v>
      </c>
      <c r="D900" t="s">
        <v>336</v>
      </c>
      <c r="E900">
        <v>38102</v>
      </c>
      <c r="F900" t="s">
        <v>578</v>
      </c>
      <c r="G900">
        <v>8</v>
      </c>
      <c r="H900">
        <v>55</v>
      </c>
      <c r="I900">
        <v>15</v>
      </c>
      <c r="J900" t="s">
        <v>580</v>
      </c>
      <c r="K900">
        <v>0</v>
      </c>
    </row>
    <row r="901" spans="1:11">
      <c r="A901">
        <v>313492</v>
      </c>
      <c r="B901" t="s">
        <v>1465</v>
      </c>
      <c r="D901" t="s">
        <v>337</v>
      </c>
      <c r="E901">
        <v>38102</v>
      </c>
      <c r="F901" t="s">
        <v>578</v>
      </c>
      <c r="G901">
        <v>7</v>
      </c>
      <c r="H901">
        <v>63</v>
      </c>
      <c r="I901">
        <v>13</v>
      </c>
      <c r="J901" t="s">
        <v>580</v>
      </c>
      <c r="K901">
        <v>0</v>
      </c>
    </row>
    <row r="902" spans="1:11">
      <c r="A902">
        <v>313495</v>
      </c>
      <c r="B902" t="s">
        <v>1465</v>
      </c>
      <c r="D902" t="s">
        <v>338</v>
      </c>
      <c r="E902">
        <v>38103</v>
      </c>
      <c r="F902" t="s">
        <v>578</v>
      </c>
      <c r="G902">
        <v>17</v>
      </c>
      <c r="H902">
        <v>25</v>
      </c>
      <c r="I902">
        <v>6</v>
      </c>
      <c r="J902" t="s">
        <v>580</v>
      </c>
      <c r="K902">
        <v>0</v>
      </c>
    </row>
    <row r="903" spans="1:11">
      <c r="A903">
        <v>313471</v>
      </c>
      <c r="B903" t="s">
        <v>1465</v>
      </c>
      <c r="D903" t="s">
        <v>1638</v>
      </c>
      <c r="E903">
        <v>38102</v>
      </c>
      <c r="F903" t="s">
        <v>578</v>
      </c>
      <c r="G903">
        <v>6</v>
      </c>
      <c r="H903">
        <v>46</v>
      </c>
      <c r="I903">
        <v>13</v>
      </c>
      <c r="J903" t="s">
        <v>580</v>
      </c>
      <c r="K903">
        <v>0</v>
      </c>
    </row>
    <row r="904" spans="1:11">
      <c r="A904">
        <v>313472</v>
      </c>
      <c r="B904" t="s">
        <v>1465</v>
      </c>
      <c r="D904" t="s">
        <v>1639</v>
      </c>
      <c r="E904">
        <v>38102</v>
      </c>
      <c r="F904" t="s">
        <v>578</v>
      </c>
      <c r="G904">
        <v>5</v>
      </c>
      <c r="H904">
        <v>54</v>
      </c>
      <c r="I904">
        <v>14</v>
      </c>
      <c r="J904" t="s">
        <v>580</v>
      </c>
      <c r="K904">
        <v>0</v>
      </c>
    </row>
    <row r="905" spans="1:11">
      <c r="A905">
        <v>313474</v>
      </c>
      <c r="B905" t="s">
        <v>1465</v>
      </c>
      <c r="D905" t="s">
        <v>1640</v>
      </c>
      <c r="E905">
        <v>38102</v>
      </c>
      <c r="F905" t="s">
        <v>578</v>
      </c>
      <c r="G905">
        <v>4</v>
      </c>
      <c r="H905">
        <v>37</v>
      </c>
      <c r="I905">
        <v>11</v>
      </c>
      <c r="J905" t="s">
        <v>580</v>
      </c>
      <c r="K905">
        <v>0</v>
      </c>
    </row>
    <row r="906" spans="1:11">
      <c r="A906">
        <v>313475</v>
      </c>
      <c r="B906" t="s">
        <v>1465</v>
      </c>
      <c r="D906" t="s">
        <v>1641</v>
      </c>
      <c r="E906">
        <v>38103</v>
      </c>
      <c r="F906" t="s">
        <v>578</v>
      </c>
      <c r="G906">
        <v>9</v>
      </c>
      <c r="H906">
        <v>5</v>
      </c>
      <c r="I906">
        <v>16</v>
      </c>
      <c r="J906" t="s">
        <v>580</v>
      </c>
      <c r="K906">
        <v>0</v>
      </c>
    </row>
    <row r="907" spans="1:11">
      <c r="A907">
        <v>313476</v>
      </c>
      <c r="B907" t="s">
        <v>1465</v>
      </c>
      <c r="D907" t="s">
        <v>1642</v>
      </c>
      <c r="E907">
        <v>38103</v>
      </c>
      <c r="F907" t="s">
        <v>578</v>
      </c>
      <c r="G907">
        <v>4</v>
      </c>
      <c r="H907">
        <v>19.399999999999999</v>
      </c>
      <c r="I907">
        <v>5</v>
      </c>
      <c r="J907" t="s">
        <v>580</v>
      </c>
      <c r="K907">
        <v>0</v>
      </c>
    </row>
    <row r="908" spans="1:11">
      <c r="A908">
        <v>313477</v>
      </c>
      <c r="B908" t="s">
        <v>1465</v>
      </c>
      <c r="D908" t="s">
        <v>1075</v>
      </c>
      <c r="E908">
        <v>38103</v>
      </c>
      <c r="F908" t="s">
        <v>578</v>
      </c>
      <c r="G908">
        <v>5</v>
      </c>
      <c r="H908">
        <v>11.9</v>
      </c>
      <c r="I908">
        <v>16</v>
      </c>
      <c r="J908" t="s">
        <v>580</v>
      </c>
      <c r="K908">
        <v>0</v>
      </c>
    </row>
    <row r="909" spans="1:11">
      <c r="A909">
        <v>313478</v>
      </c>
      <c r="B909" t="s">
        <v>1465</v>
      </c>
      <c r="D909" t="s">
        <v>1076</v>
      </c>
      <c r="E909">
        <v>38103</v>
      </c>
      <c r="F909" t="s">
        <v>578</v>
      </c>
      <c r="G909">
        <v>6</v>
      </c>
      <c r="H909">
        <v>16.399999999999999</v>
      </c>
      <c r="I909">
        <v>11</v>
      </c>
      <c r="J909" t="s">
        <v>580</v>
      </c>
      <c r="K909">
        <v>0</v>
      </c>
    </row>
    <row r="910" spans="1:11">
      <c r="A910">
        <v>313482</v>
      </c>
      <c r="B910" t="s">
        <v>1465</v>
      </c>
      <c r="D910" t="s">
        <v>1549</v>
      </c>
      <c r="E910">
        <v>38103</v>
      </c>
      <c r="F910" t="s">
        <v>578</v>
      </c>
      <c r="G910">
        <v>8</v>
      </c>
      <c r="H910">
        <v>8.1</v>
      </c>
      <c r="I910">
        <v>9</v>
      </c>
      <c r="J910" t="s">
        <v>580</v>
      </c>
      <c r="K910">
        <v>0</v>
      </c>
    </row>
    <row r="911" spans="1:11">
      <c r="A911">
        <v>313481</v>
      </c>
      <c r="B911" t="s">
        <v>1465</v>
      </c>
      <c r="D911" t="s">
        <v>454</v>
      </c>
      <c r="E911">
        <v>38102</v>
      </c>
      <c r="F911" t="s">
        <v>578</v>
      </c>
      <c r="G911">
        <v>2</v>
      </c>
      <c r="H911">
        <v>65</v>
      </c>
      <c r="I911">
        <v>9</v>
      </c>
      <c r="J911" t="s">
        <v>580</v>
      </c>
      <c r="K911">
        <v>0</v>
      </c>
    </row>
    <row r="912" spans="1:11">
      <c r="A912">
        <v>313483</v>
      </c>
      <c r="B912" t="s">
        <v>1465</v>
      </c>
      <c r="D912" t="s">
        <v>1550</v>
      </c>
      <c r="E912">
        <v>38103</v>
      </c>
      <c r="F912" t="s">
        <v>578</v>
      </c>
      <c r="G912">
        <v>3</v>
      </c>
      <c r="H912">
        <v>24.4</v>
      </c>
      <c r="I912">
        <v>8</v>
      </c>
      <c r="J912" t="s">
        <v>580</v>
      </c>
      <c r="K912">
        <v>0</v>
      </c>
    </row>
    <row r="913" spans="1:11">
      <c r="A913">
        <v>313479</v>
      </c>
      <c r="B913" t="s">
        <v>1465</v>
      </c>
      <c r="D913" t="s">
        <v>1077</v>
      </c>
      <c r="E913">
        <v>38102</v>
      </c>
      <c r="F913" t="s">
        <v>578</v>
      </c>
      <c r="G913">
        <v>1</v>
      </c>
      <c r="H913">
        <v>29.9</v>
      </c>
      <c r="I913">
        <v>10</v>
      </c>
      <c r="J913" t="s">
        <v>580</v>
      </c>
      <c r="K913">
        <v>0</v>
      </c>
    </row>
    <row r="914" spans="1:11">
      <c r="A914">
        <v>313480</v>
      </c>
      <c r="B914" t="s">
        <v>1465</v>
      </c>
      <c r="D914" t="s">
        <v>1078</v>
      </c>
      <c r="E914">
        <v>38103</v>
      </c>
      <c r="F914" t="s">
        <v>578</v>
      </c>
      <c r="G914">
        <v>7</v>
      </c>
      <c r="H914">
        <v>14.4</v>
      </c>
      <c r="I914">
        <v>11</v>
      </c>
      <c r="J914" t="s">
        <v>580</v>
      </c>
      <c r="K914">
        <v>0</v>
      </c>
    </row>
    <row r="915" spans="1:11">
      <c r="A915">
        <v>313473</v>
      </c>
      <c r="B915" t="s">
        <v>1465</v>
      </c>
      <c r="D915" t="s">
        <v>455</v>
      </c>
      <c r="E915">
        <v>38102</v>
      </c>
      <c r="F915" t="s">
        <v>578</v>
      </c>
      <c r="G915">
        <v>3</v>
      </c>
      <c r="H915">
        <v>37</v>
      </c>
      <c r="I915">
        <v>6</v>
      </c>
      <c r="J915" t="s">
        <v>580</v>
      </c>
      <c r="K915">
        <v>0</v>
      </c>
    </row>
    <row r="916" spans="1:11">
      <c r="A916">
        <v>313488</v>
      </c>
      <c r="B916" t="s">
        <v>1465</v>
      </c>
      <c r="D916" t="s">
        <v>332</v>
      </c>
      <c r="E916">
        <v>38103</v>
      </c>
      <c r="F916" t="s">
        <v>578</v>
      </c>
      <c r="G916">
        <v>2</v>
      </c>
      <c r="H916">
        <v>68</v>
      </c>
      <c r="I916">
        <v>6</v>
      </c>
      <c r="J916" t="s">
        <v>580</v>
      </c>
      <c r="K916">
        <v>0</v>
      </c>
    </row>
    <row r="917" spans="1:11">
      <c r="A917">
        <v>313490</v>
      </c>
      <c r="B917" t="s">
        <v>1465</v>
      </c>
      <c r="D917" t="s">
        <v>333</v>
      </c>
      <c r="E917">
        <v>38103</v>
      </c>
      <c r="F917" t="s">
        <v>578</v>
      </c>
      <c r="G917">
        <v>1</v>
      </c>
      <c r="H917">
        <v>90</v>
      </c>
      <c r="I917">
        <v>6</v>
      </c>
      <c r="J917" t="s">
        <v>580</v>
      </c>
      <c r="K917">
        <v>0</v>
      </c>
    </row>
    <row r="918" spans="1:11">
      <c r="A918">
        <v>313494</v>
      </c>
      <c r="B918" t="s">
        <v>456</v>
      </c>
      <c r="D918" t="s">
        <v>457</v>
      </c>
      <c r="E918">
        <v>38102</v>
      </c>
      <c r="F918" t="s">
        <v>578</v>
      </c>
      <c r="G918">
        <v>17</v>
      </c>
      <c r="H918">
        <v>3</v>
      </c>
      <c r="I918">
        <v>0</v>
      </c>
      <c r="J918" t="s">
        <v>580</v>
      </c>
      <c r="K918">
        <v>0</v>
      </c>
    </row>
    <row r="919" spans="1:11">
      <c r="A919">
        <v>313433</v>
      </c>
      <c r="B919" t="s">
        <v>1465</v>
      </c>
      <c r="D919" t="s">
        <v>1144</v>
      </c>
      <c r="E919">
        <v>38103</v>
      </c>
      <c r="F919" t="s">
        <v>578</v>
      </c>
      <c r="G919">
        <v>13</v>
      </c>
      <c r="H919">
        <v>6.5</v>
      </c>
      <c r="I919">
        <v>24</v>
      </c>
      <c r="J919" t="s">
        <v>580</v>
      </c>
      <c r="K919">
        <v>0</v>
      </c>
    </row>
    <row r="920" spans="1:11">
      <c r="A920">
        <v>313429</v>
      </c>
      <c r="B920" t="s">
        <v>1465</v>
      </c>
      <c r="D920" t="s">
        <v>298</v>
      </c>
      <c r="E920">
        <v>38103</v>
      </c>
      <c r="F920" t="s">
        <v>578</v>
      </c>
      <c r="G920">
        <v>11</v>
      </c>
      <c r="H920">
        <v>10.55</v>
      </c>
      <c r="I920">
        <v>8</v>
      </c>
      <c r="J920" t="s">
        <v>580</v>
      </c>
      <c r="K920">
        <v>0</v>
      </c>
    </row>
    <row r="921" spans="1:11">
      <c r="A921">
        <v>313430</v>
      </c>
      <c r="B921" t="s">
        <v>1465</v>
      </c>
      <c r="D921" t="s">
        <v>299</v>
      </c>
      <c r="E921">
        <v>38103</v>
      </c>
      <c r="F921" t="s">
        <v>578</v>
      </c>
      <c r="G921">
        <v>12</v>
      </c>
      <c r="H921">
        <v>9.65</v>
      </c>
      <c r="I921">
        <v>42</v>
      </c>
      <c r="J921" t="s">
        <v>580</v>
      </c>
      <c r="K921">
        <v>0</v>
      </c>
    </row>
    <row r="922" spans="1:11">
      <c r="A922">
        <v>313431</v>
      </c>
      <c r="B922" t="s">
        <v>1465</v>
      </c>
      <c r="D922" t="s">
        <v>1142</v>
      </c>
      <c r="E922">
        <v>38103</v>
      </c>
      <c r="F922" t="s">
        <v>578</v>
      </c>
      <c r="G922">
        <v>10</v>
      </c>
      <c r="H922">
        <v>12</v>
      </c>
      <c r="I922">
        <v>39</v>
      </c>
      <c r="J922" t="s">
        <v>580</v>
      </c>
      <c r="K922">
        <v>0</v>
      </c>
    </row>
    <row r="923" spans="1:11">
      <c r="A923">
        <v>313432</v>
      </c>
      <c r="B923" t="s">
        <v>1465</v>
      </c>
      <c r="D923" t="s">
        <v>1143</v>
      </c>
      <c r="E923">
        <v>38103</v>
      </c>
      <c r="F923" t="s">
        <v>578</v>
      </c>
      <c r="G923">
        <v>14</v>
      </c>
      <c r="H923">
        <v>5.5</v>
      </c>
      <c r="I923">
        <v>103</v>
      </c>
      <c r="J923" t="s">
        <v>580</v>
      </c>
      <c r="K923">
        <v>0</v>
      </c>
    </row>
    <row r="924" spans="1:11">
      <c r="A924">
        <v>310631</v>
      </c>
      <c r="B924" t="s">
        <v>1465</v>
      </c>
      <c r="D924" t="s">
        <v>1899</v>
      </c>
      <c r="E924">
        <v>38103</v>
      </c>
      <c r="F924" t="s">
        <v>578</v>
      </c>
      <c r="G924">
        <v>15</v>
      </c>
      <c r="H924">
        <v>1.95</v>
      </c>
      <c r="I924">
        <v>76</v>
      </c>
      <c r="J924" t="s">
        <v>580</v>
      </c>
      <c r="K924">
        <v>0</v>
      </c>
    </row>
    <row r="925" spans="1:11">
      <c r="A925">
        <v>310632</v>
      </c>
      <c r="B925" t="s">
        <v>1465</v>
      </c>
      <c r="D925" t="s">
        <v>1900</v>
      </c>
      <c r="E925">
        <v>38103</v>
      </c>
      <c r="F925" t="s">
        <v>578</v>
      </c>
      <c r="G925">
        <v>16</v>
      </c>
      <c r="H925">
        <v>1</v>
      </c>
      <c r="I925">
        <v>43</v>
      </c>
      <c r="J925" t="s">
        <v>580</v>
      </c>
      <c r="K925">
        <v>0</v>
      </c>
    </row>
  </sheetData>
  <phoneticPr fontId="24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8:Q51"/>
  <sheetViews>
    <sheetView showZeros="0" topLeftCell="A4" workbookViewId="0">
      <pane xSplit="1" ySplit="6" topLeftCell="B10" activePane="bottomRight" state="frozen"/>
      <selection activeCell="A4" sqref="A4"/>
      <selection pane="topRight" activeCell="B4" sqref="B4"/>
      <selection pane="bottomLeft" activeCell="A10" sqref="A10"/>
      <selection pane="bottomRight" activeCell="J8" sqref="J8"/>
    </sheetView>
  </sheetViews>
  <sheetFormatPr baseColWidth="10" defaultRowHeight="13.2"/>
  <cols>
    <col min="1" max="1" width="38.88671875" customWidth="1"/>
    <col min="2" max="2" width="11.44140625" style="110" customWidth="1"/>
  </cols>
  <sheetData>
    <row r="8" spans="1:17" ht="13.8" thickBot="1"/>
    <row r="9" spans="1:17" ht="21.6" thickBot="1">
      <c r="A9" s="105" t="s">
        <v>1053</v>
      </c>
      <c r="B9" s="108" t="s">
        <v>1648</v>
      </c>
      <c r="C9" s="108" t="s">
        <v>1578</v>
      </c>
      <c r="D9" s="108" t="s">
        <v>1579</v>
      </c>
      <c r="E9" s="108" t="s">
        <v>1580</v>
      </c>
      <c r="F9" s="108" t="s">
        <v>554</v>
      </c>
      <c r="G9" s="108" t="s">
        <v>555</v>
      </c>
      <c r="H9" s="108" t="s">
        <v>551</v>
      </c>
      <c r="I9" s="108" t="s">
        <v>1573</v>
      </c>
      <c r="J9" s="108" t="s">
        <v>552</v>
      </c>
      <c r="K9" s="108" t="s">
        <v>556</v>
      </c>
      <c r="L9" s="108" t="s">
        <v>1581</v>
      </c>
      <c r="M9" s="108" t="s">
        <v>1426</v>
      </c>
      <c r="N9" s="108" t="s">
        <v>1427</v>
      </c>
      <c r="O9" s="108" t="s">
        <v>1428</v>
      </c>
      <c r="P9" s="108" t="s">
        <v>1429</v>
      </c>
      <c r="Q9" s="108"/>
    </row>
    <row r="10" spans="1:17" ht="17.399999999999999">
      <c r="A10" s="106" t="s">
        <v>1044</v>
      </c>
    </row>
    <row r="11" spans="1:17">
      <c r="A11" s="103" t="s">
        <v>1012</v>
      </c>
      <c r="B11" s="111">
        <f>SUM(C11:P11)</f>
        <v>20</v>
      </c>
      <c r="C11">
        <v>1</v>
      </c>
      <c r="D11">
        <v>2</v>
      </c>
      <c r="E11">
        <v>2</v>
      </c>
      <c r="F11">
        <v>2</v>
      </c>
      <c r="G11">
        <v>2</v>
      </c>
      <c r="H11">
        <v>2</v>
      </c>
      <c r="I11">
        <v>2</v>
      </c>
      <c r="J11">
        <v>0</v>
      </c>
      <c r="K11">
        <v>2</v>
      </c>
      <c r="L11">
        <v>1</v>
      </c>
      <c r="M11">
        <v>1</v>
      </c>
      <c r="N11">
        <v>1</v>
      </c>
      <c r="O11">
        <v>2</v>
      </c>
      <c r="P11">
        <v>0</v>
      </c>
    </row>
    <row r="12" spans="1:17">
      <c r="A12" s="103" t="s">
        <v>1013</v>
      </c>
      <c r="B12" s="111">
        <f t="shared" ref="B12:B51" si="0">SUM(C12:P12)</f>
        <v>27</v>
      </c>
      <c r="C12">
        <v>2</v>
      </c>
      <c r="D12">
        <v>2</v>
      </c>
      <c r="E12">
        <v>1</v>
      </c>
      <c r="F12">
        <v>2</v>
      </c>
      <c r="G12">
        <v>2</v>
      </c>
      <c r="H12">
        <v>2</v>
      </c>
      <c r="I12">
        <v>2</v>
      </c>
      <c r="J12">
        <v>3</v>
      </c>
      <c r="K12">
        <v>2</v>
      </c>
      <c r="L12">
        <v>1</v>
      </c>
      <c r="M12">
        <v>0</v>
      </c>
      <c r="N12">
        <v>2</v>
      </c>
      <c r="O12">
        <v>2</v>
      </c>
      <c r="P12">
        <v>4</v>
      </c>
    </row>
    <row r="13" spans="1:17">
      <c r="A13" s="103" t="s">
        <v>1014</v>
      </c>
      <c r="B13" s="111">
        <f t="shared" si="0"/>
        <v>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2</v>
      </c>
      <c r="N13">
        <v>0</v>
      </c>
      <c r="O13">
        <v>0</v>
      </c>
      <c r="P13">
        <v>0</v>
      </c>
    </row>
    <row r="14" spans="1:17">
      <c r="A14" s="103" t="s">
        <v>1015</v>
      </c>
      <c r="B14" s="111">
        <f t="shared" si="0"/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7">
      <c r="A15" s="103" t="s">
        <v>1016</v>
      </c>
      <c r="B15" s="111">
        <f t="shared" si="0"/>
        <v>4</v>
      </c>
      <c r="C15">
        <v>0</v>
      </c>
      <c r="D15">
        <v>0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1</v>
      </c>
      <c r="M15">
        <v>1</v>
      </c>
      <c r="N15">
        <v>1</v>
      </c>
      <c r="O15">
        <v>0</v>
      </c>
      <c r="P15">
        <v>0</v>
      </c>
    </row>
    <row r="16" spans="1:17">
      <c r="A16" s="103" t="s">
        <v>304</v>
      </c>
      <c r="B16" s="111">
        <f t="shared" si="0"/>
        <v>9</v>
      </c>
      <c r="C16">
        <v>1</v>
      </c>
      <c r="D16">
        <v>1</v>
      </c>
      <c r="E16">
        <v>1</v>
      </c>
      <c r="F16">
        <v>1</v>
      </c>
      <c r="G16">
        <v>1</v>
      </c>
      <c r="H16">
        <v>0</v>
      </c>
      <c r="I16">
        <v>1</v>
      </c>
      <c r="J16">
        <v>0</v>
      </c>
      <c r="K16">
        <v>1</v>
      </c>
      <c r="L16">
        <v>1</v>
      </c>
      <c r="M16">
        <v>0</v>
      </c>
      <c r="N16">
        <v>0</v>
      </c>
      <c r="O16">
        <v>1</v>
      </c>
      <c r="P16">
        <v>0</v>
      </c>
    </row>
    <row r="17" spans="1:16">
      <c r="A17" s="103" t="s">
        <v>305</v>
      </c>
      <c r="B17" s="111">
        <f t="shared" si="0"/>
        <v>23</v>
      </c>
      <c r="C17">
        <v>1</v>
      </c>
      <c r="D17">
        <v>2</v>
      </c>
      <c r="E17">
        <v>3</v>
      </c>
      <c r="F17">
        <v>2</v>
      </c>
      <c r="G17">
        <v>2</v>
      </c>
      <c r="H17">
        <v>2</v>
      </c>
      <c r="I17">
        <v>2</v>
      </c>
      <c r="J17">
        <v>0</v>
      </c>
      <c r="K17">
        <v>2</v>
      </c>
      <c r="L17">
        <v>1</v>
      </c>
      <c r="M17">
        <v>2</v>
      </c>
      <c r="N17">
        <v>2</v>
      </c>
      <c r="O17">
        <v>2</v>
      </c>
      <c r="P17">
        <v>0</v>
      </c>
    </row>
    <row r="18" spans="1:16">
      <c r="A18" s="103" t="s">
        <v>306</v>
      </c>
      <c r="B18" s="111">
        <f t="shared" si="0"/>
        <v>10</v>
      </c>
      <c r="C18">
        <v>1</v>
      </c>
      <c r="D18">
        <v>1</v>
      </c>
      <c r="E18">
        <v>0</v>
      </c>
      <c r="F18">
        <v>1</v>
      </c>
      <c r="G18">
        <v>1</v>
      </c>
      <c r="H18">
        <v>1</v>
      </c>
      <c r="I18">
        <v>1</v>
      </c>
      <c r="J18">
        <v>0</v>
      </c>
      <c r="K18">
        <v>1</v>
      </c>
      <c r="L18">
        <v>1</v>
      </c>
      <c r="M18">
        <v>0</v>
      </c>
      <c r="N18">
        <v>1</v>
      </c>
      <c r="O18">
        <v>1</v>
      </c>
      <c r="P18">
        <v>0</v>
      </c>
    </row>
    <row r="19" spans="1:16">
      <c r="A19" s="103" t="s">
        <v>307</v>
      </c>
      <c r="B19" s="111">
        <f t="shared" si="0"/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>
      <c r="A20" s="103" t="s">
        <v>308</v>
      </c>
      <c r="B20" s="111">
        <f t="shared" si="0"/>
        <v>3</v>
      </c>
      <c r="C20">
        <v>0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1</v>
      </c>
      <c r="O20">
        <v>0</v>
      </c>
      <c r="P20">
        <v>0</v>
      </c>
    </row>
    <row r="21" spans="1:16">
      <c r="A21" s="103" t="s">
        <v>309</v>
      </c>
      <c r="B21" s="111">
        <f t="shared" si="0"/>
        <v>7</v>
      </c>
      <c r="C21">
        <v>1</v>
      </c>
      <c r="D21">
        <v>1</v>
      </c>
      <c r="E21">
        <v>0</v>
      </c>
      <c r="F21">
        <v>1</v>
      </c>
      <c r="G21">
        <v>0</v>
      </c>
      <c r="H21">
        <v>0</v>
      </c>
      <c r="I21">
        <v>1</v>
      </c>
      <c r="J21">
        <v>2</v>
      </c>
      <c r="K21">
        <v>0</v>
      </c>
      <c r="L21">
        <v>0</v>
      </c>
      <c r="M21">
        <v>0</v>
      </c>
      <c r="N21">
        <v>1</v>
      </c>
      <c r="O21">
        <v>0</v>
      </c>
      <c r="P21">
        <v>0</v>
      </c>
    </row>
    <row r="22" spans="1:16">
      <c r="A22" s="103" t="s">
        <v>310</v>
      </c>
      <c r="B22" s="111">
        <f t="shared" si="0"/>
        <v>4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2</v>
      </c>
      <c r="K22">
        <v>0</v>
      </c>
      <c r="L22">
        <v>2</v>
      </c>
      <c r="M22">
        <v>0</v>
      </c>
      <c r="N22">
        <v>0</v>
      </c>
      <c r="O22">
        <v>0</v>
      </c>
      <c r="P22">
        <v>0</v>
      </c>
    </row>
    <row r="23" spans="1:16">
      <c r="A23" s="103" t="s">
        <v>311</v>
      </c>
      <c r="B23" s="111">
        <f t="shared" si="0"/>
        <v>2</v>
      </c>
      <c r="C23">
        <v>0</v>
      </c>
      <c r="D23">
        <v>0</v>
      </c>
      <c r="E23">
        <v>0</v>
      </c>
      <c r="F23">
        <v>0</v>
      </c>
      <c r="G23">
        <v>0</v>
      </c>
      <c r="H23">
        <v>1</v>
      </c>
      <c r="I23">
        <v>0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>
      <c r="A24" s="103" t="s">
        <v>1450</v>
      </c>
      <c r="B24" s="111">
        <f t="shared" si="0"/>
        <v>5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2</v>
      </c>
      <c r="N24">
        <v>0</v>
      </c>
      <c r="O24">
        <v>0</v>
      </c>
      <c r="P24">
        <v>3</v>
      </c>
    </row>
    <row r="25" spans="1:16">
      <c r="A25" s="104"/>
      <c r="B25" s="111">
        <f t="shared" si="0"/>
        <v>0</v>
      </c>
    </row>
    <row r="26" spans="1:16" ht="17.399999999999999">
      <c r="A26" s="106" t="s">
        <v>1672</v>
      </c>
      <c r="B26" s="111">
        <f t="shared" si="0"/>
        <v>0</v>
      </c>
    </row>
    <row r="27" spans="1:16">
      <c r="A27" s="103" t="s">
        <v>1740</v>
      </c>
      <c r="B27" s="111"/>
      <c r="C27">
        <v>2</v>
      </c>
      <c r="D27">
        <v>4</v>
      </c>
      <c r="E27">
        <v>5</v>
      </c>
      <c r="F27">
        <v>2</v>
      </c>
      <c r="G27">
        <v>2</v>
      </c>
      <c r="H27">
        <v>1</v>
      </c>
      <c r="I27">
        <v>2</v>
      </c>
      <c r="J27">
        <v>0</v>
      </c>
      <c r="K27">
        <v>2</v>
      </c>
      <c r="L27">
        <v>2</v>
      </c>
      <c r="M27">
        <v>7</v>
      </c>
      <c r="N27">
        <v>4</v>
      </c>
      <c r="O27">
        <v>5</v>
      </c>
      <c r="P27">
        <v>0</v>
      </c>
    </row>
    <row r="28" spans="1:16">
      <c r="A28" s="103" t="s">
        <v>1741</v>
      </c>
      <c r="B28" s="111"/>
      <c r="C28">
        <v>0</v>
      </c>
      <c r="D28">
        <v>0</v>
      </c>
      <c r="E28">
        <v>0</v>
      </c>
      <c r="F28">
        <v>2</v>
      </c>
      <c r="G28">
        <v>0</v>
      </c>
      <c r="H28">
        <v>1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1</v>
      </c>
      <c r="P28">
        <v>0</v>
      </c>
    </row>
    <row r="29" spans="1:16">
      <c r="A29" s="103" t="s">
        <v>1742</v>
      </c>
      <c r="B29" s="111"/>
      <c r="C29">
        <v>2</v>
      </c>
      <c r="D29">
        <v>2</v>
      </c>
      <c r="E29">
        <v>1</v>
      </c>
      <c r="F29">
        <v>2</v>
      </c>
      <c r="G29">
        <v>2</v>
      </c>
      <c r="H29">
        <v>1</v>
      </c>
      <c r="I29">
        <v>2</v>
      </c>
      <c r="J29">
        <v>0</v>
      </c>
      <c r="K29">
        <v>3</v>
      </c>
      <c r="L29">
        <v>2</v>
      </c>
      <c r="M29">
        <v>0</v>
      </c>
      <c r="N29">
        <v>1</v>
      </c>
      <c r="O29">
        <v>2</v>
      </c>
      <c r="P29">
        <v>0</v>
      </c>
    </row>
    <row r="30" spans="1:16">
      <c r="A30" s="103" t="s">
        <v>1743</v>
      </c>
      <c r="B30" s="111"/>
      <c r="C30">
        <v>1</v>
      </c>
      <c r="D30">
        <v>1</v>
      </c>
      <c r="E30">
        <v>1</v>
      </c>
      <c r="F30">
        <v>2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0</v>
      </c>
      <c r="N30">
        <v>1</v>
      </c>
      <c r="O30">
        <v>2</v>
      </c>
      <c r="P30">
        <v>2</v>
      </c>
    </row>
    <row r="31" spans="1:16">
      <c r="A31" s="103" t="s">
        <v>1744</v>
      </c>
      <c r="B31" s="111"/>
      <c r="C31">
        <v>1</v>
      </c>
      <c r="D31">
        <v>1</v>
      </c>
      <c r="E31">
        <v>0</v>
      </c>
      <c r="F31">
        <v>1</v>
      </c>
      <c r="G31">
        <v>0</v>
      </c>
      <c r="H31">
        <v>0</v>
      </c>
      <c r="I31">
        <v>1</v>
      </c>
      <c r="J31">
        <v>2</v>
      </c>
      <c r="K31">
        <v>0</v>
      </c>
      <c r="L31">
        <v>0</v>
      </c>
      <c r="M31">
        <v>0</v>
      </c>
      <c r="N31">
        <v>1</v>
      </c>
      <c r="O31">
        <v>0</v>
      </c>
      <c r="P31">
        <v>0</v>
      </c>
    </row>
    <row r="32" spans="1:16">
      <c r="A32" s="103" t="s">
        <v>1745</v>
      </c>
      <c r="B32" s="111"/>
      <c r="C32">
        <v>1</v>
      </c>
      <c r="D32">
        <v>2</v>
      </c>
      <c r="E32">
        <v>1</v>
      </c>
      <c r="F32">
        <v>1</v>
      </c>
      <c r="G32">
        <v>2</v>
      </c>
      <c r="H32">
        <v>1</v>
      </c>
      <c r="I32">
        <v>1</v>
      </c>
      <c r="J32">
        <v>1</v>
      </c>
      <c r="K32">
        <v>1</v>
      </c>
      <c r="L32">
        <v>2</v>
      </c>
      <c r="M32">
        <v>0</v>
      </c>
      <c r="N32">
        <v>1</v>
      </c>
      <c r="O32">
        <v>1</v>
      </c>
      <c r="P32">
        <v>2</v>
      </c>
    </row>
    <row r="33" spans="1:16">
      <c r="A33" s="103" t="s">
        <v>1746</v>
      </c>
      <c r="B33" s="111"/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1</v>
      </c>
      <c r="N33">
        <v>0</v>
      </c>
      <c r="O33">
        <v>0</v>
      </c>
      <c r="P33">
        <v>0</v>
      </c>
    </row>
    <row r="34" spans="1:16">
      <c r="A34" s="103" t="s">
        <v>1747</v>
      </c>
      <c r="B34" s="111"/>
      <c r="C34">
        <v>1</v>
      </c>
      <c r="D34">
        <v>0</v>
      </c>
      <c r="E34">
        <v>1</v>
      </c>
      <c r="F34">
        <v>2</v>
      </c>
      <c r="G34">
        <v>1</v>
      </c>
      <c r="H34">
        <v>2</v>
      </c>
      <c r="I34">
        <v>0</v>
      </c>
      <c r="J34">
        <v>0</v>
      </c>
      <c r="K34">
        <v>0</v>
      </c>
      <c r="L34">
        <v>2</v>
      </c>
      <c r="M34">
        <v>2</v>
      </c>
      <c r="N34">
        <v>2</v>
      </c>
      <c r="O34">
        <v>0</v>
      </c>
      <c r="P34">
        <v>2</v>
      </c>
    </row>
    <row r="35" spans="1:16">
      <c r="A35" s="103" t="s">
        <v>1748</v>
      </c>
      <c r="B35" s="111"/>
      <c r="C35">
        <v>0</v>
      </c>
      <c r="D35">
        <v>0</v>
      </c>
      <c r="E35">
        <v>1</v>
      </c>
      <c r="F35">
        <v>0</v>
      </c>
      <c r="G35">
        <v>0</v>
      </c>
      <c r="H35">
        <v>0</v>
      </c>
      <c r="I35">
        <v>2</v>
      </c>
      <c r="J35">
        <v>0</v>
      </c>
      <c r="K35">
        <v>0</v>
      </c>
      <c r="L35">
        <v>0</v>
      </c>
      <c r="M35">
        <v>2</v>
      </c>
      <c r="N35">
        <v>2</v>
      </c>
      <c r="O35">
        <v>0</v>
      </c>
      <c r="P35">
        <v>2</v>
      </c>
    </row>
    <row r="36" spans="1:16">
      <c r="A36" s="103" t="s">
        <v>1891</v>
      </c>
      <c r="B36" s="111"/>
      <c r="C36">
        <v>1</v>
      </c>
      <c r="D36">
        <v>0</v>
      </c>
      <c r="E36">
        <v>1</v>
      </c>
      <c r="F36">
        <v>0</v>
      </c>
      <c r="G36">
        <v>0</v>
      </c>
      <c r="H36">
        <v>1</v>
      </c>
      <c r="I36">
        <v>1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>
      <c r="A37" s="103" t="s">
        <v>1892</v>
      </c>
      <c r="B37" s="111"/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2</v>
      </c>
      <c r="K37">
        <v>0</v>
      </c>
      <c r="L37">
        <v>2</v>
      </c>
      <c r="M37">
        <v>0</v>
      </c>
      <c r="N37">
        <v>0</v>
      </c>
      <c r="O37">
        <v>0</v>
      </c>
      <c r="P37">
        <v>0</v>
      </c>
    </row>
    <row r="38" spans="1:16">
      <c r="A38" s="103" t="s">
        <v>1896</v>
      </c>
      <c r="B38" s="111"/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0</v>
      </c>
      <c r="O38">
        <v>0</v>
      </c>
      <c r="P38">
        <v>2</v>
      </c>
    </row>
    <row r="39" spans="1:16">
      <c r="A39" s="103" t="s">
        <v>1568</v>
      </c>
      <c r="B39" s="111"/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1</v>
      </c>
    </row>
    <row r="40" spans="1:16">
      <c r="A40" s="103" t="s">
        <v>1749</v>
      </c>
      <c r="B40" s="111"/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1</v>
      </c>
      <c r="J40">
        <v>1</v>
      </c>
      <c r="K40">
        <v>2</v>
      </c>
      <c r="L40">
        <v>3</v>
      </c>
      <c r="M40">
        <v>0</v>
      </c>
      <c r="N40">
        <v>0</v>
      </c>
      <c r="O40">
        <v>2</v>
      </c>
      <c r="P40">
        <v>2</v>
      </c>
    </row>
    <row r="41" spans="1:16">
      <c r="A41" s="103" t="s">
        <v>1893</v>
      </c>
      <c r="B41" s="111"/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0</v>
      </c>
      <c r="J41">
        <v>0</v>
      </c>
      <c r="K41">
        <v>0</v>
      </c>
      <c r="L41">
        <v>1</v>
      </c>
      <c r="M41">
        <v>0</v>
      </c>
      <c r="N41">
        <v>0</v>
      </c>
      <c r="O41">
        <v>0</v>
      </c>
      <c r="P41">
        <v>0</v>
      </c>
    </row>
    <row r="42" spans="1:16">
      <c r="A42" s="103" t="s">
        <v>1894</v>
      </c>
      <c r="B42" s="111"/>
      <c r="C42">
        <v>0</v>
      </c>
      <c r="D42">
        <v>0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1</v>
      </c>
      <c r="M42">
        <v>1</v>
      </c>
      <c r="N42">
        <v>1</v>
      </c>
      <c r="O42">
        <v>0</v>
      </c>
      <c r="P42">
        <v>0</v>
      </c>
    </row>
    <row r="43" spans="1:16">
      <c r="A43" s="103" t="s">
        <v>1895</v>
      </c>
      <c r="B43" s="111">
        <f t="shared" si="0"/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</row>
    <row r="44" spans="1:16">
      <c r="A44" s="83"/>
      <c r="B44" s="111">
        <f t="shared" si="0"/>
        <v>0</v>
      </c>
    </row>
    <row r="45" spans="1:16" ht="17.399999999999999">
      <c r="A45" s="106" t="s">
        <v>1935</v>
      </c>
      <c r="B45" s="111">
        <f t="shared" si="0"/>
        <v>0</v>
      </c>
    </row>
    <row r="46" spans="1:16">
      <c r="A46" s="104" t="s">
        <v>1673</v>
      </c>
      <c r="B46" s="111">
        <f t="shared" si="0"/>
        <v>42</v>
      </c>
      <c r="C46" s="109"/>
      <c r="D46" s="109"/>
      <c r="E46">
        <v>7</v>
      </c>
      <c r="F46">
        <v>6</v>
      </c>
      <c r="G46" s="109"/>
      <c r="H46" s="109"/>
      <c r="I46" s="109"/>
      <c r="J46">
        <v>3</v>
      </c>
      <c r="K46" s="109"/>
      <c r="L46">
        <v>4</v>
      </c>
      <c r="M46">
        <v>10</v>
      </c>
      <c r="N46">
        <v>6</v>
      </c>
      <c r="O46" s="109"/>
      <c r="P46">
        <v>6</v>
      </c>
    </row>
    <row r="47" spans="1:16">
      <c r="A47" s="104" t="str">
        <f>IF($E$1="non","KIT TIROIR Standard 40","KIT TIROIR SILENT SYSTEM 40")</f>
        <v>KIT TIROIR SILENT SYSTEM 40</v>
      </c>
      <c r="B47" s="111">
        <f t="shared" si="0"/>
        <v>1</v>
      </c>
      <c r="C47" s="109"/>
      <c r="D47" s="109"/>
      <c r="E47">
        <v>0</v>
      </c>
      <c r="F47">
        <v>1</v>
      </c>
      <c r="G47" s="109"/>
      <c r="H47" s="109"/>
      <c r="I47" s="109"/>
      <c r="J47">
        <v>0</v>
      </c>
      <c r="K47" s="109"/>
      <c r="L47">
        <v>0</v>
      </c>
      <c r="M47">
        <v>0</v>
      </c>
      <c r="N47">
        <v>0</v>
      </c>
      <c r="O47" s="109"/>
      <c r="P47">
        <v>0</v>
      </c>
    </row>
    <row r="48" spans="1:16">
      <c r="A48" s="104" t="str">
        <f>IF($E$1="non","KIT TIROIR Standard 60","KIT TIROIR SILENT SYSTEM 60")</f>
        <v>KIT TIROIR SILENT SYSTEM 60</v>
      </c>
      <c r="B48" s="111">
        <f t="shared" si="0"/>
        <v>8</v>
      </c>
      <c r="C48" s="109"/>
      <c r="D48" s="109"/>
      <c r="E48">
        <v>1</v>
      </c>
      <c r="F48">
        <v>1</v>
      </c>
      <c r="G48" s="109"/>
      <c r="H48" s="109"/>
      <c r="I48" s="109"/>
      <c r="J48">
        <v>1</v>
      </c>
      <c r="K48" s="109"/>
      <c r="L48">
        <v>2</v>
      </c>
      <c r="M48">
        <v>0</v>
      </c>
      <c r="N48">
        <v>1</v>
      </c>
      <c r="O48" s="109"/>
      <c r="P48">
        <v>2</v>
      </c>
    </row>
    <row r="49" spans="1:16">
      <c r="A49" s="104" t="str">
        <f>IF($E$1="non","KIT CASS Standard 60","KIT CASS SILENT SYSTEM 60")</f>
        <v>KIT CASS SILENT SYSTEM 60</v>
      </c>
      <c r="B49" s="111">
        <f t="shared" si="0"/>
        <v>16</v>
      </c>
      <c r="C49" s="109"/>
      <c r="D49" s="109"/>
      <c r="E49">
        <v>2</v>
      </c>
      <c r="F49">
        <v>2</v>
      </c>
      <c r="G49" s="109"/>
      <c r="H49" s="109"/>
      <c r="I49" s="109"/>
      <c r="J49">
        <v>2</v>
      </c>
      <c r="K49" s="109"/>
      <c r="L49">
        <v>4</v>
      </c>
      <c r="M49">
        <v>0</v>
      </c>
      <c r="N49">
        <v>2</v>
      </c>
      <c r="O49" s="109"/>
      <c r="P49">
        <v>4</v>
      </c>
    </row>
    <row r="50" spans="1:16">
      <c r="A50" s="103" t="s">
        <v>1115</v>
      </c>
      <c r="B50" s="111">
        <f t="shared" si="0"/>
        <v>1</v>
      </c>
      <c r="C50" s="109">
        <v>0</v>
      </c>
      <c r="D50" s="109">
        <v>0</v>
      </c>
      <c r="E50">
        <v>0</v>
      </c>
      <c r="F50">
        <v>0</v>
      </c>
      <c r="G50" s="109">
        <v>0</v>
      </c>
      <c r="H50" s="109">
        <v>0</v>
      </c>
      <c r="I50" s="109">
        <v>0</v>
      </c>
      <c r="J50">
        <v>0</v>
      </c>
      <c r="K50" s="109"/>
      <c r="L50">
        <v>0</v>
      </c>
      <c r="M50">
        <v>1</v>
      </c>
      <c r="N50">
        <v>0</v>
      </c>
      <c r="O50" s="109">
        <v>0</v>
      </c>
      <c r="P50">
        <v>0</v>
      </c>
    </row>
    <row r="51" spans="1:16">
      <c r="A51" s="103" t="s">
        <v>1116</v>
      </c>
      <c r="B51" s="111">
        <f t="shared" si="0"/>
        <v>2</v>
      </c>
      <c r="C51" s="109">
        <v>0</v>
      </c>
      <c r="D51" s="109">
        <v>0</v>
      </c>
      <c r="E51">
        <v>0</v>
      </c>
      <c r="F51">
        <v>0</v>
      </c>
      <c r="G51" s="109">
        <v>0</v>
      </c>
      <c r="H51" s="109">
        <v>0</v>
      </c>
      <c r="I51" s="109">
        <v>0</v>
      </c>
      <c r="J51">
        <v>0</v>
      </c>
      <c r="K51" s="109"/>
      <c r="L51">
        <v>0</v>
      </c>
      <c r="M51">
        <v>2</v>
      </c>
      <c r="N51">
        <v>0</v>
      </c>
      <c r="O51" s="109">
        <v>0</v>
      </c>
      <c r="P51">
        <v>0</v>
      </c>
    </row>
  </sheetData>
  <phoneticPr fontId="24" type="noConversion"/>
  <pageMargins left="0" right="0" top="0" bottom="0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Devis</vt:lpstr>
      <vt:lpstr>Tarif FACADES &amp; CAISSONS</vt:lpstr>
      <vt:lpstr>Tarif Plan de trav &amp; Access</vt:lpstr>
      <vt:lpstr>Base SAP</vt:lpstr>
      <vt:lpstr>Poids Caisson</vt:lpstr>
      <vt:lpstr>Poids Facade</vt:lpstr>
      <vt:lpstr>Poids PT &amp; Accessoire</vt:lpstr>
      <vt:lpstr>Ilotage</vt:lpstr>
      <vt:lpstr>Stock expo</vt:lpstr>
      <vt:lpstr>_kit40</vt:lpstr>
      <vt:lpstr>_kit60</vt:lpstr>
      <vt:lpstr>accessoire</vt:lpstr>
      <vt:lpstr>Base_tarif</vt:lpstr>
      <vt:lpstr>charnamort</vt:lpstr>
      <vt:lpstr>charnnorm</vt:lpstr>
      <vt:lpstr>credence</vt:lpstr>
      <vt:lpstr>cuisine</vt:lpstr>
      <vt:lpstr>FACADE_CUISINE</vt:lpstr>
      <vt:lpstr>facade_TECNIK</vt:lpstr>
      <vt:lpstr>kit40coffre</vt:lpstr>
      <vt:lpstr>kit40sil</vt:lpstr>
      <vt:lpstr>kit60cass</vt:lpstr>
      <vt:lpstr>kit60coffre</vt:lpstr>
      <vt:lpstr>kit60coffresil</vt:lpstr>
      <vt:lpstr>kit60sil</vt:lpstr>
      <vt:lpstr>kit80coffresil</vt:lpstr>
      <vt:lpstr>kit80sil</vt:lpstr>
      <vt:lpstr>poidscaisson</vt:lpstr>
      <vt:lpstr>PoidsFacade</vt:lpstr>
      <vt:lpstr>PTRAVAIL</vt:lpstr>
      <vt:lpstr>Devis!Zone_d_impression</vt:lpstr>
    </vt:vector>
  </TitlesOfParts>
  <Company>getinor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 Cuisine</dc:title>
  <dc:creator>Bendris_R</dc:creator>
  <cp:lastModifiedBy>Paul</cp:lastModifiedBy>
  <cp:lastPrinted>2017-02-27T11:25:22Z</cp:lastPrinted>
  <dcterms:created xsi:type="dcterms:W3CDTF">2010-06-19T15:15:02Z</dcterms:created>
  <dcterms:modified xsi:type="dcterms:W3CDTF">2017-03-12T13:37:59Z</dcterms:modified>
</cp:coreProperties>
</file>