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definedNames>
    <definedName name="D_DEPART">Feuil1!$D$1</definedName>
  </definedNames>
  <calcPr calcId="125725"/>
</workbook>
</file>

<file path=xl/calcChain.xml><?xml version="1.0" encoding="utf-8"?>
<calcChain xmlns="http://schemas.openxmlformats.org/spreadsheetml/2006/main">
  <c r="L10" i="1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3"/>
  <c r="L4"/>
  <c r="L5"/>
  <c r="L6"/>
  <c r="L7"/>
  <c r="L8"/>
  <c r="L9"/>
  <c r="I49"/>
  <c r="J49" s="1"/>
  <c r="I48"/>
  <c r="J48" s="1"/>
  <c r="I47"/>
  <c r="J47" s="1"/>
  <c r="I46"/>
  <c r="J46" s="1"/>
  <c r="I45"/>
  <c r="J45" s="1"/>
  <c r="I44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50" l="1"/>
  <c r="J50" s="1"/>
  <c r="M50" s="1"/>
  <c r="N50" s="1"/>
  <c r="G50"/>
  <c r="F50"/>
  <c r="M49"/>
  <c r="N49" s="1"/>
  <c r="G49"/>
  <c r="F49"/>
  <c r="M48"/>
  <c r="N48" s="1"/>
  <c r="M47"/>
  <c r="N47" s="1"/>
  <c r="M46"/>
  <c r="N46" s="1"/>
  <c r="G46"/>
  <c r="F46"/>
  <c r="M45"/>
  <c r="N45" s="1"/>
  <c r="M44"/>
  <c r="N44" s="1"/>
  <c r="G44"/>
  <c r="F44"/>
  <c r="M43"/>
  <c r="N43" s="1"/>
  <c r="M42"/>
  <c r="N42" s="1"/>
  <c r="G42"/>
  <c r="F42"/>
  <c r="M41"/>
  <c r="N41" s="1"/>
  <c r="M40"/>
  <c r="N40" s="1"/>
  <c r="M39"/>
  <c r="N39" s="1"/>
  <c r="G38"/>
  <c r="E38"/>
  <c r="M37"/>
  <c r="N37" s="1"/>
  <c r="M36"/>
  <c r="N36" s="1"/>
  <c r="G35"/>
  <c r="E35"/>
  <c r="M34"/>
  <c r="N34" s="1"/>
  <c r="G34"/>
  <c r="F34"/>
  <c r="M33"/>
  <c r="N33" s="1"/>
  <c r="M32"/>
  <c r="N32" s="1"/>
  <c r="M31"/>
  <c r="N31" s="1"/>
  <c r="M30"/>
  <c r="N30" s="1"/>
  <c r="G29"/>
  <c r="E29"/>
  <c r="E51" s="1"/>
  <c r="M28"/>
  <c r="N28" s="1"/>
  <c r="M27"/>
  <c r="N27" s="1"/>
  <c r="M26"/>
  <c r="N26" s="1"/>
  <c r="E26"/>
  <c r="M25"/>
  <c r="N25" s="1"/>
  <c r="E25"/>
  <c r="G24"/>
  <c r="M23"/>
  <c r="N23" s="1"/>
  <c r="M22"/>
  <c r="N22" s="1"/>
  <c r="M21"/>
  <c r="N21" s="1"/>
  <c r="M20"/>
  <c r="N20" s="1"/>
  <c r="M19"/>
  <c r="N19" s="1"/>
  <c r="M18"/>
  <c r="N18" s="1"/>
  <c r="G18"/>
  <c r="E18"/>
  <c r="M17"/>
  <c r="N17" s="1"/>
  <c r="G17"/>
  <c r="G51" s="1"/>
  <c r="E17"/>
  <c r="M16"/>
  <c r="N16" s="1"/>
  <c r="N15"/>
  <c r="M15"/>
  <c r="M14"/>
  <c r="N14" s="1"/>
  <c r="M13"/>
  <c r="N13" s="1"/>
  <c r="M12"/>
  <c r="N12" s="1"/>
  <c r="M11"/>
  <c r="N11" s="1"/>
  <c r="M10"/>
  <c r="N10" s="1"/>
  <c r="G3"/>
  <c r="F3"/>
  <c r="F24" l="1"/>
  <c r="F51" s="1"/>
  <c r="F35"/>
  <c r="F38"/>
  <c r="F29"/>
</calcChain>
</file>

<file path=xl/sharedStrings.xml><?xml version="1.0" encoding="utf-8"?>
<sst xmlns="http://schemas.openxmlformats.org/spreadsheetml/2006/main" count="114" uniqueCount="46">
  <si>
    <t>T0</t>
  </si>
  <si>
    <t>ID</t>
  </si>
  <si>
    <t>Tool</t>
  </si>
  <si>
    <t>Deliverable name
( deliverables linked to payment only)</t>
  </si>
  <si>
    <t>Months from signature</t>
  </si>
  <si>
    <t>Date franchissement jalon</t>
  </si>
  <si>
    <t>all</t>
  </si>
  <si>
    <t>Pre-Financing Payment</t>
  </si>
  <si>
    <t>TA1</t>
  </si>
  <si>
    <t>Final design review</t>
  </si>
  <si>
    <t>TA7</t>
  </si>
  <si>
    <t>TA2</t>
  </si>
  <si>
    <t>TA3</t>
  </si>
  <si>
    <t>TA4</t>
  </si>
  <si>
    <t>TI</t>
  </si>
  <si>
    <t>FAT: all components, sub-systems, systems, apparatus</t>
  </si>
  <si>
    <t>SAT/FiAT: all components, sub-systems, systems, apparatus</t>
  </si>
  <si>
    <t>SAT: all components, sub-systems, systems, apparatus</t>
  </si>
  <si>
    <t>TA5</t>
  </si>
  <si>
    <t>TA6</t>
  </si>
  <si>
    <t>FAT: all components, subsystems, systems apparatus except mould assembly</t>
  </si>
  <si>
    <t>SAT: Dummy DP PF5 mould assembly with all components, sub-systems, systems, apparatus</t>
  </si>
  <si>
    <t>Pre-financing reimbursement # 1</t>
  </si>
  <si>
    <t>FiAT: all components, sub-systems, systems, apparatus</t>
  </si>
  <si>
    <t>Pre-financing reimbursement # 2</t>
  </si>
  <si>
    <t>On-site maintenance and repair services report of all supplied tooling</t>
  </si>
  <si>
    <t>Pre-financing reimbursement # 3</t>
  </si>
  <si>
    <t>Pre-financing reimbursement # 4</t>
  </si>
  <si>
    <t>FiAT: DP PF2 mould assembly</t>
  </si>
  <si>
    <t>FiAT: WP PF5 mould assembly</t>
  </si>
  <si>
    <t>FiAT: DP PF4 mould assembly</t>
  </si>
  <si>
    <t>FiAT: WP PF4 mould assembly</t>
  </si>
  <si>
    <t>FiAT: WP PF3 mould assembly</t>
  </si>
  <si>
    <t>Final Report</t>
  </si>
  <si>
    <t>TOTAL</t>
  </si>
  <si>
    <t>Date validation jalon</t>
  </si>
  <si>
    <t>Date facturation du jalon</t>
  </si>
  <si>
    <t>Date encaissement facture (mandataire)</t>
  </si>
  <si>
    <t>Date encaissement final</t>
  </si>
  <si>
    <t>MANDATAIRE</t>
  </si>
  <si>
    <t>SOCIETE #1</t>
  </si>
  <si>
    <t>SOCIETE #2</t>
  </si>
  <si>
    <t>Erreur 2/11/2016</t>
  </si>
  <si>
    <t>Erreur 2/03/2017</t>
  </si>
  <si>
    <t>Erreur 02/07/2017</t>
  </si>
  <si>
    <t>Date facturation du jalon imposée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</si>
</sst>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0_ ;\-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14" fontId="4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164" fontId="3" fillId="4" borderId="2" xfId="1" applyFont="1" applyFill="1" applyBorder="1" applyAlignment="1">
      <alignment vertical="center" wrapText="1"/>
    </xf>
    <xf numFmtId="14" fontId="4" fillId="5" borderId="0" xfId="0" applyNumberFormat="1" applyFont="1" applyFill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164" fontId="0" fillId="6" borderId="2" xfId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14" fontId="4" fillId="7" borderId="0" xfId="0" applyNumberFormat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4" fontId="4" fillId="8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9" borderId="0" xfId="0" applyFont="1" applyFill="1" applyAlignment="1">
      <alignment vertical="center"/>
    </xf>
    <xf numFmtId="14" fontId="4" fillId="9" borderId="3" xfId="0" applyNumberFormat="1" applyFont="1" applyFill="1" applyBorder="1" applyAlignment="1">
      <alignment vertical="center"/>
    </xf>
    <xf numFmtId="0" fontId="4" fillId="9" borderId="3" xfId="0" applyFont="1" applyFill="1" applyBorder="1" applyAlignment="1">
      <alignment vertical="center"/>
    </xf>
    <xf numFmtId="14" fontId="4" fillId="5" borderId="3" xfId="0" applyNumberFormat="1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3" fillId="10" borderId="2" xfId="0" applyFont="1" applyFill="1" applyBorder="1" applyAlignment="1">
      <alignment horizontal="center" vertical="center" wrapText="1"/>
    </xf>
    <xf numFmtId="14" fontId="4" fillId="10" borderId="0" xfId="0" applyNumberFormat="1" applyFont="1" applyFill="1" applyAlignment="1">
      <alignment vertical="center"/>
    </xf>
    <xf numFmtId="0" fontId="3" fillId="3" borderId="2" xfId="0" applyFont="1" applyFill="1" applyBorder="1" applyAlignment="1">
      <alignment vertical="center"/>
    </xf>
    <xf numFmtId="0" fontId="1" fillId="3" borderId="2" xfId="1" applyNumberFormat="1" applyFont="1" applyFill="1" applyBorder="1" applyAlignment="1">
      <alignment horizontal="center" vertical="center" wrapText="1"/>
    </xf>
    <xf numFmtId="164" fontId="1" fillId="4" borderId="2" xfId="1" applyFont="1" applyFill="1" applyBorder="1" applyAlignment="1">
      <alignment vertical="center" wrapText="1"/>
    </xf>
    <xf numFmtId="14" fontId="4" fillId="0" borderId="5" xfId="0" applyNumberFormat="1" applyFont="1" applyBorder="1" applyAlignment="1">
      <alignment vertical="center"/>
    </xf>
    <xf numFmtId="14" fontId="4" fillId="0" borderId="6" xfId="0" applyNumberFormat="1" applyFont="1" applyBorder="1" applyAlignment="1">
      <alignment vertical="center"/>
    </xf>
    <xf numFmtId="0" fontId="2" fillId="0" borderId="0" xfId="0" applyFont="1" applyFill="1" applyAlignment="1">
      <alignment vertical="center"/>
    </xf>
    <xf numFmtId="165" fontId="3" fillId="6" borderId="2" xfId="1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164" fontId="4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4" fillId="5" borderId="5" xfId="0" applyNumberFormat="1" applyFont="1" applyFill="1" applyBorder="1" applyAlignment="1">
      <alignment vertical="center"/>
    </xf>
    <xf numFmtId="14" fontId="4" fillId="0" borderId="5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16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2"/>
  <sheetViews>
    <sheetView tabSelected="1" topLeftCell="D1" workbookViewId="0">
      <selection activeCell="K38" sqref="K38"/>
    </sheetView>
  </sheetViews>
  <sheetFormatPr baseColWidth="10" defaultRowHeight="15"/>
  <cols>
    <col min="1" max="1" width="10.42578125" style="37" customWidth="1"/>
    <col min="2" max="2" width="10.7109375" style="37" customWidth="1"/>
    <col min="3" max="3" width="26" style="1" customWidth="1"/>
    <col min="4" max="6" width="17.140625" style="16" customWidth="1"/>
    <col min="7" max="7" width="17.140625" style="1" customWidth="1"/>
    <col min="8" max="8" width="2.7109375" style="1" customWidth="1"/>
    <col min="9" max="14" width="14.7109375" style="20" customWidth="1"/>
  </cols>
  <sheetData>
    <row r="1" spans="1:17">
      <c r="A1" s="1"/>
      <c r="B1" s="1"/>
      <c r="D1" s="38">
        <v>42187</v>
      </c>
      <c r="E1" s="1"/>
      <c r="F1" s="1"/>
      <c r="H1" s="1" t="s">
        <v>0</v>
      </c>
      <c r="I1" s="38">
        <v>42187</v>
      </c>
      <c r="J1" s="38">
        <v>42187</v>
      </c>
      <c r="K1" s="38"/>
      <c r="L1" s="38">
        <v>42187</v>
      </c>
      <c r="M1" s="38">
        <v>42187</v>
      </c>
      <c r="N1" s="38">
        <v>42187</v>
      </c>
    </row>
    <row r="2" spans="1:17" ht="51.75" thickBot="1">
      <c r="A2" s="3" t="s">
        <v>1</v>
      </c>
      <c r="B2" s="3" t="s">
        <v>2</v>
      </c>
      <c r="C2" s="4" t="s">
        <v>3</v>
      </c>
      <c r="D2" s="3" t="s">
        <v>4</v>
      </c>
      <c r="E2" s="3" t="s">
        <v>39</v>
      </c>
      <c r="F2" s="3" t="s">
        <v>40</v>
      </c>
      <c r="G2" s="3" t="s">
        <v>41</v>
      </c>
      <c r="I2" s="5" t="s">
        <v>5</v>
      </c>
      <c r="J2" s="5" t="s">
        <v>35</v>
      </c>
      <c r="K2" s="5" t="s">
        <v>45</v>
      </c>
      <c r="L2" s="5" t="s">
        <v>36</v>
      </c>
      <c r="M2" s="5" t="s">
        <v>37</v>
      </c>
      <c r="N2" s="5" t="s">
        <v>38</v>
      </c>
    </row>
    <row r="3" spans="1:17" ht="15.75" thickBot="1">
      <c r="A3" s="6">
        <v>0</v>
      </c>
      <c r="B3" s="7" t="s">
        <v>6</v>
      </c>
      <c r="C3" s="8" t="s">
        <v>7</v>
      </c>
      <c r="D3" s="7">
        <v>0</v>
      </c>
      <c r="E3" s="9">
        <v>1595300.23</v>
      </c>
      <c r="F3" s="9">
        <f>4320686.18*0.6374</f>
        <v>2754005.3711319999</v>
      </c>
      <c r="G3" s="9">
        <f>4320686.18*0.3626</f>
        <v>1566680.8088679998</v>
      </c>
      <c r="I3" s="31"/>
      <c r="J3" s="31"/>
      <c r="K3" s="39">
        <v>42213</v>
      </c>
      <c r="L3" s="19">
        <f>IF(K3&lt;&gt;"",K3,EDATE(D_DEPART,(ROUNDUP((J3-D_DEPART)/121.7,0))*4))</f>
        <v>42213</v>
      </c>
      <c r="M3" s="40"/>
      <c r="N3" s="39">
        <v>42317</v>
      </c>
    </row>
    <row r="4" spans="1:17" ht="15.75" thickBot="1">
      <c r="A4" s="11">
        <v>9</v>
      </c>
      <c r="B4" s="12" t="s">
        <v>8</v>
      </c>
      <c r="C4" s="13" t="s">
        <v>9</v>
      </c>
      <c r="D4" s="14">
        <v>2</v>
      </c>
      <c r="E4" s="15">
        <v>10242.657766262695</v>
      </c>
      <c r="F4" s="15">
        <v>131741.01</v>
      </c>
      <c r="G4" s="15"/>
      <c r="I4" s="2"/>
      <c r="J4" s="2">
        <v>42353</v>
      </c>
      <c r="K4" s="10">
        <v>42310</v>
      </c>
      <c r="L4" s="19">
        <f>IF(K4&lt;&gt;"",K4,EDATE(D_DEPART,(ROUNDUP((J4-D_DEPART)/121.7,0))*4))</f>
        <v>42310</v>
      </c>
      <c r="M4" s="10">
        <v>42352</v>
      </c>
      <c r="N4" s="10">
        <v>42369</v>
      </c>
    </row>
    <row r="5" spans="1:17" ht="15.75" thickBot="1">
      <c r="A5" s="11">
        <v>10</v>
      </c>
      <c r="B5" s="12" t="s">
        <v>10</v>
      </c>
      <c r="C5" s="13" t="s">
        <v>9</v>
      </c>
      <c r="D5" s="14">
        <v>3.5</v>
      </c>
      <c r="E5" s="15">
        <v>24112.923987370454</v>
      </c>
      <c r="F5" s="14"/>
      <c r="G5" s="15">
        <v>310140.31</v>
      </c>
      <c r="H5" s="16"/>
      <c r="I5" s="17"/>
      <c r="J5" s="18"/>
      <c r="K5" s="19">
        <v>42431</v>
      </c>
      <c r="L5" s="19">
        <f>IF(K5&lt;&gt;"",K5,EDATE(D_DEPART,(ROUNDUP((J5-D_DEPART)/121.7,0))*4))</f>
        <v>42431</v>
      </c>
      <c r="M5" s="18"/>
      <c r="N5" s="18"/>
    </row>
    <row r="6" spans="1:17" ht="15.75" thickBot="1">
      <c r="A6" s="11">
        <v>11</v>
      </c>
      <c r="B6" s="12" t="s">
        <v>11</v>
      </c>
      <c r="C6" s="13" t="s">
        <v>9</v>
      </c>
      <c r="D6" s="14">
        <v>4</v>
      </c>
      <c r="E6" s="15">
        <v>9175.7146547294142</v>
      </c>
      <c r="F6" s="15">
        <v>118018</v>
      </c>
      <c r="G6" s="15"/>
      <c r="I6" s="2"/>
      <c r="J6" s="2">
        <v>42353</v>
      </c>
      <c r="K6" s="10">
        <v>42310</v>
      </c>
      <c r="L6" s="19">
        <f>IF(K6&lt;&gt;"",K6,EDATE(D_DEPART,(ROUNDUP((J6-D_DEPART)/121.7,0))*4))</f>
        <v>42310</v>
      </c>
      <c r="M6" s="10">
        <v>42352</v>
      </c>
      <c r="N6" s="10">
        <v>42369</v>
      </c>
    </row>
    <row r="7" spans="1:17" ht="15.75" thickBot="1">
      <c r="A7" s="11">
        <v>12</v>
      </c>
      <c r="B7" s="12" t="s">
        <v>12</v>
      </c>
      <c r="C7" s="13" t="s">
        <v>9</v>
      </c>
      <c r="D7" s="14">
        <v>4</v>
      </c>
      <c r="E7" s="15">
        <v>298757.31</v>
      </c>
      <c r="F7" s="15"/>
      <c r="G7" s="15"/>
      <c r="I7" s="2"/>
      <c r="K7" s="10">
        <v>42310</v>
      </c>
      <c r="L7" s="19">
        <f>IF(K7&lt;&gt;"",K7,EDATE(D_DEPART,(ROUNDUP((J7-D_DEPART)/121.7,0))*4))</f>
        <v>42310</v>
      </c>
      <c r="M7" s="10">
        <v>42352</v>
      </c>
      <c r="N7" s="21"/>
    </row>
    <row r="8" spans="1:17" ht="15.75" thickBot="1">
      <c r="A8" s="11">
        <v>13</v>
      </c>
      <c r="B8" s="12" t="s">
        <v>13</v>
      </c>
      <c r="C8" s="13" t="s">
        <v>9</v>
      </c>
      <c r="D8" s="14">
        <v>4</v>
      </c>
      <c r="E8" s="15">
        <v>5761.4953993085155</v>
      </c>
      <c r="F8" s="14"/>
      <c r="G8" s="15">
        <v>74104.320000000007</v>
      </c>
      <c r="I8" s="17"/>
      <c r="K8" s="19">
        <v>42431</v>
      </c>
      <c r="L8" s="19">
        <f>IF(K8&lt;&gt;"",K8,EDATE(D_DEPART,(ROUNDUP((J8-D_DEPART)/121.7,0))*4))</f>
        <v>42431</v>
      </c>
    </row>
    <row r="9" spans="1:17" ht="15.75" thickBot="1">
      <c r="A9" s="11">
        <v>14</v>
      </c>
      <c r="B9" s="12" t="s">
        <v>14</v>
      </c>
      <c r="C9" s="13" t="s">
        <v>9</v>
      </c>
      <c r="D9" s="14">
        <v>5</v>
      </c>
      <c r="E9" s="15">
        <v>5135076.2</v>
      </c>
      <c r="F9" s="15"/>
      <c r="G9" s="15"/>
      <c r="I9" s="22"/>
      <c r="J9" s="23"/>
      <c r="K9" s="24">
        <v>42310</v>
      </c>
      <c r="L9" s="19">
        <f>IF(K9&lt;&gt;"",K9,EDATE(D_DEPART,(ROUNDUP((J9-D_DEPART)/121.7,0))*4))</f>
        <v>42310</v>
      </c>
      <c r="M9" s="24">
        <v>42352</v>
      </c>
      <c r="N9" s="25"/>
    </row>
    <row r="10" spans="1:17" ht="45.75" thickBot="1">
      <c r="A10" s="11">
        <v>17</v>
      </c>
      <c r="B10" s="12" t="s">
        <v>8</v>
      </c>
      <c r="C10" s="13" t="s">
        <v>15</v>
      </c>
      <c r="D10" s="14">
        <v>7</v>
      </c>
      <c r="E10" s="15">
        <v>174754.64599154532</v>
      </c>
      <c r="F10" s="15">
        <v>183162.53</v>
      </c>
      <c r="G10" s="15"/>
      <c r="I10" s="2">
        <f>DATE(YEAR(D_DEPART),MONTH(D_DEPART)+D10,DAY(D_DEPART))</f>
        <v>42402</v>
      </c>
      <c r="J10" s="2">
        <f>I10+45</f>
        <v>42447</v>
      </c>
      <c r="K10" s="2"/>
      <c r="L10" s="19">
        <f>IF(K10&lt;&gt;"",K10,EDATE(D_DEPART,(ROUNDUP((J10-D_DEPART)/121.7,0))*4))</f>
        <v>42553</v>
      </c>
      <c r="M10" s="2">
        <f>L10+45</f>
        <v>42598</v>
      </c>
      <c r="N10" s="2">
        <f>M10+10</f>
        <v>42608</v>
      </c>
      <c r="O10" s="46"/>
      <c r="P10" s="47"/>
      <c r="Q10" s="46"/>
    </row>
    <row r="11" spans="1:17" ht="45.75" thickBot="1">
      <c r="A11" s="11">
        <v>18</v>
      </c>
      <c r="B11" s="12" t="s">
        <v>11</v>
      </c>
      <c r="C11" s="13" t="s">
        <v>15</v>
      </c>
      <c r="D11" s="14">
        <v>8</v>
      </c>
      <c r="E11" s="15">
        <v>153090.84609465225</v>
      </c>
      <c r="F11" s="15">
        <v>160456.43</v>
      </c>
      <c r="G11" s="15"/>
      <c r="I11" s="2">
        <f>DATE(YEAR(D_DEPART),MONTH(D_DEPART)+D11,DAY(D_DEPART))</f>
        <v>42431</v>
      </c>
      <c r="J11" s="2">
        <f>I11+45</f>
        <v>42476</v>
      </c>
      <c r="K11" s="2"/>
      <c r="L11" s="19">
        <f>IF(K11&lt;&gt;"",K11,EDATE(D_DEPART,(ROUNDUP((J11-D_DEPART)/121.7,0))*4))</f>
        <v>42553</v>
      </c>
      <c r="M11" s="2">
        <f t="shared" ref="M11:M50" si="0">L11+45</f>
        <v>42598</v>
      </c>
      <c r="N11" s="2">
        <f t="shared" ref="N11:N50" si="1">M11+10</f>
        <v>42608</v>
      </c>
    </row>
    <row r="12" spans="1:17" ht="45.75" thickBot="1">
      <c r="A12" s="11">
        <v>19</v>
      </c>
      <c r="B12" s="12" t="s">
        <v>12</v>
      </c>
      <c r="C12" s="13" t="s">
        <v>15</v>
      </c>
      <c r="D12" s="14">
        <v>8</v>
      </c>
      <c r="E12" s="15">
        <v>449614.97</v>
      </c>
      <c r="F12" s="15"/>
      <c r="G12" s="15"/>
      <c r="I12" s="2">
        <f>DATE(YEAR(D_DEPART),MONTH(D_DEPART)+D12,DAY(D_DEPART))</f>
        <v>42431</v>
      </c>
      <c r="J12" s="2">
        <f t="shared" ref="J12:J50" si="2">I12+45</f>
        <v>42476</v>
      </c>
      <c r="K12" s="2"/>
      <c r="L12" s="19">
        <f>IF(K12&lt;&gt;"",K12,EDATE(D_DEPART,(ROUNDUP((J12-D_DEPART)/121.7,0))*4))</f>
        <v>42553</v>
      </c>
      <c r="M12" s="2">
        <f t="shared" si="0"/>
        <v>42598</v>
      </c>
      <c r="N12" s="2">
        <f t="shared" si="1"/>
        <v>42608</v>
      </c>
    </row>
    <row r="13" spans="1:17" ht="45.75" thickBot="1">
      <c r="A13" s="11">
        <v>20</v>
      </c>
      <c r="B13" s="12" t="s">
        <v>13</v>
      </c>
      <c r="C13" s="13" t="s">
        <v>15</v>
      </c>
      <c r="D13" s="14">
        <v>8</v>
      </c>
      <c r="E13" s="15">
        <v>98209.222944219204</v>
      </c>
      <c r="F13" s="14"/>
      <c r="G13" s="15">
        <v>102934.32</v>
      </c>
      <c r="I13" s="2">
        <f>DATE(YEAR(D_DEPART),MONTH(D_DEPART)+D13,DAY(D_DEPART))</f>
        <v>42431</v>
      </c>
      <c r="J13" s="2">
        <f t="shared" si="2"/>
        <v>42476</v>
      </c>
      <c r="K13" s="2"/>
      <c r="L13" s="19">
        <f>IF(K13&lt;&gt;"",K13,EDATE(D_DEPART,(ROUNDUP((J13-D_DEPART)/121.7,0))*4))</f>
        <v>42553</v>
      </c>
      <c r="M13" s="2">
        <f t="shared" si="0"/>
        <v>42598</v>
      </c>
      <c r="N13" s="2">
        <f t="shared" si="1"/>
        <v>42608</v>
      </c>
    </row>
    <row r="14" spans="1:17" ht="45.75" thickBot="1">
      <c r="A14" s="11">
        <v>21</v>
      </c>
      <c r="B14" s="12" t="s">
        <v>8</v>
      </c>
      <c r="C14" s="13" t="s">
        <v>16</v>
      </c>
      <c r="D14" s="26">
        <v>12</v>
      </c>
      <c r="E14" s="15">
        <v>88099.451286517171</v>
      </c>
      <c r="F14" s="15">
        <v>92338.14</v>
      </c>
      <c r="G14" s="15"/>
      <c r="I14" s="27">
        <f>DATE(YEAR(D_DEPART),MONTH(D_DEPART)+D14,DAY(D_DEPART))</f>
        <v>42553</v>
      </c>
      <c r="J14" s="2">
        <f t="shared" si="2"/>
        <v>42598</v>
      </c>
      <c r="K14" s="2"/>
      <c r="L14" s="19">
        <f>IF(K14&lt;&gt;"",K14,EDATE(D_DEPART,(ROUNDUP((J14-D_DEPART)/121.7,0))*4))</f>
        <v>42676</v>
      </c>
      <c r="M14" s="2">
        <f t="shared" si="0"/>
        <v>42721</v>
      </c>
      <c r="N14" s="2">
        <f t="shared" si="1"/>
        <v>42731</v>
      </c>
      <c r="O14" s="46"/>
      <c r="P14" s="47"/>
    </row>
    <row r="15" spans="1:17" ht="45.75" thickBot="1">
      <c r="A15" s="11">
        <v>22</v>
      </c>
      <c r="B15" s="12" t="s">
        <v>10</v>
      </c>
      <c r="C15" s="13" t="s">
        <v>15</v>
      </c>
      <c r="D15" s="14">
        <v>8</v>
      </c>
      <c r="E15" s="15">
        <v>407279.41853141325</v>
      </c>
      <c r="F15" s="14"/>
      <c r="G15" s="15">
        <v>426874.66</v>
      </c>
      <c r="I15" s="2">
        <f>DATE(YEAR(D_DEPART),MONTH(D_DEPART)+D15,DAY(D_DEPART))</f>
        <v>42431</v>
      </c>
      <c r="J15" s="2">
        <f t="shared" si="2"/>
        <v>42476</v>
      </c>
      <c r="K15" s="2"/>
      <c r="L15" s="19">
        <f>IF(K15&lt;&gt;"",K15,EDATE(D_DEPART,(ROUNDUP((J15-D_DEPART)/121.7,0))*4))</f>
        <v>42553</v>
      </c>
      <c r="M15" s="2">
        <f t="shared" si="0"/>
        <v>42598</v>
      </c>
      <c r="N15" s="2">
        <f t="shared" si="1"/>
        <v>42608</v>
      </c>
    </row>
    <row r="16" spans="1:17" ht="45.75" thickBot="1">
      <c r="A16" s="11">
        <v>23</v>
      </c>
      <c r="B16" s="12" t="s">
        <v>10</v>
      </c>
      <c r="C16" s="13" t="s">
        <v>17</v>
      </c>
      <c r="D16" s="26">
        <v>17.5</v>
      </c>
      <c r="E16" s="15">
        <v>17040.532989487863</v>
      </c>
      <c r="F16" s="14"/>
      <c r="G16" s="15">
        <v>317212.7</v>
      </c>
      <c r="I16" s="27">
        <f>DATE(YEAR(D_DEPART),MONTH(D_DEPART)+D16,DAY(D_DEPART))</f>
        <v>42706</v>
      </c>
      <c r="J16" s="2">
        <f t="shared" si="2"/>
        <v>42751</v>
      </c>
      <c r="K16" s="2"/>
      <c r="L16" s="19">
        <f>IF(K16&lt;&gt;"",K16,EDATE(D_DEPART,(ROUNDUP((J16-D_DEPART)/121.7,0))*4))</f>
        <v>42796</v>
      </c>
      <c r="M16" s="2">
        <f t="shared" si="0"/>
        <v>42841</v>
      </c>
      <c r="N16" s="2">
        <f t="shared" si="1"/>
        <v>42851</v>
      </c>
    </row>
    <row r="17" spans="1:16" ht="45.75" thickBot="1">
      <c r="A17" s="11">
        <v>24</v>
      </c>
      <c r="B17" s="12" t="s">
        <v>13</v>
      </c>
      <c r="C17" s="13" t="s">
        <v>17</v>
      </c>
      <c r="D17" s="26">
        <v>9.5</v>
      </c>
      <c r="E17" s="15">
        <f>4071.63197927063/2</f>
        <v>2035.815989635315</v>
      </c>
      <c r="F17" s="14"/>
      <c r="G17" s="15">
        <f>75794.19/2</f>
        <v>37897.095000000001</v>
      </c>
      <c r="I17" s="27">
        <f>DATE(YEAR(D_DEPART),MONTH(D_DEPART)+D17,DAY(D_DEPART))</f>
        <v>42462</v>
      </c>
      <c r="J17" s="2">
        <f t="shared" si="2"/>
        <v>42507</v>
      </c>
      <c r="K17" s="2"/>
      <c r="L17" s="19">
        <f>IF(K17&lt;&gt;"",K17,EDATE(D_DEPART,(ROUNDUP((J17-D_DEPART)/121.7,0))*4))</f>
        <v>42553</v>
      </c>
      <c r="M17" s="2">
        <f t="shared" si="0"/>
        <v>42598</v>
      </c>
      <c r="N17" s="2">
        <f t="shared" si="1"/>
        <v>42608</v>
      </c>
    </row>
    <row r="18" spans="1:16" ht="45.75" thickBot="1">
      <c r="A18" s="11">
        <v>24</v>
      </c>
      <c r="B18" s="12" t="s">
        <v>13</v>
      </c>
      <c r="C18" s="13" t="s">
        <v>17</v>
      </c>
      <c r="D18" s="26">
        <v>13</v>
      </c>
      <c r="E18" s="15">
        <f>4071.63197927063/2</f>
        <v>2035.815989635315</v>
      </c>
      <c r="F18" s="14"/>
      <c r="G18" s="15">
        <f>75794.19/2</f>
        <v>37897.095000000001</v>
      </c>
      <c r="I18" s="27">
        <f>DATE(YEAR(D_DEPART),MONTH(D_DEPART)+D18,DAY(D_DEPART))</f>
        <v>42584</v>
      </c>
      <c r="J18" s="2">
        <f t="shared" si="2"/>
        <v>42629</v>
      </c>
      <c r="K18" s="2"/>
      <c r="L18" s="19">
        <f>IF(K18&lt;&gt;"",K18,EDATE(D_DEPART,(ROUNDUP((J18-D_DEPART)/121.7,0))*4))</f>
        <v>42676</v>
      </c>
      <c r="M18" s="2">
        <f t="shared" si="0"/>
        <v>42721</v>
      </c>
      <c r="N18" s="2">
        <f t="shared" si="1"/>
        <v>42731</v>
      </c>
    </row>
    <row r="19" spans="1:16" ht="15.75" thickBot="1">
      <c r="A19" s="11">
        <v>25</v>
      </c>
      <c r="B19" s="12" t="s">
        <v>18</v>
      </c>
      <c r="C19" s="13" t="s">
        <v>9</v>
      </c>
      <c r="D19" s="14">
        <v>10</v>
      </c>
      <c r="E19" s="15">
        <v>27747.416743252721</v>
      </c>
      <c r="F19" s="14"/>
      <c r="G19" s="15">
        <v>516523.33</v>
      </c>
      <c r="I19" s="2">
        <f>DATE(YEAR(D_DEPART),MONTH(D_DEPART)+D19,DAY(D_DEPART))</f>
        <v>42492</v>
      </c>
      <c r="J19" s="2">
        <f t="shared" si="2"/>
        <v>42537</v>
      </c>
      <c r="K19" s="2"/>
      <c r="L19" s="19">
        <f>IF(K19&lt;&gt;"",K19,EDATE(D_DEPART,(ROUNDUP((J19-D_DEPART)/121.7,0))*4))</f>
        <v>42553</v>
      </c>
      <c r="M19" s="2">
        <f t="shared" si="0"/>
        <v>42598</v>
      </c>
      <c r="N19" s="2">
        <f t="shared" si="1"/>
        <v>42608</v>
      </c>
    </row>
    <row r="20" spans="1:16" ht="15.75" thickBot="1">
      <c r="A20" s="11">
        <v>26</v>
      </c>
      <c r="B20" s="12" t="s">
        <v>19</v>
      </c>
      <c r="C20" s="13" t="s">
        <v>9</v>
      </c>
      <c r="D20" s="14">
        <v>11</v>
      </c>
      <c r="E20" s="15">
        <v>213082.06440526608</v>
      </c>
      <c r="F20" s="15">
        <v>3966562.34</v>
      </c>
      <c r="G20" s="15"/>
      <c r="I20" s="2">
        <f>DATE(YEAR(D_DEPART),MONTH(D_DEPART)+D20,DAY(D_DEPART))</f>
        <v>42523</v>
      </c>
      <c r="J20" s="2">
        <f t="shared" si="2"/>
        <v>42568</v>
      </c>
      <c r="K20" s="2"/>
      <c r="L20" s="19">
        <f>IF(K20&lt;&gt;"",K20,EDATE(D_DEPART,(ROUNDUP((J20-D_DEPART)/121.7,0))*4))</f>
        <v>42676</v>
      </c>
      <c r="M20" s="2">
        <f t="shared" si="0"/>
        <v>42721</v>
      </c>
      <c r="N20" s="2">
        <f t="shared" si="1"/>
        <v>42731</v>
      </c>
    </row>
    <row r="21" spans="1:16" ht="60.75" thickBot="1">
      <c r="A21" s="11">
        <v>27</v>
      </c>
      <c r="B21" s="12" t="s">
        <v>14</v>
      </c>
      <c r="C21" s="13" t="s">
        <v>20</v>
      </c>
      <c r="D21" s="14">
        <v>12</v>
      </c>
      <c r="E21" s="15">
        <v>813448.13</v>
      </c>
      <c r="F21" s="15"/>
      <c r="G21" s="15"/>
      <c r="I21" s="2">
        <f>DATE(YEAR(D_DEPART),MONTH(D_DEPART)+D21,DAY(D_DEPART))</f>
        <v>42553</v>
      </c>
      <c r="J21" s="2">
        <f t="shared" si="2"/>
        <v>42598</v>
      </c>
      <c r="K21" s="2"/>
      <c r="L21" s="19">
        <f>IF(K21&lt;&gt;"",K21,EDATE(D_DEPART,(ROUNDUP((J21-D_DEPART)/121.7,0))*4))</f>
        <v>42676</v>
      </c>
      <c r="M21" s="2">
        <f t="shared" si="0"/>
        <v>42721</v>
      </c>
      <c r="N21" s="2">
        <f t="shared" si="1"/>
        <v>42731</v>
      </c>
    </row>
    <row r="22" spans="1:16" ht="45.75" thickBot="1">
      <c r="A22" s="11">
        <v>28</v>
      </c>
      <c r="B22" s="12" t="s">
        <v>11</v>
      </c>
      <c r="C22" s="13" t="s">
        <v>17</v>
      </c>
      <c r="D22" s="26">
        <v>10</v>
      </c>
      <c r="E22" s="15">
        <v>6484.4507600131574</v>
      </c>
      <c r="F22" s="15">
        <v>120709.26</v>
      </c>
      <c r="G22" s="15"/>
      <c r="I22" s="27">
        <f>DATE(YEAR(D_DEPART),MONTH(D_DEPART)+D22,DAY(D_DEPART))</f>
        <v>42492</v>
      </c>
      <c r="J22" s="2">
        <f t="shared" si="2"/>
        <v>42537</v>
      </c>
      <c r="K22" s="2"/>
      <c r="L22" s="19">
        <f>IF(K22&lt;&gt;"",K22,EDATE(D_DEPART,(ROUNDUP((J22-D_DEPART)/121.7,0))*4))</f>
        <v>42553</v>
      </c>
      <c r="M22" s="2">
        <f t="shared" si="0"/>
        <v>42598</v>
      </c>
      <c r="N22" s="2">
        <f t="shared" si="1"/>
        <v>42608</v>
      </c>
    </row>
    <row r="23" spans="1:16" ht="60.75" thickBot="1">
      <c r="A23" s="11">
        <v>32</v>
      </c>
      <c r="B23" s="12" t="s">
        <v>14</v>
      </c>
      <c r="C23" s="13" t="s">
        <v>21</v>
      </c>
      <c r="D23" s="26">
        <v>12</v>
      </c>
      <c r="E23" s="15">
        <v>813448.13</v>
      </c>
      <c r="F23" s="14"/>
      <c r="G23" s="15"/>
      <c r="I23" s="27">
        <f>DATE(YEAR(D_DEPART),MONTH(D_DEPART)+D23,DAY(D_DEPART))</f>
        <v>42553</v>
      </c>
      <c r="J23" s="2">
        <f t="shared" si="2"/>
        <v>42598</v>
      </c>
      <c r="K23" s="2"/>
      <c r="L23" s="19">
        <f>IF(K23&lt;&gt;"",K23,EDATE(D_DEPART,(ROUNDUP((J23-D_DEPART)/121.7,0))*4))</f>
        <v>42676</v>
      </c>
      <c r="M23" s="2">
        <f t="shared" si="0"/>
        <v>42721</v>
      </c>
      <c r="N23" s="2">
        <f t="shared" si="1"/>
        <v>42731</v>
      </c>
    </row>
    <row r="24" spans="1:16" ht="15.75" thickBot="1">
      <c r="A24" s="6">
        <v>0</v>
      </c>
      <c r="B24" s="7" t="s">
        <v>6</v>
      </c>
      <c r="C24" s="28" t="s">
        <v>22</v>
      </c>
      <c r="D24" s="29">
        <v>12</v>
      </c>
      <c r="E24" s="30">
        <v>-478590.06899999996</v>
      </c>
      <c r="F24" s="30">
        <f>-F3*0.3</f>
        <v>-826201.61133959994</v>
      </c>
      <c r="G24" s="30">
        <f>-G3*0.3</f>
        <v>-470004.24266039993</v>
      </c>
      <c r="I24" s="31">
        <f>DATE(YEAR(D_DEPART),MONTH(D_DEPART)+D24,DAY(D_DEPART))</f>
        <v>42553</v>
      </c>
      <c r="J24" s="2">
        <f t="shared" si="2"/>
        <v>42598</v>
      </c>
      <c r="K24" s="2"/>
      <c r="L24" s="19">
        <f>IF(K24&lt;&gt;"",K24,EDATE(D_DEPART,(ROUNDUP((J24-D_DEPART)/121.7,0))*4))</f>
        <v>42676</v>
      </c>
      <c r="M24" s="31">
        <v>42553</v>
      </c>
      <c r="N24" s="32">
        <v>42553</v>
      </c>
    </row>
    <row r="25" spans="1:16" ht="45.75" thickBot="1">
      <c r="A25" s="11">
        <v>29</v>
      </c>
      <c r="B25" s="12" t="s">
        <v>12</v>
      </c>
      <c r="C25" s="13" t="s">
        <v>17</v>
      </c>
      <c r="D25" s="26">
        <v>9.5</v>
      </c>
      <c r="E25" s="15">
        <f>446656.97/2</f>
        <v>223328.48499999999</v>
      </c>
      <c r="F25" s="14"/>
      <c r="G25" s="15"/>
      <c r="I25" s="27">
        <f>DATE(YEAR(D_DEPART),MONTH(D_DEPART)+D25,DAY(D_DEPART))</f>
        <v>42462</v>
      </c>
      <c r="J25" s="2">
        <f t="shared" si="2"/>
        <v>42507</v>
      </c>
      <c r="K25" s="2"/>
      <c r="L25" s="19">
        <f>IF(K25&lt;&gt;"",K25,EDATE(D_DEPART,(ROUNDUP((J25-D_DEPART)/121.7,0))*4))</f>
        <v>42553</v>
      </c>
      <c r="M25" s="2">
        <f t="shared" si="0"/>
        <v>42598</v>
      </c>
      <c r="N25" s="2">
        <f t="shared" si="1"/>
        <v>42608</v>
      </c>
    </row>
    <row r="26" spans="1:16" ht="45.75" thickBot="1">
      <c r="A26" s="11">
        <v>29</v>
      </c>
      <c r="B26" s="12" t="s">
        <v>12</v>
      </c>
      <c r="C26" s="13" t="s">
        <v>17</v>
      </c>
      <c r="D26" s="26">
        <v>13</v>
      </c>
      <c r="E26" s="15">
        <f>446656.97/2</f>
        <v>223328.48499999999</v>
      </c>
      <c r="F26" s="14"/>
      <c r="G26" s="15"/>
      <c r="I26" s="27">
        <f>DATE(YEAR(D_DEPART),MONTH(D_DEPART)+D26,DAY(D_DEPART))</f>
        <v>42584</v>
      </c>
      <c r="J26" s="2">
        <f t="shared" si="2"/>
        <v>42629</v>
      </c>
      <c r="K26" s="2"/>
      <c r="L26" s="19">
        <f>IF(K26&lt;&gt;"",K26,EDATE(D_DEPART,(ROUNDUP((J26-D_DEPART)/121.7,0))*4))</f>
        <v>42676</v>
      </c>
      <c r="M26" s="2">
        <f t="shared" si="0"/>
        <v>42721</v>
      </c>
      <c r="N26" s="2">
        <f t="shared" si="1"/>
        <v>42731</v>
      </c>
    </row>
    <row r="27" spans="1:16" ht="45.75" thickBot="1">
      <c r="A27" s="11">
        <v>30</v>
      </c>
      <c r="B27" s="12" t="s">
        <v>13</v>
      </c>
      <c r="C27" s="13" t="s">
        <v>23</v>
      </c>
      <c r="D27" s="14">
        <v>13</v>
      </c>
      <c r="E27" s="15">
        <v>1099.9276977857846</v>
      </c>
      <c r="F27" s="14"/>
      <c r="G27" s="15">
        <v>19606.02</v>
      </c>
      <c r="I27" s="2">
        <f>DATE(YEAR(D_DEPART),MONTH(D_DEPART)+D27,DAY(D_DEPART))</f>
        <v>42584</v>
      </c>
      <c r="J27" s="2">
        <f t="shared" si="2"/>
        <v>42629</v>
      </c>
      <c r="K27" s="2"/>
      <c r="L27" s="19">
        <f>IF(K27&lt;&gt;"",K27,EDATE(D_DEPART,(ROUNDUP((J27-D_DEPART)/121.7,0))*4))</f>
        <v>42676</v>
      </c>
      <c r="M27" s="2">
        <f t="shared" si="0"/>
        <v>42721</v>
      </c>
      <c r="N27" s="2">
        <f t="shared" si="1"/>
        <v>42731</v>
      </c>
    </row>
    <row r="28" spans="1:16" ht="45.75" thickBot="1">
      <c r="A28" s="11">
        <v>31</v>
      </c>
      <c r="B28" s="12" t="s">
        <v>18</v>
      </c>
      <c r="C28" s="13" t="s">
        <v>15</v>
      </c>
      <c r="D28" s="14">
        <v>14</v>
      </c>
      <c r="E28" s="15">
        <v>72595.236553275332</v>
      </c>
      <c r="F28" s="14"/>
      <c r="G28" s="15">
        <v>1293997.6200000001</v>
      </c>
      <c r="I28" s="2">
        <f>DATE(YEAR(D_DEPART),MONTH(D_DEPART)+D28,DAY(D_DEPART))</f>
        <v>42615</v>
      </c>
      <c r="J28" s="2">
        <f t="shared" si="2"/>
        <v>42660</v>
      </c>
      <c r="K28" s="2"/>
      <c r="L28" s="19">
        <f>IF(K28&lt;&gt;"",K28,EDATE(D_DEPART,(ROUNDUP((J28-D_DEPART)/121.7,0))*4))</f>
        <v>42676</v>
      </c>
      <c r="M28" s="2">
        <f t="shared" si="0"/>
        <v>42721</v>
      </c>
      <c r="N28" s="2">
        <f t="shared" si="1"/>
        <v>42731</v>
      </c>
    </row>
    <row r="29" spans="1:16" ht="15.75" thickBot="1">
      <c r="A29" s="6">
        <v>0</v>
      </c>
      <c r="B29" s="7" t="s">
        <v>6</v>
      </c>
      <c r="C29" s="28" t="s">
        <v>24</v>
      </c>
      <c r="D29" s="29">
        <v>16</v>
      </c>
      <c r="E29" s="30">
        <f>-E3*0.3</f>
        <v>-478590.06899999996</v>
      </c>
      <c r="F29" s="30">
        <f>-F3*0.3</f>
        <v>-826201.61133959994</v>
      </c>
      <c r="G29" s="30">
        <f>-G3*0.3</f>
        <v>-470004.24266039993</v>
      </c>
      <c r="I29" s="31">
        <f>DATE(YEAR(D_DEPART),MONTH(D_DEPART)+D29,DAY(D_DEPART))</f>
        <v>42676</v>
      </c>
      <c r="J29" s="2">
        <f t="shared" si="2"/>
        <v>42721</v>
      </c>
      <c r="K29" s="2">
        <v>42676</v>
      </c>
      <c r="L29" s="19">
        <f>IF(K29&lt;&gt;"",K29,EDATE(D_DEPART,(ROUNDUP((J29-D_DEPART)/121.7,0))*4))</f>
        <v>42676</v>
      </c>
      <c r="M29" s="31">
        <v>42676</v>
      </c>
      <c r="N29" s="31">
        <v>42676</v>
      </c>
      <c r="P29" t="s">
        <v>42</v>
      </c>
    </row>
    <row r="30" spans="1:16" ht="45.75" thickBot="1">
      <c r="A30" s="11">
        <v>34</v>
      </c>
      <c r="B30" s="12" t="s">
        <v>11</v>
      </c>
      <c r="C30" s="13" t="s">
        <v>23</v>
      </c>
      <c r="D30" s="14">
        <v>17</v>
      </c>
      <c r="E30" s="15">
        <v>1425.3458340003108</v>
      </c>
      <c r="F30" s="15">
        <v>31112.584165999688</v>
      </c>
      <c r="G30" s="15"/>
      <c r="I30" s="2">
        <f>DATE(YEAR(D_DEPART),MONTH(D_DEPART)+D30,DAY(D_DEPART))</f>
        <v>42706</v>
      </c>
      <c r="J30" s="2">
        <f t="shared" si="2"/>
        <v>42751</v>
      </c>
      <c r="K30" s="2"/>
      <c r="L30" s="19">
        <f>IF(K30&lt;&gt;"",K30,EDATE(D_DEPART,(ROUNDUP((J30-D_DEPART)/121.7,0))*4))</f>
        <v>42796</v>
      </c>
      <c r="M30" s="2">
        <f t="shared" si="0"/>
        <v>42841</v>
      </c>
      <c r="N30" s="2">
        <f t="shared" si="1"/>
        <v>42851</v>
      </c>
    </row>
    <row r="31" spans="1:16" ht="45.75" thickBot="1">
      <c r="A31" s="11">
        <v>35</v>
      </c>
      <c r="B31" s="12" t="s">
        <v>18</v>
      </c>
      <c r="C31" s="13" t="s">
        <v>17</v>
      </c>
      <c r="D31" s="26">
        <v>16</v>
      </c>
      <c r="E31" s="15">
        <v>23842.145031374912</v>
      </c>
      <c r="F31" s="14"/>
      <c r="G31" s="15">
        <v>520428.60496862506</v>
      </c>
      <c r="I31" s="27">
        <f>DATE(YEAR(D_DEPART),MONTH(D_DEPART)+D31,DAY(D_DEPART))</f>
        <v>42676</v>
      </c>
      <c r="J31" s="2">
        <f t="shared" si="2"/>
        <v>42721</v>
      </c>
      <c r="K31" s="2"/>
      <c r="L31" s="19">
        <f>IF(K31&lt;&gt;"",K31,EDATE(D_DEPART,(ROUNDUP((J31-D_DEPART)/121.7,0))*4))</f>
        <v>42796</v>
      </c>
      <c r="M31" s="2">
        <f t="shared" si="0"/>
        <v>42841</v>
      </c>
      <c r="N31" s="2">
        <f t="shared" si="1"/>
        <v>42851</v>
      </c>
    </row>
    <row r="32" spans="1:16" ht="45.75" thickBot="1">
      <c r="A32" s="11">
        <v>37</v>
      </c>
      <c r="B32" s="12" t="s">
        <v>12</v>
      </c>
      <c r="C32" s="13" t="s">
        <v>23</v>
      </c>
      <c r="D32" s="14">
        <v>18</v>
      </c>
      <c r="E32" s="15">
        <v>147899.66</v>
      </c>
      <c r="F32" s="14"/>
      <c r="G32" s="15"/>
      <c r="I32" s="2">
        <f>DATE(YEAR(D_DEPART),MONTH(D_DEPART)+D32,DAY(D_DEPART))</f>
        <v>42737</v>
      </c>
      <c r="J32" s="2">
        <f t="shared" si="2"/>
        <v>42782</v>
      </c>
      <c r="K32" s="2"/>
      <c r="L32" s="19">
        <f>IF(K32&lt;&gt;"",K32,EDATE(D_DEPART,(ROUNDUP((J32-D_DEPART)/121.7,0))*4))</f>
        <v>42796</v>
      </c>
      <c r="M32" s="2">
        <f t="shared" si="0"/>
        <v>42841</v>
      </c>
      <c r="N32" s="2">
        <f t="shared" si="1"/>
        <v>42851</v>
      </c>
    </row>
    <row r="33" spans="1:16" ht="45.75" thickBot="1">
      <c r="A33" s="11">
        <v>38</v>
      </c>
      <c r="B33" s="12" t="s">
        <v>19</v>
      </c>
      <c r="C33" s="13" t="s">
        <v>15</v>
      </c>
      <c r="D33" s="14">
        <v>19</v>
      </c>
      <c r="E33" s="15">
        <v>83188.353921370464</v>
      </c>
      <c r="F33" s="15">
        <v>1815843.2860786295</v>
      </c>
      <c r="G33" s="15"/>
      <c r="I33" s="2">
        <f>DATE(YEAR(D_DEPART),MONTH(D_DEPART)+D33,DAY(D_DEPART))</f>
        <v>42768</v>
      </c>
      <c r="J33" s="2">
        <f t="shared" si="2"/>
        <v>42813</v>
      </c>
      <c r="K33" s="2"/>
      <c r="L33" s="19">
        <f>IF(K33&lt;&gt;"",K33,EDATE(D_DEPART,(ROUNDUP((J33-D_DEPART)/121.7,0))*4))</f>
        <v>42918</v>
      </c>
      <c r="M33" s="2">
        <f t="shared" si="0"/>
        <v>42963</v>
      </c>
      <c r="N33" s="2">
        <f t="shared" si="1"/>
        <v>42973</v>
      </c>
    </row>
    <row r="34" spans="1:16" ht="45.75" thickBot="1">
      <c r="A34" s="11">
        <v>39</v>
      </c>
      <c r="B34" s="12" t="s">
        <v>6</v>
      </c>
      <c r="C34" s="13" t="s">
        <v>25</v>
      </c>
      <c r="D34" s="14">
        <v>20</v>
      </c>
      <c r="E34" s="15">
        <v>683512.4895636529</v>
      </c>
      <c r="F34" s="15">
        <f>538138.710436347*0.6374</f>
        <v>343009.6140321276</v>
      </c>
      <c r="G34" s="15">
        <f>538138.710436347*0.3626</f>
        <v>195129.09640421942</v>
      </c>
      <c r="H34" s="33"/>
      <c r="I34" s="2">
        <f>DATE(YEAR(D_DEPART),MONTH(D_DEPART)+D34,DAY(D_DEPART))</f>
        <v>42796</v>
      </c>
      <c r="J34" s="2">
        <f t="shared" si="2"/>
        <v>42841</v>
      </c>
      <c r="K34" s="2"/>
      <c r="L34" s="19">
        <f>IF(K34&lt;&gt;"",K34,EDATE(D_DEPART,(ROUNDUP((J34-D_DEPART)/121.7,0))*4))</f>
        <v>42918</v>
      </c>
      <c r="M34" s="2">
        <f t="shared" si="0"/>
        <v>42963</v>
      </c>
      <c r="N34" s="2">
        <f t="shared" si="1"/>
        <v>42973</v>
      </c>
    </row>
    <row r="35" spans="1:16" ht="15.75" thickBot="1">
      <c r="A35" s="6">
        <v>0</v>
      </c>
      <c r="B35" s="7" t="s">
        <v>6</v>
      </c>
      <c r="C35" s="28" t="s">
        <v>26</v>
      </c>
      <c r="D35" s="29">
        <v>20</v>
      </c>
      <c r="E35" s="30">
        <f>-E3*0.3</f>
        <v>-478590.06899999996</v>
      </c>
      <c r="F35" s="30">
        <f>-F3*0.3</f>
        <v>-826201.61133959994</v>
      </c>
      <c r="G35" s="30">
        <f>-G3*0.3</f>
        <v>-470004.24266039993</v>
      </c>
      <c r="I35" s="31">
        <f>DATE(YEAR(D_DEPART),MONTH(D_DEPART)+D35,DAY(D_DEPART))</f>
        <v>42796</v>
      </c>
      <c r="J35" s="2">
        <f t="shared" si="2"/>
        <v>42841</v>
      </c>
      <c r="K35" s="2">
        <v>42796</v>
      </c>
      <c r="L35" s="19">
        <f>IF(K35&lt;&gt;"",K35,EDATE(D_DEPART,(ROUNDUP((J35-D_DEPART)/121.7,0))*4))</f>
        <v>42796</v>
      </c>
      <c r="M35" s="31">
        <v>42796</v>
      </c>
      <c r="N35" s="32">
        <v>42796</v>
      </c>
      <c r="P35" t="s">
        <v>43</v>
      </c>
    </row>
    <row r="36" spans="1:16" ht="45.75" thickBot="1">
      <c r="A36" s="11">
        <v>40</v>
      </c>
      <c r="B36" s="12" t="s">
        <v>18</v>
      </c>
      <c r="C36" s="13" t="s">
        <v>23</v>
      </c>
      <c r="D36" s="14">
        <v>21</v>
      </c>
      <c r="E36" s="14"/>
      <c r="F36" s="14"/>
      <c r="G36" s="15">
        <v>136067.69</v>
      </c>
      <c r="I36" s="2">
        <f>DATE(YEAR(D_DEPART),MONTH(D_DEPART)+D36,DAY(D_DEPART))</f>
        <v>42827</v>
      </c>
      <c r="J36" s="2">
        <f t="shared" si="2"/>
        <v>42872</v>
      </c>
      <c r="K36" s="2"/>
      <c r="L36" s="19">
        <f>IF(K36&lt;&gt;"",K36,EDATE(D_DEPART,(ROUNDUP((J36-D_DEPART)/121.7,0))*4))</f>
        <v>42918</v>
      </c>
      <c r="M36" s="2">
        <f t="shared" si="0"/>
        <v>42963</v>
      </c>
      <c r="N36" s="2">
        <f t="shared" si="1"/>
        <v>42973</v>
      </c>
    </row>
    <row r="37" spans="1:16" ht="45.75" thickBot="1">
      <c r="A37" s="11">
        <v>41</v>
      </c>
      <c r="B37" s="12" t="s">
        <v>19</v>
      </c>
      <c r="C37" s="13" t="s">
        <v>17</v>
      </c>
      <c r="D37" s="14">
        <v>24</v>
      </c>
      <c r="E37" s="14"/>
      <c r="F37" s="15">
        <v>760204.25</v>
      </c>
      <c r="G37" s="15"/>
      <c r="I37" s="2">
        <f>DATE(YEAR(D_DEPART),MONTH(D_DEPART)+D37,DAY(D_DEPART))</f>
        <v>42918</v>
      </c>
      <c r="J37" s="2">
        <f t="shared" si="2"/>
        <v>42963</v>
      </c>
      <c r="K37" s="2"/>
      <c r="L37" s="19">
        <f>IF(K37&lt;&gt;"",K37,EDATE(D_DEPART,(ROUNDUP((J37-D_DEPART)/121.7,0))*4))</f>
        <v>43041</v>
      </c>
      <c r="M37" s="2">
        <f t="shared" si="0"/>
        <v>43086</v>
      </c>
      <c r="N37" s="2">
        <f t="shared" si="1"/>
        <v>43096</v>
      </c>
    </row>
    <row r="38" spans="1:16" ht="15.75" thickBot="1">
      <c r="A38" s="6">
        <v>0</v>
      </c>
      <c r="B38" s="7" t="s">
        <v>6</v>
      </c>
      <c r="C38" s="28" t="s">
        <v>27</v>
      </c>
      <c r="D38" s="29">
        <v>24</v>
      </c>
      <c r="E38" s="30">
        <f>-E3*0.1</f>
        <v>-159530.02300000002</v>
      </c>
      <c r="F38" s="30">
        <f>-F3*0.1</f>
        <v>-275400.5371132</v>
      </c>
      <c r="G38" s="30">
        <f>-G3*0.1</f>
        <v>-156668.08088679999</v>
      </c>
      <c r="I38" s="31">
        <f>DATE(YEAR(D_DEPART),MONTH(D_DEPART)+D38,DAY(D_DEPART))</f>
        <v>42918</v>
      </c>
      <c r="J38" s="2">
        <f t="shared" si="2"/>
        <v>42963</v>
      </c>
      <c r="K38" s="2">
        <v>42918</v>
      </c>
      <c r="L38" s="19">
        <f>IF(K38&lt;&gt;"",K38,EDATE(D_DEPART,(ROUNDUP((J38-D_DEPART)/121.7,0))*4))</f>
        <v>42918</v>
      </c>
      <c r="M38" s="31">
        <v>42918</v>
      </c>
      <c r="N38" s="31">
        <v>42918</v>
      </c>
      <c r="P38" t="s">
        <v>44</v>
      </c>
    </row>
    <row r="39" spans="1:16" ht="30.75" thickBot="1">
      <c r="A39" s="11">
        <v>42</v>
      </c>
      <c r="B39" s="12" t="s">
        <v>14</v>
      </c>
      <c r="C39" s="13" t="s">
        <v>28</v>
      </c>
      <c r="D39" s="34">
        <v>25</v>
      </c>
      <c r="E39" s="15">
        <v>911061.91</v>
      </c>
      <c r="F39" s="14"/>
      <c r="G39" s="15"/>
      <c r="I39" s="2">
        <f>DATE(YEAR(D_DEPART),MONTH(D_DEPART)+D39,DAY(D_DEPART))</f>
        <v>42949</v>
      </c>
      <c r="J39" s="2">
        <f t="shared" si="2"/>
        <v>42994</v>
      </c>
      <c r="K39" s="2"/>
      <c r="L39" s="19">
        <f>IF(K39&lt;&gt;"",K39,EDATE(D_DEPART,(ROUNDUP((J39-D_DEPART)/121.7,0))*4))</f>
        <v>43041</v>
      </c>
      <c r="M39" s="2">
        <f t="shared" si="0"/>
        <v>43086</v>
      </c>
      <c r="N39" s="2">
        <f t="shared" si="1"/>
        <v>43096</v>
      </c>
    </row>
    <row r="40" spans="1:16" ht="30.75" thickBot="1">
      <c r="A40" s="11">
        <v>43</v>
      </c>
      <c r="B40" s="12" t="s">
        <v>14</v>
      </c>
      <c r="C40" s="13" t="s">
        <v>29</v>
      </c>
      <c r="D40" s="26">
        <v>23</v>
      </c>
      <c r="E40" s="15">
        <v>911061.91</v>
      </c>
      <c r="F40" s="14"/>
      <c r="G40" s="15"/>
      <c r="H40" s="33"/>
      <c r="I40" s="27">
        <f>DATE(YEAR(D_DEPART),MONTH(D_DEPART)+D40,DAY(D_DEPART))</f>
        <v>42888</v>
      </c>
      <c r="J40" s="2">
        <f t="shared" si="2"/>
        <v>42933</v>
      </c>
      <c r="K40" s="2"/>
      <c r="L40" s="19">
        <f>IF(K40&lt;&gt;"",K40,EDATE(D_DEPART,(ROUNDUP((J40-D_DEPART)/121.7,0))*4))</f>
        <v>43041</v>
      </c>
      <c r="M40" s="2">
        <f t="shared" si="0"/>
        <v>43086</v>
      </c>
      <c r="N40" s="2">
        <f t="shared" si="1"/>
        <v>43096</v>
      </c>
    </row>
    <row r="41" spans="1:16" ht="45.75" thickBot="1">
      <c r="A41" s="11">
        <v>44</v>
      </c>
      <c r="B41" s="12" t="s">
        <v>10</v>
      </c>
      <c r="C41" s="13" t="s">
        <v>23</v>
      </c>
      <c r="D41" s="14">
        <v>29</v>
      </c>
      <c r="E41" s="15">
        <v>10847.249459402838</v>
      </c>
      <c r="F41" s="14"/>
      <c r="G41" s="15">
        <v>71976.560540597158</v>
      </c>
      <c r="I41" s="2">
        <f>DATE(YEAR(D_DEPART),MONTH(D_DEPART)+D41,DAY(D_DEPART))</f>
        <v>43071</v>
      </c>
      <c r="J41" s="2">
        <f t="shared" si="2"/>
        <v>43116</v>
      </c>
      <c r="K41" s="2"/>
      <c r="L41" s="19">
        <f>IF(K41&lt;&gt;"",K41,EDATE(D_DEPART,(ROUNDUP((J41-D_DEPART)/121.7,0))*4))</f>
        <v>43161</v>
      </c>
      <c r="M41" s="2">
        <f t="shared" si="0"/>
        <v>43206</v>
      </c>
      <c r="N41" s="2">
        <f t="shared" si="1"/>
        <v>43216</v>
      </c>
    </row>
    <row r="42" spans="1:16" ht="45.75" thickBot="1">
      <c r="A42" s="11">
        <v>47</v>
      </c>
      <c r="B42" s="12" t="s">
        <v>6</v>
      </c>
      <c r="C42" s="13" t="s">
        <v>25</v>
      </c>
      <c r="D42" s="14">
        <v>30</v>
      </c>
      <c r="E42" s="15">
        <v>227042.44217849078</v>
      </c>
      <c r="F42" s="15">
        <f>151580.677821509*0.6374</f>
        <v>96617.524043429818</v>
      </c>
      <c r="G42" s="15">
        <f>151580.677821509*0.3626</f>
        <v>54963.153778079155</v>
      </c>
      <c r="H42" s="33"/>
      <c r="I42" s="2">
        <f>DATE(YEAR(D_DEPART),MONTH(D_DEPART)+D42,DAY(D_DEPART))</f>
        <v>43102</v>
      </c>
      <c r="J42" s="2">
        <f t="shared" si="2"/>
        <v>43147</v>
      </c>
      <c r="K42" s="2"/>
      <c r="L42" s="19">
        <f>IF(K42&lt;&gt;"",K42,EDATE(D_DEPART,(ROUNDUP((J42-D_DEPART)/121.7,0))*4))</f>
        <v>43161</v>
      </c>
      <c r="M42" s="2">
        <f t="shared" si="0"/>
        <v>43206</v>
      </c>
      <c r="N42" s="2">
        <f t="shared" si="1"/>
        <v>43216</v>
      </c>
    </row>
    <row r="43" spans="1:16" ht="30.75" thickBot="1">
      <c r="A43" s="11">
        <v>46</v>
      </c>
      <c r="B43" s="12" t="s">
        <v>14</v>
      </c>
      <c r="C43" s="13" t="s">
        <v>30</v>
      </c>
      <c r="D43" s="14">
        <v>36</v>
      </c>
      <c r="E43" s="15">
        <v>813448.13</v>
      </c>
      <c r="F43" s="14"/>
      <c r="G43" s="15"/>
      <c r="H43" s="33"/>
      <c r="I43" s="2">
        <f>DATE(YEAR(D_DEPART),MONTH(D_DEPART)+D43,DAY(D_DEPART))</f>
        <v>43283</v>
      </c>
      <c r="J43" s="2">
        <f t="shared" si="2"/>
        <v>43328</v>
      </c>
      <c r="K43" s="2"/>
      <c r="L43" s="19">
        <f>IF(K43&lt;&gt;"",K43,EDATE(D_DEPART,(ROUNDUP((J43-D_DEPART)/121.7,0))*4))</f>
        <v>43406</v>
      </c>
      <c r="M43" s="2">
        <f t="shared" si="0"/>
        <v>43451</v>
      </c>
      <c r="N43" s="2">
        <f t="shared" si="1"/>
        <v>43461</v>
      </c>
    </row>
    <row r="44" spans="1:16" ht="45.75" thickBot="1">
      <c r="A44" s="11">
        <v>48</v>
      </c>
      <c r="B44" s="12" t="s">
        <v>6</v>
      </c>
      <c r="C44" s="13" t="s">
        <v>25</v>
      </c>
      <c r="D44" s="14">
        <v>40</v>
      </c>
      <c r="E44" s="15">
        <v>767565.96190700855</v>
      </c>
      <c r="F44" s="15">
        <f>454085.238092991*0.6374</f>
        <v>289433.93076047243</v>
      </c>
      <c r="G44" s="15">
        <f>454085.238092991*0.3626</f>
        <v>164651.30733251854</v>
      </c>
      <c r="H44" s="33"/>
      <c r="I44" s="2">
        <f>DATE(YEAR(D_DEPART),MONTH(D_DEPART)+D44,DAY(D_DEPART))</f>
        <v>43406</v>
      </c>
      <c r="J44" s="2">
        <f t="shared" si="2"/>
        <v>43451</v>
      </c>
      <c r="K44" s="2"/>
      <c r="L44" s="19">
        <f>IF(K44&lt;&gt;"",K44,EDATE(D_DEPART,(ROUNDUP((J44-D_DEPART)/121.7,0))*4))</f>
        <v>43526</v>
      </c>
      <c r="M44" s="2">
        <f t="shared" si="0"/>
        <v>43571</v>
      </c>
      <c r="N44" s="2">
        <f t="shared" si="1"/>
        <v>43581</v>
      </c>
    </row>
    <row r="45" spans="1:16" ht="30.75" thickBot="1">
      <c r="A45" s="11">
        <v>50</v>
      </c>
      <c r="B45" s="12" t="s">
        <v>14</v>
      </c>
      <c r="C45" s="13" t="s">
        <v>31</v>
      </c>
      <c r="D45" s="14">
        <v>48</v>
      </c>
      <c r="E45" s="15">
        <v>325379.25</v>
      </c>
      <c r="F45" s="15"/>
      <c r="G45" s="15"/>
      <c r="I45" s="2">
        <f>DATE(YEAR(D_DEPART),MONTH(D_DEPART)+D45,DAY(D_DEPART))</f>
        <v>43648</v>
      </c>
      <c r="J45" s="2">
        <f t="shared" si="2"/>
        <v>43693</v>
      </c>
      <c r="K45" s="2"/>
      <c r="L45" s="19">
        <f>IF(K45&lt;&gt;"",K45,EDATE(D_DEPART,(ROUNDUP((J45-D_DEPART)/121.7,0))*4))</f>
        <v>43771</v>
      </c>
      <c r="M45" s="2">
        <f t="shared" si="0"/>
        <v>43816</v>
      </c>
      <c r="N45" s="2">
        <f t="shared" si="1"/>
        <v>43826</v>
      </c>
    </row>
    <row r="46" spans="1:16" ht="45.75" thickBot="1">
      <c r="A46" s="11">
        <v>51</v>
      </c>
      <c r="B46" s="12" t="s">
        <v>6</v>
      </c>
      <c r="C46" s="13" t="s">
        <v>25</v>
      </c>
      <c r="D46" s="14">
        <v>50</v>
      </c>
      <c r="E46" s="15">
        <v>204436.44701620046</v>
      </c>
      <c r="F46" s="15">
        <f>120942.8129838*0.6374</f>
        <v>77088.948995874118</v>
      </c>
      <c r="G46" s="15">
        <f>120942.8129838*0.3626</f>
        <v>43853.863987925877</v>
      </c>
      <c r="H46" s="33"/>
      <c r="I46" s="2">
        <f>DATE(YEAR(D_DEPART),MONTH(D_DEPART)+D46,DAY(D_DEPART))</f>
        <v>43710</v>
      </c>
      <c r="J46" s="2">
        <f t="shared" si="2"/>
        <v>43755</v>
      </c>
      <c r="K46" s="2"/>
      <c r="L46" s="19">
        <f>IF(K46&lt;&gt;"",K46,EDATE(D_DEPART,(ROUNDUP((J46-D_DEPART)/121.7,0))*4))</f>
        <v>43771</v>
      </c>
      <c r="M46" s="2">
        <f t="shared" si="0"/>
        <v>43816</v>
      </c>
      <c r="N46" s="2">
        <f t="shared" si="1"/>
        <v>43826</v>
      </c>
    </row>
    <row r="47" spans="1:16" ht="45.75" thickBot="1">
      <c r="A47" s="11">
        <v>52</v>
      </c>
      <c r="B47" s="12" t="s">
        <v>19</v>
      </c>
      <c r="C47" s="13" t="s">
        <v>23</v>
      </c>
      <c r="D47" s="14">
        <v>53</v>
      </c>
      <c r="E47" s="14"/>
      <c r="F47" s="15">
        <v>378623.13</v>
      </c>
      <c r="G47" s="15"/>
      <c r="I47" s="2">
        <f>DATE(YEAR(D_DEPART),MONTH(D_DEPART)+D47,DAY(D_DEPART))</f>
        <v>43801</v>
      </c>
      <c r="J47" s="2">
        <f t="shared" si="2"/>
        <v>43846</v>
      </c>
      <c r="K47" s="2"/>
      <c r="L47" s="19">
        <f>IF(K47&lt;&gt;"",K47,EDATE(D_DEPART,(ROUNDUP((J47-D_DEPART)/121.7,0))*4))</f>
        <v>43892</v>
      </c>
      <c r="M47" s="2">
        <f t="shared" si="0"/>
        <v>43937</v>
      </c>
      <c r="N47" s="2">
        <f t="shared" si="1"/>
        <v>43947</v>
      </c>
    </row>
    <row r="48" spans="1:16" ht="30.75" thickBot="1">
      <c r="A48" s="11">
        <v>53</v>
      </c>
      <c r="B48" s="12" t="s">
        <v>14</v>
      </c>
      <c r="C48" s="13" t="s">
        <v>32</v>
      </c>
      <c r="D48" s="14">
        <v>57</v>
      </c>
      <c r="E48" s="15">
        <v>325379.25</v>
      </c>
      <c r="F48" s="15"/>
      <c r="G48" s="15"/>
      <c r="I48" s="2">
        <f>DATE(YEAR(D_DEPART),MONTH(D_DEPART)+D48,DAY(D_DEPART))</f>
        <v>43923</v>
      </c>
      <c r="J48" s="2">
        <f t="shared" si="2"/>
        <v>43968</v>
      </c>
      <c r="K48" s="2"/>
      <c r="L48" s="19">
        <f>IF(K48&lt;&gt;"",K48,EDATE(D_DEPART,(ROUNDUP((J48-D_DEPART)/121.7,0))*4))</f>
        <v>44014</v>
      </c>
      <c r="M48" s="2">
        <f t="shared" si="0"/>
        <v>44059</v>
      </c>
      <c r="N48" s="2">
        <f t="shared" si="1"/>
        <v>44069</v>
      </c>
    </row>
    <row r="49" spans="1:14" ht="45.75" thickBot="1">
      <c r="A49" s="11">
        <v>54</v>
      </c>
      <c r="B49" s="12" t="s">
        <v>6</v>
      </c>
      <c r="C49" s="13" t="s">
        <v>25</v>
      </c>
      <c r="D49" s="14">
        <v>62</v>
      </c>
      <c r="E49" s="15">
        <v>208153.47331566102</v>
      </c>
      <c r="F49" s="15">
        <f>123141.756684339*0.6374</f>
        <v>78490.555710597677</v>
      </c>
      <c r="G49" s="15">
        <f>123141.756684339*0.3626</f>
        <v>44651.200973741317</v>
      </c>
      <c r="H49" s="33"/>
      <c r="I49" s="2">
        <f>DATE(YEAR(D_DEPART),MONTH(D_DEPART)+D49,DAY(D_DEPART))</f>
        <v>44076</v>
      </c>
      <c r="J49" s="2">
        <f t="shared" si="2"/>
        <v>44121</v>
      </c>
      <c r="K49" s="2"/>
      <c r="L49" s="19">
        <f>IF(K49&lt;&gt;"",K49,EDATE(D_DEPART,(ROUNDUP((J49-D_DEPART)/121.7,0))*4))</f>
        <v>44137</v>
      </c>
      <c r="M49" s="2">
        <f t="shared" si="0"/>
        <v>44182</v>
      </c>
      <c r="N49" s="2">
        <f t="shared" si="1"/>
        <v>44192</v>
      </c>
    </row>
    <row r="50" spans="1:14" ht="15.75" thickBot="1">
      <c r="A50" s="11">
        <v>55</v>
      </c>
      <c r="B50" s="12" t="s">
        <v>6</v>
      </c>
      <c r="C50" s="13" t="s">
        <v>33</v>
      </c>
      <c r="D50" s="14">
        <v>62</v>
      </c>
      <c r="E50" s="15">
        <v>1038908.8861029589</v>
      </c>
      <c r="F50" s="15">
        <f>614609.313897041*0.6374</f>
        <v>391751.97667797393</v>
      </c>
      <c r="G50" s="15">
        <f>614609.313897041*0.3626</f>
        <v>222857.33721906706</v>
      </c>
      <c r="H50" s="33"/>
      <c r="I50" s="2">
        <f t="shared" ref="I50" si="3">I$1+(D50*(365.25/12))</f>
        <v>44074.125</v>
      </c>
      <c r="J50" s="2">
        <f t="shared" si="2"/>
        <v>44119.125</v>
      </c>
      <c r="K50" s="2"/>
      <c r="L50" s="19">
        <f>IF(K50&lt;&gt;"",K50,EDATE(D_DEPART,(ROUNDUP((J50-D_DEPART)/121.7,0))*4))</f>
        <v>44137</v>
      </c>
      <c r="M50" s="2">
        <f t="shared" si="0"/>
        <v>44182</v>
      </c>
      <c r="N50" s="2">
        <f t="shared" si="1"/>
        <v>44192</v>
      </c>
    </row>
    <row r="51" spans="1:14" ht="15.75" thickBot="1">
      <c r="A51" s="41" t="s">
        <v>34</v>
      </c>
      <c r="B51" s="42"/>
      <c r="C51" s="42"/>
      <c r="D51" s="43"/>
      <c r="E51" s="9">
        <f>SUM(E3:E50)</f>
        <v>15953002.252114495</v>
      </c>
      <c r="F51" s="9">
        <f t="shared" ref="F51:G51" si="4">SUM(F3:F50)</f>
        <v>9035163.510465106</v>
      </c>
      <c r="G51" s="9">
        <f t="shared" si="4"/>
        <v>4591766.2852047738</v>
      </c>
      <c r="H51" s="35"/>
      <c r="I51" s="36"/>
      <c r="J51" s="36"/>
      <c r="K51" s="36"/>
      <c r="L51" s="36"/>
      <c r="M51" s="36"/>
      <c r="N51" s="36"/>
    </row>
    <row r="52" spans="1:14">
      <c r="F52" s="44"/>
      <c r="G52" s="45"/>
    </row>
  </sheetData>
  <mergeCells count="2">
    <mergeCell ref="A51:D51"/>
    <mergeCell ref="F52:G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D_DEPART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wattignier</dc:creator>
  <cp:lastModifiedBy>CHRISTIAN</cp:lastModifiedBy>
  <dcterms:created xsi:type="dcterms:W3CDTF">2016-01-07T10:52:53Z</dcterms:created>
  <dcterms:modified xsi:type="dcterms:W3CDTF">2016-01-07T23:17:57Z</dcterms:modified>
</cp:coreProperties>
</file>