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charts/chart6.xml" ContentType="application/vnd.openxmlformats-officedocument.drawingml.chart+xml"/>
  <Override PartName="/xl/charts/chart7.xml" ContentType="application/vnd.openxmlformats-officedocument.drawingml.chart+xml"/>
  <Override PartName="/xl/charts/chart10.xml" ContentType="application/vnd.openxmlformats-officedocument.drawingml.chart+xml"/>
  <Override PartName="/xl/theme/theme1.xml" ContentType="application/vnd.openxmlformats-officedocument.theme+xml"/>
  <Override PartName="/xl/styles.xml" ContentType="application/vnd.openxmlformats-officedocument.spreadsheetml.styles+xml"/>
  <Override PartName="/xl/charts/chart4.xml" ContentType="application/vnd.openxmlformats-officedocument.drawingml.chart+xml"/>
  <Override PartName="/xl/charts/chart5.xml" ContentType="application/vnd.openxmlformats-officedocument.drawingml.chart+xml"/>
  <Override PartName="/xl/charts/style6.xml" ContentType="application/vnd.ms-office.chartstyle+xml"/>
  <Override PartName="/xl/charts/style7.xml" ContentType="application/vnd.ms-office.chartstyle+xml"/>
  <Override PartName="/xl/charts/chart2.xml" ContentType="application/vnd.openxmlformats-officedocument.drawingml.chart+xml"/>
  <Override PartName="/xl/charts/chart3.xml" ContentType="application/vnd.openxmlformats-officedocument.drawingml.chart+xml"/>
  <Override PartName="/xl/drawings/drawing4.xml" ContentType="application/vnd.openxmlformats-officedocument.drawing+xml"/>
  <Override PartName="/xl/charts/style5.xml" ContentType="application/vnd.ms-office.chartstyle+xml"/>
  <Override PartName="/xl/charts/style4.xml" ContentType="application/vnd.ms-office.chartstyle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charts/chart1.xml" ContentType="application/vnd.openxmlformats-officedocument.drawingml.chart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harts/style3.xml" ContentType="application/vnd.ms-office.chartstyle+xml"/>
  <Override PartName="/xl/charts/style2.xml" ContentType="application/vnd.ms-office.chartstyle+xml"/>
  <Override PartName="/xl/charts/style1.xml" ContentType="application/vnd.ms-office.chartstyle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charts/colors6.xml" ContentType="application/vnd.ms-office.chartcolorstyle+xml"/>
  <Override PartName="/xl/charts/colors7.xml" ContentType="application/vnd.ms-office.chartcolorstyle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charts/colors5.xml" ContentType="application/vnd.ms-office.chartcolorstyle+xml"/>
  <Override PartName="/xl/charts/colors4.xml" ContentType="application/vnd.ms-office.chartcolorstyle+xml"/>
  <Override PartName="/xl/sharedStrings.xml" ContentType="application/vnd.openxmlformats-officedocument.spreadsheetml.sharedStrings+xml"/>
  <Override PartName="/xl/charts/colors3.xml" ContentType="application/vnd.ms-office.chartcolorstyle+xml"/>
  <Override PartName="/xl/charts/colors2.xml" ContentType="application/vnd.ms-office.chartcolorstyle+xml"/>
  <Override PartName="/xl/charts/chart8.xml" ContentType="application/vnd.openxmlformats-officedocument.drawingml.chart+xml"/>
  <Override PartName="/xl/charts/chart9.xml" ContentType="application/vnd.openxmlformats-officedocument.drawingml.chart+xml"/>
  <Override PartName="/xl/charts/colors1.xml" ContentType="application/vnd.ms-office.chartcolorstyle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defaultThemeVersion="124226"/>
  <bookViews>
    <workbookView xWindow="240" yWindow="105" windowWidth="14805" windowHeight="8010" tabRatio="644" activeTab="2"/>
  </bookViews>
  <sheets>
    <sheet name="Stats" sheetId="1" r:id="rId1"/>
    <sheet name="Fréquence" sheetId="6" r:id="rId2"/>
    <sheet name="Joueur" sheetId="10" r:id="rId3"/>
    <sheet name="Eri" sheetId="9" r:id="rId4"/>
    <sheet name="Julien" sheetId="8" r:id="rId5"/>
  </sheets>
  <definedNames>
    <definedName name="Joueurs">Joueur!$AA$11:$AA$38</definedName>
    <definedName name="Nom">Joueur!$B$1</definedName>
  </definedNames>
  <calcPr calcId="125725"/>
</workbook>
</file>

<file path=xl/calcChain.xml><?xml version="1.0" encoding="utf-8"?>
<calcChain xmlns="http://schemas.openxmlformats.org/spreadsheetml/2006/main">
  <c r="B7" i="6"/>
  <c r="B8"/>
  <c r="B9"/>
  <c r="B10"/>
  <c r="B11"/>
  <c r="B3"/>
  <c r="B4"/>
  <c r="B5"/>
  <c r="B6"/>
  <c r="B2"/>
  <c r="B27" i="10"/>
  <c r="B28"/>
  <c r="B29"/>
  <c r="B30"/>
  <c r="B31"/>
  <c r="B32"/>
  <c r="B33"/>
  <c r="B34"/>
  <c r="B25"/>
  <c r="B26"/>
  <c r="C4"/>
  <c r="C5"/>
  <c r="C6"/>
  <c r="C7"/>
  <c r="C8"/>
  <c r="C9"/>
  <c r="C10"/>
  <c r="C11"/>
  <c r="C12"/>
  <c r="C13"/>
  <c r="C14"/>
  <c r="C15"/>
  <c r="C16"/>
  <c r="C17"/>
  <c r="C18"/>
  <c r="C19"/>
  <c r="C3"/>
  <c r="B6"/>
  <c r="D6" s="1"/>
  <c r="B7"/>
  <c r="B8"/>
  <c r="B9"/>
  <c r="B10"/>
  <c r="B11"/>
  <c r="B12"/>
  <c r="B13"/>
  <c r="B14"/>
  <c r="B15"/>
  <c r="B16"/>
  <c r="D16" s="1"/>
  <c r="B17"/>
  <c r="D17" s="1"/>
  <c r="B18"/>
  <c r="B19"/>
  <c r="D19" s="1"/>
  <c r="B5"/>
  <c r="B4"/>
  <c r="D4" s="1"/>
  <c r="B3"/>
  <c r="D7"/>
  <c r="D8"/>
  <c r="D9"/>
  <c r="D10"/>
  <c r="D11"/>
  <c r="D13"/>
  <c r="D14"/>
  <c r="D15"/>
  <c r="AA2"/>
  <c r="AA1"/>
  <c r="E20"/>
  <c r="E19"/>
  <c r="E18"/>
  <c r="E17"/>
  <c r="E16"/>
  <c r="E15"/>
  <c r="E14"/>
  <c r="E13"/>
  <c r="E12"/>
  <c r="E11"/>
  <c r="E10"/>
  <c r="E9"/>
  <c r="E8"/>
  <c r="E7"/>
  <c r="E6"/>
  <c r="E5"/>
  <c r="E4"/>
  <c r="E3"/>
  <c r="B36" l="1"/>
  <c r="D12"/>
  <c r="C20"/>
  <c r="C21" s="1"/>
  <c r="D5"/>
  <c r="B20"/>
  <c r="D20" s="1"/>
  <c r="D3"/>
  <c r="D18"/>
  <c r="E21"/>
  <c r="B21" l="1"/>
  <c r="D21" s="1"/>
  <c r="B3" i="8" l="1"/>
  <c r="B4"/>
  <c r="B5"/>
  <c r="B6"/>
  <c r="B7"/>
  <c r="B8"/>
  <c r="B9"/>
  <c r="B10"/>
  <c r="B11"/>
  <c r="B12"/>
  <c r="B13"/>
  <c r="B14"/>
  <c r="B15"/>
  <c r="D15" s="1"/>
  <c r="B16"/>
  <c r="B17"/>
  <c r="B18"/>
  <c r="B19"/>
  <c r="B20"/>
  <c r="D8"/>
  <c r="D12"/>
  <c r="D16"/>
  <c r="B2"/>
  <c r="D5"/>
  <c r="D6"/>
  <c r="D7"/>
  <c r="D9"/>
  <c r="D10"/>
  <c r="D11"/>
  <c r="D13"/>
  <c r="D14"/>
  <c r="D17"/>
  <c r="D18"/>
  <c r="E20" l="1"/>
  <c r="C20"/>
  <c r="D20" s="1"/>
  <c r="E19"/>
  <c r="C19"/>
  <c r="D19" s="1"/>
  <c r="E19" i="9"/>
  <c r="C19"/>
  <c r="B19"/>
  <c r="E18"/>
  <c r="C18"/>
  <c r="B18"/>
  <c r="E18" i="8"/>
  <c r="C18"/>
  <c r="C11"/>
  <c r="E17" i="9"/>
  <c r="E16"/>
  <c r="E15"/>
  <c r="E14"/>
  <c r="E13"/>
  <c r="E12"/>
  <c r="E11"/>
  <c r="E10"/>
  <c r="E9"/>
  <c r="E8"/>
  <c r="E7"/>
  <c r="E6"/>
  <c r="E5"/>
  <c r="E4"/>
  <c r="E3"/>
  <c r="E2"/>
  <c r="C17"/>
  <c r="C16"/>
  <c r="C15"/>
  <c r="C14"/>
  <c r="C13"/>
  <c r="C12"/>
  <c r="C11"/>
  <c r="B11"/>
  <c r="C10"/>
  <c r="C9"/>
  <c r="C8"/>
  <c r="C7"/>
  <c r="C6"/>
  <c r="C5"/>
  <c r="C4"/>
  <c r="C3"/>
  <c r="C2"/>
  <c r="B17"/>
  <c r="B16"/>
  <c r="B15"/>
  <c r="B14"/>
  <c r="B13"/>
  <c r="B12"/>
  <c r="B10"/>
  <c r="B9"/>
  <c r="B8"/>
  <c r="B7"/>
  <c r="B6"/>
  <c r="B5"/>
  <c r="B4"/>
  <c r="B3"/>
  <c r="B2"/>
  <c r="B35"/>
  <c r="B33"/>
  <c r="B32"/>
  <c r="B31"/>
  <c r="B30"/>
  <c r="B29"/>
  <c r="B28"/>
  <c r="B36" i="8"/>
  <c r="E16"/>
  <c r="E15"/>
  <c r="E14"/>
  <c r="E13"/>
  <c r="E12"/>
  <c r="E10"/>
  <c r="E17"/>
  <c r="E11"/>
  <c r="E9"/>
  <c r="E8"/>
  <c r="E7"/>
  <c r="E6"/>
  <c r="E5"/>
  <c r="E4"/>
  <c r="E3"/>
  <c r="E2"/>
  <c r="C17"/>
  <c r="C16"/>
  <c r="C15"/>
  <c r="C14"/>
  <c r="C13"/>
  <c r="C12"/>
  <c r="C10"/>
  <c r="C9"/>
  <c r="C8"/>
  <c r="C7"/>
  <c r="C6"/>
  <c r="C5"/>
  <c r="C4"/>
  <c r="D4" s="1"/>
  <c r="C3"/>
  <c r="D3" s="1"/>
  <c r="C2"/>
  <c r="D2" s="1"/>
  <c r="B34"/>
  <c r="B33"/>
  <c r="B32"/>
  <c r="B31"/>
  <c r="B30"/>
  <c r="B29"/>
  <c r="B28"/>
  <c r="D18" i="9" l="1"/>
  <c r="D8"/>
  <c r="E20"/>
  <c r="D19"/>
  <c r="D17"/>
  <c r="D16"/>
  <c r="D15"/>
  <c r="D14"/>
  <c r="D13"/>
  <c r="D12"/>
  <c r="D11"/>
  <c r="D10"/>
  <c r="D9"/>
  <c r="D7"/>
  <c r="D6"/>
  <c r="D5"/>
  <c r="D4"/>
  <c r="D3"/>
  <c r="B20"/>
  <c r="D2"/>
  <c r="C20"/>
  <c r="C21" i="8"/>
  <c r="E21"/>
  <c r="B21"/>
  <c r="D20" i="9" l="1"/>
  <c r="D21" i="8"/>
</calcChain>
</file>

<file path=xl/sharedStrings.xml><?xml version="1.0" encoding="utf-8"?>
<sst xmlns="http://schemas.openxmlformats.org/spreadsheetml/2006/main" count="210" uniqueCount="61">
  <si>
    <t>Date</t>
  </si>
  <si>
    <t>Nom du jeu</t>
  </si>
  <si>
    <t>Participants</t>
  </si>
  <si>
    <t>Gagnant</t>
  </si>
  <si>
    <t>Gueules Noires</t>
  </si>
  <si>
    <t>-</t>
  </si>
  <si>
    <t>Splendor</t>
  </si>
  <si>
    <t>L'Age de Pierre</t>
  </si>
  <si>
    <t>Nombre de joueurs</t>
  </si>
  <si>
    <t>Abyss</t>
  </si>
  <si>
    <t>Egalité</t>
  </si>
  <si>
    <t>Seigneur des Anneaux</t>
  </si>
  <si>
    <t>Agricola</t>
  </si>
  <si>
    <t>Egizia</t>
  </si>
  <si>
    <t>Les Piliers de la Terre</t>
  </si>
  <si>
    <t>Sherlock Holmes</t>
  </si>
  <si>
    <t>Civilizations</t>
  </si>
  <si>
    <t>Horreur à Arkham</t>
  </si>
  <si>
    <t>Les Princes de Catane</t>
  </si>
  <si>
    <t>Andor</t>
  </si>
  <si>
    <t>Mois et année</t>
  </si>
  <si>
    <t>Total parties</t>
  </si>
  <si>
    <t>Durée</t>
  </si>
  <si>
    <t>Dungeon Petz</t>
  </si>
  <si>
    <t>Tournay</t>
  </si>
  <si>
    <t>Julien</t>
  </si>
  <si>
    <t>Eri</t>
  </si>
  <si>
    <t>% de victoire</t>
  </si>
  <si>
    <t>Viceroy</t>
  </si>
  <si>
    <t>Dominant Species</t>
  </si>
  <si>
    <t>Terres d'Arle</t>
  </si>
  <si>
    <t>Victoire (40pts)</t>
  </si>
  <si>
    <t>Type de jeu</t>
  </si>
  <si>
    <t>S</t>
  </si>
  <si>
    <t>C</t>
  </si>
  <si>
    <t>S: Stratégique</t>
  </si>
  <si>
    <t>C: coopératif</t>
  </si>
  <si>
    <t>Nbre de parties jouées</t>
  </si>
  <si>
    <t>Nbre de parties gagnées</t>
  </si>
  <si>
    <t>Total</t>
  </si>
  <si>
    <t>Durée de la partie</t>
  </si>
  <si>
    <t>7 Wonders (Eri)</t>
  </si>
  <si>
    <t>Dominion (Eri)</t>
  </si>
  <si>
    <t>Lords of Waterdeep (Eri)</t>
  </si>
  <si>
    <t>Autres (Eri)</t>
  </si>
  <si>
    <t>7 Wonders Duel</t>
  </si>
  <si>
    <t>Jean, Jayme</t>
  </si>
  <si>
    <t>Joh, Ben, Jayme</t>
  </si>
  <si>
    <t>Julien, Jayme</t>
  </si>
  <si>
    <t>Julien, Jean, Jayme</t>
  </si>
  <si>
    <t>Eri, Jayme</t>
  </si>
  <si>
    <t>Julien, Jean, Eri, Jayme</t>
  </si>
  <si>
    <t>Célia, Jean, Jayme</t>
  </si>
  <si>
    <t>Célia, Jayme</t>
  </si>
  <si>
    <t>Eri, Julien, Jayme</t>
  </si>
  <si>
    <t>Jayme</t>
  </si>
  <si>
    <t>Jean</t>
  </si>
  <si>
    <t>Nom du Joueur :</t>
  </si>
  <si>
    <t>Autres</t>
  </si>
  <si>
    <t>Ben</t>
  </si>
  <si>
    <t>Célia</t>
  </si>
</sst>
</file>

<file path=xl/styles.xml><?xml version="1.0" encoding="utf-8"?>
<styleSheet xmlns="http://schemas.openxmlformats.org/spreadsheetml/2006/main">
  <numFmts count="2">
    <numFmt numFmtId="164" formatCode="[$-F400]h:mm:ss\ AM/PM"/>
    <numFmt numFmtId="165" formatCode="[h]:mm:ss;@"/>
  </numFmts>
  <fonts count="8">
    <font>
      <sz val="11"/>
      <color theme="1"/>
      <name val="Calibri"/>
      <family val="2"/>
      <scheme val="minor"/>
    </font>
    <font>
      <b/>
      <sz val="11"/>
      <color theme="1"/>
      <name val="Cambria"/>
      <family val="1"/>
      <scheme val="major"/>
    </font>
    <font>
      <sz val="11"/>
      <color theme="0"/>
      <name val="Calibri"/>
      <family val="2"/>
      <scheme val="minor"/>
    </font>
    <font>
      <sz val="11"/>
      <name val="Calibri"/>
      <family val="2"/>
      <scheme val="minor"/>
    </font>
    <font>
      <b/>
      <i/>
      <sz val="11"/>
      <color theme="1"/>
      <name val="Calibri"/>
      <family val="2"/>
      <scheme val="minor"/>
    </font>
    <font>
      <sz val="10"/>
      <color rgb="FF000000"/>
      <name val="Verdana"/>
      <family val="2"/>
    </font>
    <font>
      <sz val="10"/>
      <name val="Verdana"/>
      <family val="2"/>
    </font>
    <font>
      <b/>
      <sz val="11"/>
      <color rgb="FF0070C0"/>
      <name val="Calibri"/>
      <family val="2"/>
      <scheme val="minor"/>
    </font>
  </fonts>
  <fills count="21">
    <fill>
      <patternFill patternType="none"/>
    </fill>
    <fill>
      <patternFill patternType="gray125"/>
    </fill>
    <fill>
      <patternFill patternType="solid">
        <fgColor theme="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996633"/>
        <bgColor indexed="64"/>
      </patternFill>
    </fill>
    <fill>
      <patternFill patternType="solid">
        <fgColor rgb="FF6633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6" tint="-0.499984740745262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rgb="FF7030A0"/>
        <bgColor indexed="64"/>
      </patternFill>
    </fill>
    <fill>
      <patternFill patternType="solid">
        <fgColor rgb="FF00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5" tint="-0.249977111117893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4" tint="0.39997558519241921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71">
    <xf numFmtId="0" fontId="0" fillId="0" borderId="0" xfId="0"/>
    <xf numFmtId="0" fontId="1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14" fontId="0" fillId="0" borderId="1" xfId="0" applyNumberFormat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/>
    </xf>
    <xf numFmtId="0" fontId="0" fillId="3" borderId="1" xfId="0" applyFill="1" applyBorder="1" applyAlignment="1">
      <alignment horizontal="center" vertical="center" wrapText="1"/>
    </xf>
    <xf numFmtId="0" fontId="0" fillId="4" borderId="1" xfId="0" applyFill="1" applyBorder="1" applyAlignment="1">
      <alignment horizontal="center" vertical="center" wrapText="1"/>
    </xf>
    <xf numFmtId="0" fontId="0" fillId="5" borderId="1" xfId="0" applyFill="1" applyBorder="1" applyAlignment="1">
      <alignment horizontal="center" vertical="center" wrapText="1"/>
    </xf>
    <xf numFmtId="0" fontId="0" fillId="6" borderId="1" xfId="0" applyFill="1" applyBorder="1" applyAlignment="1">
      <alignment horizontal="center" vertical="center" wrapText="1"/>
    </xf>
    <xf numFmtId="0" fontId="2" fillId="7" borderId="1" xfId="0" applyFont="1" applyFill="1" applyBorder="1" applyAlignment="1">
      <alignment horizontal="center" vertical="center" wrapText="1"/>
    </xf>
    <xf numFmtId="0" fontId="0" fillId="8" borderId="1" xfId="0" applyFill="1" applyBorder="1" applyAlignment="1">
      <alignment horizontal="center" vertical="center" wrapText="1"/>
    </xf>
    <xf numFmtId="0" fontId="0" fillId="9" borderId="1" xfId="0" applyFill="1" applyBorder="1" applyAlignment="1">
      <alignment horizontal="center" vertical="center" wrapText="1"/>
    </xf>
    <xf numFmtId="0" fontId="2" fillId="10" borderId="1" xfId="0" applyFont="1" applyFill="1" applyBorder="1" applyAlignment="1">
      <alignment horizontal="center" vertical="center" wrapText="1"/>
    </xf>
    <xf numFmtId="0" fontId="0" fillId="11" borderId="1" xfId="0" applyFill="1" applyBorder="1" applyAlignment="1">
      <alignment horizontal="center" vertical="center" wrapText="1"/>
    </xf>
    <xf numFmtId="0" fontId="0" fillId="12" borderId="1" xfId="0" applyFill="1" applyBorder="1" applyAlignment="1">
      <alignment horizontal="center" vertical="center" wrapText="1"/>
    </xf>
    <xf numFmtId="0" fontId="0" fillId="13" borderId="1" xfId="0" applyFill="1" applyBorder="1" applyAlignment="1">
      <alignment horizontal="center" vertical="center" wrapText="1"/>
    </xf>
    <xf numFmtId="0" fontId="2" fillId="14" borderId="1" xfId="0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17" fontId="0" fillId="0" borderId="1" xfId="0" applyNumberFormat="1" applyBorder="1" applyAlignment="1">
      <alignment horizontal="center" vertical="center"/>
    </xf>
    <xf numFmtId="0" fontId="0" fillId="15" borderId="1" xfId="0" applyFill="1" applyBorder="1" applyAlignment="1">
      <alignment horizontal="center" vertical="center" wrapText="1"/>
    </xf>
    <xf numFmtId="164" fontId="0" fillId="0" borderId="1" xfId="0" applyNumberFormat="1" applyBorder="1" applyAlignment="1">
      <alignment horizontal="center" vertical="center" wrapText="1"/>
    </xf>
    <xf numFmtId="14" fontId="0" fillId="0" borderId="2" xfId="0" applyNumberFormat="1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/>
    </xf>
    <xf numFmtId="0" fontId="0" fillId="16" borderId="1" xfId="0" applyFill="1" applyBorder="1" applyAlignment="1">
      <alignment horizontal="center" vertical="center" wrapText="1"/>
    </xf>
    <xf numFmtId="10" fontId="0" fillId="0" borderId="1" xfId="0" applyNumberFormat="1" applyBorder="1" applyAlignment="1">
      <alignment horizontal="center" vertical="center"/>
    </xf>
    <xf numFmtId="0" fontId="1" fillId="0" borderId="5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0" fillId="0" borderId="2" xfId="0" quotePrefix="1" applyFill="1" applyBorder="1" applyAlignment="1">
      <alignment horizontal="center" vertical="center"/>
    </xf>
    <xf numFmtId="0" fontId="3" fillId="17" borderId="1" xfId="0" applyFont="1" applyFill="1" applyBorder="1" applyAlignment="1">
      <alignment horizontal="center" vertical="center" wrapText="1"/>
    </xf>
    <xf numFmtId="0" fontId="0" fillId="18" borderId="1" xfId="0" applyFill="1" applyBorder="1" applyAlignment="1">
      <alignment horizontal="center" vertical="center" wrapText="1"/>
    </xf>
    <xf numFmtId="164" fontId="0" fillId="0" borderId="0" xfId="0" applyNumberFormat="1"/>
    <xf numFmtId="0" fontId="0" fillId="0" borderId="6" xfId="0" applyNumberFormat="1" applyFill="1" applyBorder="1" applyAlignment="1">
      <alignment horizontal="center" vertical="center" wrapText="1"/>
    </xf>
    <xf numFmtId="0" fontId="0" fillId="0" borderId="1" xfId="0" applyNumberFormat="1" applyFill="1" applyBorder="1" applyAlignment="1">
      <alignment horizontal="center" vertical="center" wrapText="1"/>
    </xf>
    <xf numFmtId="0" fontId="0" fillId="0" borderId="1" xfId="0" applyNumberFormat="1" applyBorder="1" applyAlignment="1">
      <alignment horizontal="center" vertical="center" wrapText="1"/>
    </xf>
    <xf numFmtId="0" fontId="0" fillId="0" borderId="0" xfId="0" applyAlignment="1">
      <alignment wrapText="1"/>
    </xf>
    <xf numFmtId="0" fontId="4" fillId="0" borderId="7" xfId="0" applyNumberFormat="1" applyFont="1" applyFill="1" applyBorder="1" applyAlignment="1">
      <alignment horizontal="center" vertical="center" wrapText="1"/>
    </xf>
    <xf numFmtId="0" fontId="4" fillId="0" borderId="8" xfId="0" applyNumberFormat="1" applyFont="1" applyFill="1" applyBorder="1" applyAlignment="1">
      <alignment horizontal="center" vertical="center" wrapText="1"/>
    </xf>
    <xf numFmtId="0" fontId="0" fillId="19" borderId="1" xfId="0" applyFill="1" applyBorder="1" applyAlignment="1">
      <alignment horizontal="center" vertical="center" wrapText="1"/>
    </xf>
    <xf numFmtId="0" fontId="0" fillId="0" borderId="1" xfId="0" quotePrefix="1" applyFill="1" applyBorder="1" applyAlignment="1">
      <alignment horizontal="center" vertical="center"/>
    </xf>
    <xf numFmtId="0" fontId="1" fillId="0" borderId="0" xfId="0" applyFont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10" fontId="1" fillId="0" borderId="1" xfId="0" applyNumberFormat="1" applyFont="1" applyBorder="1" applyAlignment="1">
      <alignment horizontal="center" vertical="center"/>
    </xf>
    <xf numFmtId="165" fontId="0" fillId="0" borderId="1" xfId="0" quotePrefix="1" applyNumberFormat="1" applyFill="1" applyBorder="1" applyAlignment="1">
      <alignment horizontal="center" vertical="center"/>
    </xf>
    <xf numFmtId="165" fontId="1" fillId="0" borderId="1" xfId="0" applyNumberFormat="1" applyFont="1" applyBorder="1" applyAlignment="1">
      <alignment horizontal="center" vertical="center"/>
    </xf>
    <xf numFmtId="165" fontId="0" fillId="0" borderId="0" xfId="0" applyNumberFormat="1"/>
    <xf numFmtId="0" fontId="5" fillId="0" borderId="0" xfId="0" applyFont="1"/>
    <xf numFmtId="0" fontId="6" fillId="16" borderId="1" xfId="0" applyFont="1" applyFill="1" applyBorder="1" applyAlignment="1">
      <alignment horizontal="center" vertical="center"/>
    </xf>
    <xf numFmtId="164" fontId="0" fillId="0" borderId="2" xfId="0" applyNumberFormat="1" applyBorder="1" applyAlignment="1">
      <alignment horizontal="center" vertical="center" wrapText="1"/>
    </xf>
    <xf numFmtId="0" fontId="0" fillId="0" borderId="2" xfId="0" applyNumberFormat="1" applyFill="1" applyBorder="1" applyAlignment="1">
      <alignment horizontal="center" vertical="center" wrapText="1"/>
    </xf>
    <xf numFmtId="14" fontId="0" fillId="0" borderId="9" xfId="0" applyNumberFormat="1" applyBorder="1" applyAlignment="1">
      <alignment horizontal="center" vertical="center" wrapText="1"/>
    </xf>
    <xf numFmtId="0" fontId="0" fillId="0" borderId="9" xfId="0" applyBorder="1" applyAlignment="1">
      <alignment horizontal="center" vertical="center" wrapText="1"/>
    </xf>
    <xf numFmtId="164" fontId="0" fillId="0" borderId="9" xfId="0" applyNumberFormat="1" applyBorder="1" applyAlignment="1">
      <alignment horizontal="center" vertical="center" wrapText="1"/>
    </xf>
    <xf numFmtId="0" fontId="0" fillId="0" borderId="9" xfId="0" applyNumberFormat="1" applyFill="1" applyBorder="1" applyAlignment="1">
      <alignment horizontal="center" vertical="center" wrapText="1"/>
    </xf>
    <xf numFmtId="0" fontId="0" fillId="19" borderId="9" xfId="0" applyFill="1" applyBorder="1" applyAlignment="1">
      <alignment horizontal="center" vertical="center" wrapText="1"/>
    </xf>
    <xf numFmtId="0" fontId="0" fillId="0" borderId="2" xfId="0" applyNumberFormat="1" applyBorder="1" applyAlignment="1">
      <alignment horizontal="center" vertical="center" wrapText="1"/>
    </xf>
    <xf numFmtId="0" fontId="0" fillId="0" borderId="9" xfId="0" applyNumberFormat="1" applyBorder="1" applyAlignment="1">
      <alignment horizontal="center" vertical="center" wrapText="1"/>
    </xf>
    <xf numFmtId="0" fontId="0" fillId="0" borderId="0" xfId="0" applyNumberFormat="1" applyAlignment="1">
      <alignment horizontal="center" vertical="center" wrapText="1"/>
    </xf>
    <xf numFmtId="0" fontId="0" fillId="20" borderId="1" xfId="0" applyFill="1" applyBorder="1" applyAlignment="1">
      <alignment horizontal="center" vertical="center" wrapText="1"/>
    </xf>
    <xf numFmtId="0" fontId="0" fillId="0" borderId="0" xfId="0" applyNumberFormat="1" applyAlignment="1">
      <alignment horizontal="left" vertical="center" wrapText="1"/>
    </xf>
    <xf numFmtId="0" fontId="0" fillId="0" borderId="11" xfId="0" applyNumberFormat="1" applyBorder="1" applyAlignment="1">
      <alignment horizontal="left" vertical="center" wrapText="1"/>
    </xf>
    <xf numFmtId="0" fontId="0" fillId="0" borderId="11" xfId="0" applyBorder="1" applyAlignment="1">
      <alignment horizontal="left"/>
    </xf>
    <xf numFmtId="0" fontId="0" fillId="0" borderId="8" xfId="0" applyNumberFormat="1" applyBorder="1" applyAlignment="1">
      <alignment horizontal="left" vertical="center" wrapText="1"/>
    </xf>
    <xf numFmtId="0" fontId="0" fillId="0" borderId="7" xfId="0" applyBorder="1"/>
    <xf numFmtId="0" fontId="1" fillId="0" borderId="2" xfId="0" applyFont="1" applyBorder="1" applyAlignment="1">
      <alignment horizontal="center" vertical="center" wrapText="1"/>
    </xf>
    <xf numFmtId="0" fontId="0" fillId="0" borderId="12" xfId="0" applyBorder="1"/>
    <xf numFmtId="0" fontId="7" fillId="0" borderId="10" xfId="0" applyFont="1" applyBorder="1"/>
  </cellXfs>
  <cellStyles count="1">
    <cellStyle name="Normal" xfId="0" builtinId="0"/>
  </cellStyles>
  <dxfs count="0"/>
  <tableStyles count="0" defaultTableStyle="TableStyleMedium2" defaultPivotStyle="PivotStyleMedium9"/>
  <colors>
    <mruColors>
      <color rgb="FF00FF00"/>
      <color rgb="FFF6AE1E"/>
      <color rgb="FF996633"/>
      <color rgb="FF663300"/>
      <color rgb="FFCCCC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5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6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_rels/chart7.xml.rels><?xml version="1.0" encoding="UTF-8" standalone="yes"?>
<Relationships xmlns="http://schemas.openxmlformats.org/package/2006/relationships"><Relationship Id="rId2" Type="http://schemas.microsoft.com/office/2011/relationships/chartColorStyle" Target="colors4.xml"/><Relationship Id="rId1" Type="http://schemas.microsoft.com/office/2011/relationships/chartStyle" Target="style4.xml"/></Relationships>
</file>

<file path=xl/charts/_rels/chart8.xml.rels><?xml version="1.0" encoding="UTF-8" standalone="yes"?>
<Relationships xmlns="http://schemas.openxmlformats.org/package/2006/relationships"><Relationship Id="rId2" Type="http://schemas.microsoft.com/office/2011/relationships/chartColorStyle" Target="colors5.xml"/><Relationship Id="rId1" Type="http://schemas.microsoft.com/office/2011/relationships/chartStyle" Target="style5.xml"/></Relationships>
</file>

<file path=xl/charts/_rels/chart9.xml.rels><?xml version="1.0" encoding="UTF-8" standalone="yes"?>
<Relationships xmlns="http://schemas.openxmlformats.org/package/2006/relationships"><Relationship Id="rId2" Type="http://schemas.microsoft.com/office/2011/relationships/chartColorStyle" Target="colors6.xml"/><Relationship Id="rId1" Type="http://schemas.microsoft.com/office/2011/relationships/chartStyle" Target="style6.xml"/></Relationships>
</file>

<file path=xl/charts/_rels/chart10.xml.rels><?xml version="1.0" encoding="UTF-8" standalone="yes"?>
<Relationships xmlns="http://schemas.openxmlformats.org/package/2006/relationships"><Relationship Id="rId2" Type="http://schemas.microsoft.com/office/2011/relationships/chartColorStyle" Target="colors7.xml"/><Relationship Id="rId1" Type="http://schemas.microsoft.com/office/2011/relationships/chartStyle" Target="style7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fr-BE"/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1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j-lt"/>
                <a:ea typeface="+mn-ea"/>
                <a:cs typeface="+mn-cs"/>
              </a:defRPr>
            </a:pPr>
            <a:r>
              <a:rPr lang="en-US" b="1">
                <a:latin typeface="+mj-lt"/>
              </a:rPr>
              <a:t>Répartition</a:t>
            </a:r>
            <a:r>
              <a:rPr lang="en-US" b="1" baseline="0">
                <a:latin typeface="+mj-lt"/>
              </a:rPr>
              <a:t> mensuelle des parties</a:t>
            </a:r>
            <a:endParaRPr lang="en-US" b="1">
              <a:latin typeface="+mj-lt"/>
            </a:endParaRPr>
          </a:p>
        </c:rich>
      </c:tx>
      <c:layout/>
      <c:spPr>
        <a:noFill/>
        <a:ln>
          <a:noFill/>
        </a:ln>
        <a:effectLst/>
      </c:spPr>
    </c:title>
    <c:view3D>
      <c:depthPercent val="100"/>
      <c:rAngAx val="1"/>
    </c:view3D>
    <c:floor>
      <c:spPr>
        <a:noFill/>
        <a:ln>
          <a:noFill/>
        </a:ln>
        <a:effectLst/>
        <a:sp3d/>
      </c:spPr>
    </c:floor>
    <c:sideWall>
      <c:spPr>
        <a:noFill/>
        <a:ln>
          <a:noFill/>
        </a:ln>
        <a:effectLst/>
        <a:sp3d/>
      </c:spPr>
    </c:sideWall>
    <c:backWall>
      <c:spPr>
        <a:noFill/>
        <a:ln>
          <a:noFill/>
        </a:ln>
        <a:effectLst/>
        <a:sp3d/>
      </c:spPr>
    </c:backWall>
    <c:plotArea>
      <c:layout/>
      <c:bar3DChart>
        <c:barDir val="col"/>
        <c:grouping val="clustered"/>
        <c:ser>
          <c:idx val="0"/>
          <c:order val="0"/>
          <c:tx>
            <c:strRef>
              <c:f>Fréquence!$B$1</c:f>
              <c:strCache>
                <c:ptCount val="1"/>
                <c:pt idx="0">
                  <c:v>Total parties</c:v>
                </c:pt>
              </c:strCache>
            </c:strRef>
          </c:tx>
          <c:spPr>
            <a:solidFill>
              <a:srgbClr val="7030A0"/>
            </a:solidFill>
            <a:ln>
              <a:noFill/>
            </a:ln>
            <a:effectLst/>
            <a:sp3d/>
          </c:spPr>
          <c:cat>
            <c:numRef>
              <c:f>Fréquence!$A$2:$A$11</c:f>
              <c:numCache>
                <c:formatCode>mmm\-yy</c:formatCode>
                <c:ptCount val="10"/>
                <c:pt idx="0">
                  <c:v>42248</c:v>
                </c:pt>
                <c:pt idx="1">
                  <c:v>42278</c:v>
                </c:pt>
                <c:pt idx="2">
                  <c:v>42309</c:v>
                </c:pt>
                <c:pt idx="3">
                  <c:v>42339</c:v>
                </c:pt>
                <c:pt idx="4">
                  <c:v>42370</c:v>
                </c:pt>
                <c:pt idx="5">
                  <c:v>42401</c:v>
                </c:pt>
                <c:pt idx="6">
                  <c:v>42430</c:v>
                </c:pt>
                <c:pt idx="7">
                  <c:v>42461</c:v>
                </c:pt>
                <c:pt idx="8">
                  <c:v>42491</c:v>
                </c:pt>
                <c:pt idx="9">
                  <c:v>42522</c:v>
                </c:pt>
              </c:numCache>
            </c:numRef>
          </c:cat>
          <c:val>
            <c:numRef>
              <c:f>Fréquence!$B$2:$B$11</c:f>
              <c:numCache>
                <c:formatCode>General</c:formatCode>
                <c:ptCount val="10"/>
                <c:pt idx="0">
                  <c:v>7</c:v>
                </c:pt>
                <c:pt idx="1">
                  <c:v>13</c:v>
                </c:pt>
                <c:pt idx="2">
                  <c:v>4</c:v>
                </c:pt>
                <c:pt idx="3">
                  <c:v>2</c:v>
                </c:pt>
                <c:pt idx="4">
                  <c:v>2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</c:numCache>
            </c:numRef>
          </c:val>
        </c:ser>
        <c:shape val="box"/>
        <c:axId val="98464896"/>
        <c:axId val="98466816"/>
        <c:axId val="0"/>
      </c:bar3DChart>
      <c:dateAx>
        <c:axId val="98464896"/>
        <c:scaling>
          <c:orientation val="minMax"/>
        </c:scaling>
        <c:axPos val="b"/>
        <c:numFmt formatCode="mmm\-yy" sourceLinked="1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50" b="1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j-lt"/>
                <a:ea typeface="+mn-ea"/>
                <a:cs typeface="+mn-cs"/>
              </a:defRPr>
            </a:pPr>
            <a:endParaRPr lang="fr-FR"/>
          </a:p>
        </c:txPr>
        <c:crossAx val="98466816"/>
        <c:crosses val="autoZero"/>
        <c:auto val="1"/>
        <c:lblOffset val="100"/>
        <c:baseTimeUnit val="months"/>
      </c:dateAx>
      <c:valAx>
        <c:axId val="98466816"/>
        <c:scaling>
          <c:orientation val="minMax"/>
        </c:scaling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1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j-lt"/>
                <a:ea typeface="+mn-ea"/>
                <a:cs typeface="+mn-cs"/>
              </a:defRPr>
            </a:pPr>
            <a:endParaRPr lang="fr-FR"/>
          </a:p>
        </c:txPr>
        <c:crossAx val="98464896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000000000000022" l="0.70000000000000018" r="0.70000000000000018" t="0.75000000000000022" header="0.3000000000000001" footer="0.3000000000000001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fr-BE"/>
  <c:chart>
    <c:title>
      <c:tx>
        <c:strRef>
          <c:f>Joueur!$AA$1</c:f>
          <c:strCache>
            <c:ptCount val="1"/>
            <c:pt idx="0">
              <c:v>Répartition des jeux pratiqués par Eri</c:v>
            </c:pt>
          </c:strCache>
        </c:strRef>
      </c:tx>
      <c:layout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ysClr val="windowText" lastClr="000000"/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view3D>
      <c:rotX val="30"/>
      <c:depthPercent val="100"/>
      <c:perspective val="30"/>
    </c:view3D>
    <c:floor>
      <c:spPr>
        <a:noFill/>
        <a:ln>
          <a:noFill/>
        </a:ln>
        <a:effectLst/>
        <a:sp3d/>
      </c:spPr>
    </c:floor>
    <c:sideWall>
      <c:spPr>
        <a:noFill/>
        <a:ln>
          <a:noFill/>
        </a:ln>
        <a:effectLst/>
        <a:sp3d/>
      </c:spPr>
    </c:sideWall>
    <c:backWall>
      <c:spPr>
        <a:noFill/>
        <a:ln>
          <a:noFill/>
        </a:ln>
        <a:effectLst/>
        <a:sp3d/>
      </c:spPr>
    </c:backWall>
    <c:plotArea>
      <c:layout>
        <c:manualLayout>
          <c:layoutTarget val="inner"/>
          <c:xMode val="edge"/>
          <c:yMode val="edge"/>
          <c:x val="9.1666642607180545E-3"/>
          <c:y val="0.14458397245798824"/>
          <c:w val="0.95833334426946359"/>
          <c:h val="0.37159377805047117"/>
        </c:manualLayout>
      </c:layout>
      <c:pie3DChart>
        <c:varyColors val="1"/>
        <c:ser>
          <c:idx val="0"/>
          <c:order val="0"/>
          <c:spPr>
            <a:ln>
              <a:solidFill>
                <a:sysClr val="windowText" lastClr="000000"/>
              </a:solidFill>
            </a:ln>
          </c:spPr>
          <c:dPt>
            <c:idx val="0"/>
            <c:spPr>
              <a:solidFill>
                <a:schemeClr val="tx1"/>
              </a:solidFill>
              <a:ln w="25400">
                <a:solidFill>
                  <a:sysClr val="windowText" lastClr="000000"/>
                </a:solidFill>
              </a:ln>
              <a:effectLst/>
              <a:sp3d contourW="25400">
                <a:contourClr>
                  <a:sysClr val="windowText" lastClr="000000"/>
                </a:contourClr>
              </a:sp3d>
            </c:spPr>
          </c:dPt>
          <c:dPt>
            <c:idx val="1"/>
            <c:spPr>
              <a:solidFill>
                <a:srgbClr val="FFFF00"/>
              </a:solidFill>
              <a:ln w="25400">
                <a:solidFill>
                  <a:srgbClr val="FFFF00"/>
                </a:solidFill>
              </a:ln>
              <a:effectLst/>
              <a:sp3d contourW="25400">
                <a:contourClr>
                  <a:srgbClr val="FFFF00"/>
                </a:contourClr>
              </a:sp3d>
            </c:spPr>
          </c:dPt>
          <c:dPt>
            <c:idx val="2"/>
            <c:spPr>
              <a:solidFill>
                <a:srgbClr val="00B0F0"/>
              </a:solidFill>
              <a:ln w="25400">
                <a:solidFill>
                  <a:srgbClr val="00B0F0"/>
                </a:solidFill>
              </a:ln>
              <a:effectLst/>
              <a:sp3d contourW="25400">
                <a:contourClr>
                  <a:srgbClr val="00B0F0"/>
                </a:contourClr>
              </a:sp3d>
            </c:spPr>
          </c:dPt>
          <c:dPt>
            <c:idx val="3"/>
            <c:spPr>
              <a:solidFill>
                <a:srgbClr val="00B050"/>
              </a:solidFill>
              <a:ln w="25400">
                <a:solidFill>
                  <a:srgbClr val="00B050"/>
                </a:solidFill>
              </a:ln>
              <a:effectLst/>
              <a:sp3d contourW="25400">
                <a:contourClr>
                  <a:srgbClr val="00B050"/>
                </a:contourClr>
              </a:sp3d>
            </c:spPr>
          </c:dPt>
          <c:dPt>
            <c:idx val="4"/>
            <c:spPr>
              <a:solidFill>
                <a:srgbClr val="996633"/>
              </a:solidFill>
              <a:ln w="25400">
                <a:solidFill>
                  <a:srgbClr val="996633"/>
                </a:solidFill>
              </a:ln>
              <a:effectLst/>
              <a:sp3d contourW="25400">
                <a:contourClr>
                  <a:srgbClr val="996633"/>
                </a:contourClr>
              </a:sp3d>
            </c:spPr>
          </c:dPt>
          <c:dPt>
            <c:idx val="5"/>
            <c:spPr>
              <a:solidFill>
                <a:schemeClr val="accent4">
                  <a:lumMod val="40000"/>
                  <a:lumOff val="60000"/>
                </a:schemeClr>
              </a:solidFill>
              <a:ln w="25400">
                <a:solidFill>
                  <a:schemeClr val="accent4">
                    <a:lumMod val="40000"/>
                    <a:lumOff val="60000"/>
                  </a:schemeClr>
                </a:solidFill>
              </a:ln>
              <a:effectLst/>
              <a:sp3d contourW="25400">
                <a:contourClr>
                  <a:schemeClr val="accent4">
                    <a:lumMod val="40000"/>
                    <a:lumOff val="60000"/>
                  </a:schemeClr>
                </a:contourClr>
              </a:sp3d>
            </c:spPr>
          </c:dPt>
          <c:dPt>
            <c:idx val="6"/>
            <c:spPr>
              <a:solidFill>
                <a:srgbClr val="663300"/>
              </a:solidFill>
              <a:ln w="25400">
                <a:solidFill>
                  <a:srgbClr val="663300"/>
                </a:solidFill>
              </a:ln>
              <a:effectLst/>
              <a:sp3d contourW="25400">
                <a:contourClr>
                  <a:srgbClr val="663300"/>
                </a:contourClr>
              </a:sp3d>
            </c:spPr>
          </c:dPt>
          <c:dPt>
            <c:idx val="7"/>
            <c:spPr>
              <a:solidFill>
                <a:srgbClr val="FFC000"/>
              </a:solidFill>
              <a:ln w="25400">
                <a:solidFill>
                  <a:srgbClr val="FFC000"/>
                </a:solidFill>
              </a:ln>
              <a:effectLst/>
              <a:sp3d contourW="25400">
                <a:contourClr>
                  <a:srgbClr val="FFC000"/>
                </a:contourClr>
              </a:sp3d>
            </c:spPr>
          </c:dPt>
          <c:dPt>
            <c:idx val="8"/>
            <c:spPr>
              <a:solidFill>
                <a:schemeClr val="bg1">
                  <a:lumMod val="65000"/>
                </a:schemeClr>
              </a:solidFill>
              <a:ln w="25400">
                <a:solidFill>
                  <a:schemeClr val="bg1">
                    <a:lumMod val="65000"/>
                  </a:schemeClr>
                </a:solidFill>
              </a:ln>
              <a:effectLst/>
              <a:sp3d contourW="25400">
                <a:contourClr>
                  <a:schemeClr val="bg1">
                    <a:lumMod val="65000"/>
                  </a:schemeClr>
                </a:contourClr>
              </a:sp3d>
            </c:spPr>
          </c:dPt>
          <c:dPt>
            <c:idx val="9"/>
            <c:spPr>
              <a:solidFill>
                <a:schemeClr val="bg1"/>
              </a:solidFill>
              <a:ln w="25400">
                <a:solidFill>
                  <a:schemeClr val="bg1"/>
                </a:solidFill>
              </a:ln>
              <a:effectLst/>
              <a:sp3d contourW="25400">
                <a:contourClr>
                  <a:schemeClr val="bg1"/>
                </a:contourClr>
              </a:sp3d>
            </c:spPr>
          </c:dPt>
          <c:dPt>
            <c:idx val="10"/>
            <c:spPr>
              <a:solidFill>
                <a:schemeClr val="accent6">
                  <a:lumMod val="75000"/>
                </a:schemeClr>
              </a:solidFill>
              <a:ln w="25400">
                <a:solidFill>
                  <a:schemeClr val="accent6">
                    <a:lumMod val="75000"/>
                  </a:schemeClr>
                </a:solidFill>
              </a:ln>
              <a:effectLst/>
              <a:sp3d contourW="25400">
                <a:contourClr>
                  <a:schemeClr val="accent6">
                    <a:lumMod val="75000"/>
                  </a:schemeClr>
                </a:contourClr>
              </a:sp3d>
            </c:spPr>
          </c:dPt>
          <c:dPt>
            <c:idx val="11"/>
            <c:spPr>
              <a:solidFill>
                <a:schemeClr val="accent3"/>
              </a:solidFill>
              <a:ln w="25400">
                <a:solidFill>
                  <a:schemeClr val="accent3"/>
                </a:solidFill>
              </a:ln>
              <a:effectLst/>
              <a:sp3d contourW="25400">
                <a:contourClr>
                  <a:schemeClr val="accent3"/>
                </a:contourClr>
              </a:sp3d>
            </c:spPr>
          </c:dPt>
          <c:dPt>
            <c:idx val="12"/>
            <c:spPr>
              <a:solidFill>
                <a:schemeClr val="accent2">
                  <a:lumMod val="40000"/>
                  <a:lumOff val="60000"/>
                </a:schemeClr>
              </a:solidFill>
              <a:ln w="25400">
                <a:solidFill>
                  <a:schemeClr val="accent2">
                    <a:lumMod val="40000"/>
                    <a:lumOff val="60000"/>
                  </a:schemeClr>
                </a:solidFill>
              </a:ln>
              <a:effectLst/>
              <a:sp3d contourW="25400">
                <a:contourClr>
                  <a:schemeClr val="accent2">
                    <a:lumMod val="40000"/>
                    <a:lumOff val="60000"/>
                  </a:schemeClr>
                </a:contourClr>
              </a:sp3d>
            </c:spPr>
          </c:dPt>
          <c:dPt>
            <c:idx val="13"/>
            <c:spPr>
              <a:solidFill>
                <a:srgbClr val="7030A0"/>
              </a:solidFill>
              <a:ln w="25400">
                <a:solidFill>
                  <a:srgbClr val="7030A0"/>
                </a:solidFill>
              </a:ln>
              <a:effectLst/>
              <a:sp3d contourW="25400">
                <a:contourClr>
                  <a:srgbClr val="7030A0"/>
                </a:contourClr>
              </a:sp3d>
            </c:spPr>
          </c:dPt>
          <c:dPt>
            <c:idx val="14"/>
            <c:spPr>
              <a:solidFill>
                <a:srgbClr val="00FF00"/>
              </a:solidFill>
              <a:ln w="25400">
                <a:solidFill>
                  <a:srgbClr val="00FF00"/>
                </a:solidFill>
              </a:ln>
              <a:effectLst/>
              <a:sp3d contourW="25400">
                <a:contourClr>
                  <a:srgbClr val="00FF00"/>
                </a:contourClr>
              </a:sp3d>
            </c:spPr>
          </c:dPt>
          <c:dPt>
            <c:idx val="15"/>
            <c:spPr>
              <a:solidFill>
                <a:srgbClr val="FF0000"/>
              </a:solidFill>
              <a:ln w="25400">
                <a:solidFill>
                  <a:srgbClr val="FF0000"/>
                </a:solidFill>
              </a:ln>
              <a:effectLst/>
              <a:sp3d contourW="25400">
                <a:contourClr>
                  <a:srgbClr val="FF0000"/>
                </a:contourClr>
              </a:sp3d>
            </c:spPr>
          </c:dPt>
          <c:dPt>
            <c:idx val="16"/>
            <c:spPr>
              <a:solidFill>
                <a:srgbClr val="C00000"/>
              </a:solidFill>
              <a:ln w="25400">
                <a:solidFill>
                  <a:srgbClr val="C00000"/>
                </a:solidFill>
              </a:ln>
              <a:effectLst/>
              <a:sp3d contourW="25400">
                <a:contourClr>
                  <a:srgbClr val="C00000"/>
                </a:contourClr>
              </a:sp3d>
            </c:spPr>
          </c:dPt>
          <c:dPt>
            <c:idx val="17"/>
            <c:spPr>
              <a:solidFill>
                <a:schemeClr val="accent1">
                  <a:lumMod val="60000"/>
                  <a:lumOff val="40000"/>
                </a:schemeClr>
              </a:solidFill>
              <a:ln w="25400">
                <a:solidFill>
                  <a:schemeClr val="accent1">
                    <a:lumMod val="60000"/>
                    <a:lumOff val="40000"/>
                  </a:schemeClr>
                </a:solidFill>
              </a:ln>
              <a:effectLst/>
              <a:sp3d contourW="25400">
                <a:contourClr>
                  <a:schemeClr val="accent1">
                    <a:lumMod val="60000"/>
                    <a:lumOff val="40000"/>
                  </a:schemeClr>
                </a:contourClr>
              </a:sp3d>
            </c:spPr>
          </c:dPt>
          <c:dLbls>
            <c:dLbl>
              <c:idx val="0"/>
              <c:delete val="1"/>
              <c:extLst>
                <c:ext xmlns:c15="http://schemas.microsoft.com/office/drawing/2012/chart" uri="{CE6537A1-D6FC-4f65-9D91-7224C49458BB}"/>
              </c:extLst>
            </c:dLbl>
            <c:dLbl>
              <c:idx val="3"/>
              <c:delete val="1"/>
              <c:extLst>
                <c:ext xmlns:c15="http://schemas.microsoft.com/office/drawing/2012/chart" uri="{CE6537A1-D6FC-4f65-9D91-7224C49458BB}"/>
              </c:extLst>
            </c:dLbl>
            <c:dLbl>
              <c:idx val="4"/>
              <c:layout/>
              <c:spPr>
                <a:solidFill>
                  <a:sysClr val="window" lastClr="FFFFFF"/>
                </a:solidFill>
                <a:ln>
                  <a:solidFill>
                    <a:sysClr val="windowText" lastClr="000000">
                      <a:lumMod val="25000"/>
                      <a:lumOff val="75000"/>
                    </a:sysClr>
                  </a:solidFill>
                </a:ln>
                <a:effectLst/>
              </c:spPr>
              <c:txPr>
                <a:bodyPr rot="0" spcFirstLastPara="1" vertOverflow="clip" horzOverflow="clip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900" b="1" i="0" u="none" strike="noStrike" kern="1200" baseline="0">
                      <a:solidFill>
                        <a:sysClr val="windowText" lastClr="000000"/>
                      </a:solidFill>
                      <a:latin typeface="+mj-lt"/>
                      <a:ea typeface="+mn-ea"/>
                      <a:cs typeface="+mn-cs"/>
                    </a:defRPr>
                  </a:pPr>
                  <a:endParaRPr lang="fr-FR"/>
                </a:p>
              </c:txPr>
              <c:dLblPos val="outEnd"/>
              <c:showPercent val="1"/>
              <c:extLst>
                <c:ext xmlns:c15="http://schemas.microsoft.com/office/drawing/2012/chart" uri="{CE6537A1-D6FC-4f65-9D91-7224C49458BB}">
                  <c15:spPr xmlns:c15="http://schemas.microsoft.com/office/drawing/2012/chart">
                    <a:prstGeom prst="wedgeRectCallout">
                      <a:avLst/>
                    </a:prstGeom>
                    <a:noFill/>
                    <a:ln>
                      <a:noFill/>
                    </a:ln>
                  </c15:spPr>
                  <c15:layout/>
                </c:ext>
              </c:extLst>
            </c:dLbl>
            <c:dLbl>
              <c:idx val="5"/>
              <c:delete val="1"/>
              <c:extLst>
                <c:ext xmlns:c15="http://schemas.microsoft.com/office/drawing/2012/chart" uri="{CE6537A1-D6FC-4f65-9D91-7224C49458BB}"/>
              </c:extLst>
            </c:dLbl>
            <c:dLbl>
              <c:idx val="6"/>
              <c:layout/>
              <c:spPr>
                <a:solidFill>
                  <a:sysClr val="window" lastClr="FFFFFF"/>
                </a:solidFill>
                <a:ln>
                  <a:solidFill>
                    <a:sysClr val="windowText" lastClr="000000">
                      <a:lumMod val="25000"/>
                      <a:lumOff val="75000"/>
                    </a:sysClr>
                  </a:solidFill>
                </a:ln>
                <a:effectLst/>
              </c:spPr>
              <c:txPr>
                <a:bodyPr rot="0" spcFirstLastPara="1" vertOverflow="clip" horzOverflow="clip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900" b="1" i="0" u="none" strike="noStrike" kern="1200" baseline="0">
                      <a:solidFill>
                        <a:sysClr val="windowText" lastClr="000000"/>
                      </a:solidFill>
                      <a:latin typeface="+mj-lt"/>
                      <a:ea typeface="+mn-ea"/>
                      <a:cs typeface="+mn-cs"/>
                    </a:defRPr>
                  </a:pPr>
                  <a:endParaRPr lang="fr-FR"/>
                </a:p>
              </c:txPr>
              <c:dLblPos val="outEnd"/>
              <c:showPercent val="1"/>
              <c:extLst>
                <c:ext xmlns:c15="http://schemas.microsoft.com/office/drawing/2012/chart" uri="{CE6537A1-D6FC-4f65-9D91-7224C49458BB}">
                  <c15:spPr xmlns:c15="http://schemas.microsoft.com/office/drawing/2012/chart">
                    <a:prstGeom prst="wedgeRectCallout">
                      <a:avLst/>
                    </a:prstGeom>
                    <a:noFill/>
                    <a:ln>
                      <a:noFill/>
                    </a:ln>
                  </c15:spPr>
                  <c15:layout/>
                </c:ext>
              </c:extLst>
            </c:dLbl>
            <c:dLbl>
              <c:idx val="7"/>
              <c:delete val="1"/>
              <c:extLst>
                <c:ext xmlns:c15="http://schemas.microsoft.com/office/drawing/2012/chart" uri="{CE6537A1-D6FC-4f65-9D91-7224C49458BB}"/>
              </c:extLst>
            </c:dLbl>
            <c:dLbl>
              <c:idx val="8"/>
              <c:delete val="1"/>
              <c:extLst>
                <c:ext xmlns:c15="http://schemas.microsoft.com/office/drawing/2012/chart" uri="{CE6537A1-D6FC-4f65-9D91-7224C49458BB}"/>
              </c:extLst>
            </c:dLbl>
            <c:dLbl>
              <c:idx val="10"/>
              <c:delete val="1"/>
              <c:extLst>
                <c:ext xmlns:c15="http://schemas.microsoft.com/office/drawing/2012/chart" uri="{CE6537A1-D6FC-4f65-9D91-7224C49458BB}"/>
              </c:extLst>
            </c:dLbl>
            <c:dLbl>
              <c:idx val="11"/>
              <c:delete val="1"/>
              <c:extLst>
                <c:ext xmlns:c15="http://schemas.microsoft.com/office/drawing/2012/chart" uri="{CE6537A1-D6FC-4f65-9D91-7224C49458BB}"/>
              </c:extLst>
            </c:dLbl>
            <c:dLbl>
              <c:idx val="12"/>
              <c:delete val="1"/>
              <c:extLst>
                <c:ext xmlns:c15="http://schemas.microsoft.com/office/drawing/2012/chart" uri="{CE6537A1-D6FC-4f65-9D91-7224C49458BB}"/>
              </c:extLst>
            </c:dLbl>
            <c:dLbl>
              <c:idx val="13"/>
              <c:delete val="1"/>
              <c:extLst>
                <c:ext xmlns:c15="http://schemas.microsoft.com/office/drawing/2012/chart" uri="{CE6537A1-D6FC-4f65-9D91-7224C49458BB}"/>
              </c:extLst>
            </c:dLbl>
            <c:dLbl>
              <c:idx val="14"/>
              <c:delete val="1"/>
              <c:extLst>
                <c:ext xmlns:c15="http://schemas.microsoft.com/office/drawing/2012/chart" uri="{CE6537A1-D6FC-4f65-9D91-7224C49458BB}"/>
              </c:extLst>
            </c:dLbl>
            <c:dLbl>
              <c:idx val="16"/>
              <c:delete val="1"/>
              <c:extLst>
                <c:ext xmlns:c15="http://schemas.microsoft.com/office/drawing/2012/chart" uri="{CE6537A1-D6FC-4f65-9D91-7224C49458BB}"/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1" i="0" u="none" strike="noStrike" kern="1200" baseline="0">
                    <a:solidFill>
                      <a:sysClr val="windowText" lastClr="000000"/>
                    </a:solidFill>
                    <a:latin typeface="+mj-lt"/>
                    <a:ea typeface="+mn-ea"/>
                    <a:cs typeface="+mn-cs"/>
                  </a:defRPr>
                </a:pPr>
                <a:endParaRPr lang="fr-FR"/>
              </a:p>
            </c:txPr>
            <c:showPercent val="1"/>
            <c:extLst>
              <c:ext xmlns:c15="http://schemas.microsoft.com/office/drawing/2012/chart" uri="{CE6537A1-D6FC-4f65-9D91-7224C49458BB}">
                <c15:layout/>
              </c:ext>
            </c:extLst>
          </c:dLbls>
          <c:cat>
            <c:strRef>
              <c:f>Joueur!$A$3:$A$20</c:f>
              <c:strCache>
                <c:ptCount val="18"/>
                <c:pt idx="0">
                  <c:v>Gueules Noires</c:v>
                </c:pt>
                <c:pt idx="1">
                  <c:v>Splendor</c:v>
                </c:pt>
                <c:pt idx="2">
                  <c:v>Abyss</c:v>
                </c:pt>
                <c:pt idx="3">
                  <c:v>Seigneur des Anneaux</c:v>
                </c:pt>
                <c:pt idx="4">
                  <c:v>Agricola</c:v>
                </c:pt>
                <c:pt idx="5">
                  <c:v>Dungeon Petz</c:v>
                </c:pt>
                <c:pt idx="6">
                  <c:v>Terres d'Arle</c:v>
                </c:pt>
                <c:pt idx="7">
                  <c:v>Egizia</c:v>
                </c:pt>
                <c:pt idx="8">
                  <c:v>Les Piliers de la Terre</c:v>
                </c:pt>
                <c:pt idx="9">
                  <c:v>Sherlock Holmes</c:v>
                </c:pt>
                <c:pt idx="10">
                  <c:v>Civilizations</c:v>
                </c:pt>
                <c:pt idx="11">
                  <c:v>Horreur à Arkham</c:v>
                </c:pt>
                <c:pt idx="12">
                  <c:v>Les Princes de Catane</c:v>
                </c:pt>
                <c:pt idx="13">
                  <c:v>Andor</c:v>
                </c:pt>
                <c:pt idx="14">
                  <c:v>Tournay</c:v>
                </c:pt>
                <c:pt idx="15">
                  <c:v>Viceroy</c:v>
                </c:pt>
                <c:pt idx="16">
                  <c:v>Dominant Species</c:v>
                </c:pt>
                <c:pt idx="17">
                  <c:v>Autres</c:v>
                </c:pt>
              </c:strCache>
            </c:strRef>
          </c:cat>
          <c:val>
            <c:numRef>
              <c:f>Joueur!$B$3:$B$20</c:f>
              <c:numCache>
                <c:formatCode>General</c:formatCode>
                <c:ptCount val="18"/>
                <c:pt idx="0">
                  <c:v>0</c:v>
                </c:pt>
                <c:pt idx="1">
                  <c:v>1</c:v>
                </c:pt>
                <c:pt idx="2">
                  <c:v>3</c:v>
                </c:pt>
                <c:pt idx="3">
                  <c:v>0</c:v>
                </c:pt>
                <c:pt idx="4">
                  <c:v>1</c:v>
                </c:pt>
                <c:pt idx="5">
                  <c:v>0</c:v>
                </c:pt>
                <c:pt idx="6">
                  <c:v>1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1</c:v>
                </c:pt>
                <c:pt idx="16">
                  <c:v>0</c:v>
                </c:pt>
                <c:pt idx="17">
                  <c:v>4</c:v>
                </c:pt>
              </c:numCache>
            </c:numRef>
          </c:val>
        </c:ser>
      </c:pie3DChart>
      <c:spPr>
        <a:noFill/>
        <a:ln>
          <a:noFill/>
        </a:ln>
        <a:effectLst/>
      </c:spPr>
    </c:plotArea>
    <c:legend>
      <c:legendPos val="b"/>
      <c:layout>
        <c:manualLayout>
          <c:xMode val="edge"/>
          <c:yMode val="edge"/>
          <c:x val="5.0760879065386073E-2"/>
          <c:y val="0.54869823090295533"/>
          <c:w val="0.88847798202677652"/>
          <c:h val="0.43398575178102738"/>
        </c:manualLayout>
      </c:layout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1" i="0" u="none" strike="noStrike" kern="1200" baseline="0">
              <a:solidFill>
                <a:sysClr val="windowText" lastClr="000000"/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zero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000000000000044" l="0.7000000000000004" r="0.7000000000000004" t="0.75000000000000044" header="0.30000000000000021" footer="0.30000000000000021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fr-BE"/>
  <c:chart>
    <c:title>
      <c:tx>
        <c:strRef>
          <c:f>Joueur!$AA$1</c:f>
          <c:strCache>
            <c:ptCount val="1"/>
            <c:pt idx="0">
              <c:v>Répartition des jeux pratiqués par Eri</c:v>
            </c:pt>
          </c:strCache>
        </c:strRef>
      </c:tx>
      <c:layout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ysClr val="windowText" lastClr="000000"/>
              </a:solidFill>
              <a:latin typeface="+mj-lt"/>
              <a:ea typeface="+mn-ea"/>
              <a:cs typeface="+mn-cs"/>
            </a:defRPr>
          </a:pPr>
          <a:endParaRPr lang="fr-FR"/>
        </a:p>
      </c:txPr>
    </c:title>
    <c:view3D>
      <c:rotX val="30"/>
      <c:depthPercent val="100"/>
      <c:perspective val="30"/>
    </c:view3D>
    <c:floor>
      <c:spPr>
        <a:noFill/>
        <a:ln>
          <a:noFill/>
        </a:ln>
        <a:effectLst/>
        <a:sp3d/>
      </c:spPr>
    </c:floor>
    <c:sideWall>
      <c:spPr>
        <a:noFill/>
        <a:ln>
          <a:noFill/>
        </a:ln>
        <a:effectLst/>
        <a:sp3d/>
      </c:spPr>
    </c:sideWall>
    <c:backWall>
      <c:spPr>
        <a:noFill/>
        <a:ln>
          <a:noFill/>
        </a:ln>
        <a:effectLst/>
        <a:sp3d/>
      </c:spPr>
    </c:backWall>
    <c:plotArea>
      <c:layout>
        <c:manualLayout>
          <c:layoutTarget val="inner"/>
          <c:xMode val="edge"/>
          <c:yMode val="edge"/>
          <c:x val="2.7777777777777821E-2"/>
          <c:y val="0.17515827912815238"/>
          <c:w val="0.97222222222222221"/>
          <c:h val="0.34120209973753285"/>
        </c:manualLayout>
      </c:layout>
      <c:pie3DChart>
        <c:varyColors val="1"/>
        <c:ser>
          <c:idx val="0"/>
          <c:order val="0"/>
          <c:tx>
            <c:strRef>
              <c:f>Joueur!$E$2</c:f>
              <c:strCache>
                <c:ptCount val="1"/>
                <c:pt idx="0">
                  <c:v>Durée</c:v>
                </c:pt>
              </c:strCache>
            </c:strRef>
          </c:tx>
          <c:dPt>
            <c:idx val="0"/>
            <c:spPr>
              <a:solidFill>
                <a:schemeClr val="tx1"/>
              </a:solidFill>
              <a:ln w="25400">
                <a:solidFill>
                  <a:schemeClr val="tx1"/>
                </a:solidFill>
              </a:ln>
              <a:effectLst/>
              <a:sp3d contourW="25400">
                <a:contourClr>
                  <a:schemeClr val="tx1"/>
                </a:contourClr>
              </a:sp3d>
            </c:spPr>
          </c:dPt>
          <c:dPt>
            <c:idx val="1"/>
            <c:spPr>
              <a:solidFill>
                <a:srgbClr val="FFFF00"/>
              </a:solidFill>
              <a:ln w="25400">
                <a:solidFill>
                  <a:srgbClr val="FFFF00"/>
                </a:solidFill>
              </a:ln>
              <a:effectLst/>
              <a:sp3d contourW="25400">
                <a:contourClr>
                  <a:srgbClr val="FFFF00"/>
                </a:contourClr>
              </a:sp3d>
            </c:spPr>
          </c:dPt>
          <c:dPt>
            <c:idx val="2"/>
            <c:spPr>
              <a:solidFill>
                <a:srgbClr val="00B0F0"/>
              </a:solidFill>
              <a:ln w="25400">
                <a:solidFill>
                  <a:srgbClr val="00B0F0"/>
                </a:solidFill>
              </a:ln>
              <a:effectLst/>
              <a:sp3d contourW="25400">
                <a:contourClr>
                  <a:srgbClr val="00B0F0"/>
                </a:contourClr>
              </a:sp3d>
            </c:spPr>
          </c:dPt>
          <c:dPt>
            <c:idx val="3"/>
            <c:spPr>
              <a:solidFill>
                <a:srgbClr val="00B050"/>
              </a:solidFill>
              <a:ln w="25400">
                <a:solidFill>
                  <a:srgbClr val="00B050"/>
                </a:solidFill>
              </a:ln>
              <a:effectLst/>
              <a:sp3d contourW="25400">
                <a:contourClr>
                  <a:srgbClr val="00B050"/>
                </a:contourClr>
              </a:sp3d>
            </c:spPr>
          </c:dPt>
          <c:dPt>
            <c:idx val="4"/>
            <c:spPr>
              <a:solidFill>
                <a:srgbClr val="996633"/>
              </a:solidFill>
              <a:ln w="25400">
                <a:solidFill>
                  <a:srgbClr val="996633"/>
                </a:solidFill>
              </a:ln>
              <a:effectLst/>
              <a:sp3d contourW="25400">
                <a:contourClr>
                  <a:srgbClr val="996633"/>
                </a:contourClr>
              </a:sp3d>
            </c:spPr>
          </c:dPt>
          <c:dPt>
            <c:idx val="5"/>
            <c:spPr>
              <a:solidFill>
                <a:schemeClr val="accent4">
                  <a:lumMod val="40000"/>
                  <a:lumOff val="60000"/>
                </a:schemeClr>
              </a:solidFill>
              <a:ln w="25400">
                <a:solidFill>
                  <a:schemeClr val="accent4">
                    <a:lumMod val="40000"/>
                    <a:lumOff val="60000"/>
                  </a:schemeClr>
                </a:solidFill>
              </a:ln>
              <a:effectLst/>
              <a:sp3d contourW="25400">
                <a:contourClr>
                  <a:schemeClr val="accent4">
                    <a:lumMod val="40000"/>
                    <a:lumOff val="60000"/>
                  </a:schemeClr>
                </a:contourClr>
              </a:sp3d>
            </c:spPr>
          </c:dPt>
          <c:dPt>
            <c:idx val="6"/>
            <c:spPr>
              <a:solidFill>
                <a:srgbClr val="663300"/>
              </a:solidFill>
              <a:ln w="25400">
                <a:solidFill>
                  <a:srgbClr val="663300"/>
                </a:solidFill>
              </a:ln>
              <a:effectLst/>
              <a:sp3d contourW="25400">
                <a:contourClr>
                  <a:srgbClr val="663300"/>
                </a:contourClr>
              </a:sp3d>
            </c:spPr>
          </c:dPt>
          <c:dPt>
            <c:idx val="7"/>
            <c:spPr>
              <a:solidFill>
                <a:srgbClr val="FFC000"/>
              </a:solidFill>
              <a:ln w="25400">
                <a:solidFill>
                  <a:srgbClr val="FFC000"/>
                </a:solidFill>
              </a:ln>
              <a:effectLst/>
              <a:sp3d contourW="25400">
                <a:contourClr>
                  <a:srgbClr val="FFC000"/>
                </a:contourClr>
              </a:sp3d>
            </c:spPr>
          </c:dPt>
          <c:dPt>
            <c:idx val="8"/>
            <c:spPr>
              <a:solidFill>
                <a:schemeClr val="bg1">
                  <a:lumMod val="65000"/>
                </a:schemeClr>
              </a:solidFill>
              <a:ln w="25400">
                <a:solidFill>
                  <a:schemeClr val="bg1">
                    <a:lumMod val="65000"/>
                  </a:schemeClr>
                </a:solidFill>
              </a:ln>
              <a:effectLst/>
              <a:sp3d contourW="25400">
                <a:contourClr>
                  <a:schemeClr val="bg1">
                    <a:lumMod val="65000"/>
                  </a:schemeClr>
                </a:contourClr>
              </a:sp3d>
            </c:spPr>
          </c:dPt>
          <c:dPt>
            <c:idx val="9"/>
            <c:spPr>
              <a:solidFill>
                <a:schemeClr val="bg1"/>
              </a:solidFill>
              <a:ln w="25400">
                <a:solidFill>
                  <a:schemeClr val="bg1"/>
                </a:solidFill>
              </a:ln>
              <a:effectLst/>
              <a:sp3d contourW="25400">
                <a:contourClr>
                  <a:schemeClr val="bg1"/>
                </a:contourClr>
              </a:sp3d>
            </c:spPr>
          </c:dPt>
          <c:dPt>
            <c:idx val="10"/>
            <c:spPr>
              <a:solidFill>
                <a:schemeClr val="accent6">
                  <a:lumMod val="75000"/>
                </a:schemeClr>
              </a:solidFill>
              <a:ln w="25400">
                <a:solidFill>
                  <a:schemeClr val="accent6">
                    <a:lumMod val="75000"/>
                  </a:schemeClr>
                </a:solidFill>
              </a:ln>
              <a:effectLst/>
              <a:sp3d contourW="25400">
                <a:contourClr>
                  <a:schemeClr val="accent6">
                    <a:lumMod val="75000"/>
                  </a:schemeClr>
                </a:contourClr>
              </a:sp3d>
            </c:spPr>
          </c:dPt>
          <c:dPt>
            <c:idx val="11"/>
            <c:spPr>
              <a:solidFill>
                <a:schemeClr val="accent3"/>
              </a:solidFill>
              <a:ln w="25400">
                <a:solidFill>
                  <a:schemeClr val="accent3"/>
                </a:solidFill>
              </a:ln>
              <a:effectLst/>
              <a:sp3d contourW="25400">
                <a:contourClr>
                  <a:schemeClr val="accent3"/>
                </a:contourClr>
              </a:sp3d>
            </c:spPr>
          </c:dPt>
          <c:dPt>
            <c:idx val="12"/>
            <c:spPr>
              <a:solidFill>
                <a:schemeClr val="accent2">
                  <a:lumMod val="40000"/>
                  <a:lumOff val="60000"/>
                </a:schemeClr>
              </a:solidFill>
              <a:ln w="25400">
                <a:solidFill>
                  <a:schemeClr val="accent2">
                    <a:lumMod val="40000"/>
                    <a:lumOff val="60000"/>
                  </a:schemeClr>
                </a:solidFill>
              </a:ln>
              <a:effectLst/>
              <a:sp3d contourW="25400">
                <a:contourClr>
                  <a:schemeClr val="accent2">
                    <a:lumMod val="40000"/>
                    <a:lumOff val="60000"/>
                  </a:schemeClr>
                </a:contourClr>
              </a:sp3d>
            </c:spPr>
          </c:dPt>
          <c:dPt>
            <c:idx val="13"/>
            <c:spPr>
              <a:solidFill>
                <a:srgbClr val="7030A0"/>
              </a:solidFill>
              <a:ln w="25400">
                <a:solidFill>
                  <a:srgbClr val="7030A0"/>
                </a:solidFill>
              </a:ln>
              <a:effectLst/>
              <a:sp3d contourW="25400">
                <a:contourClr>
                  <a:srgbClr val="7030A0"/>
                </a:contourClr>
              </a:sp3d>
            </c:spPr>
          </c:dPt>
          <c:dPt>
            <c:idx val="14"/>
            <c:spPr>
              <a:solidFill>
                <a:srgbClr val="00FF00"/>
              </a:solidFill>
              <a:ln w="25400">
                <a:solidFill>
                  <a:srgbClr val="00FF00"/>
                </a:solidFill>
              </a:ln>
              <a:effectLst/>
              <a:sp3d contourW="25400">
                <a:contourClr>
                  <a:srgbClr val="00FF00"/>
                </a:contourClr>
              </a:sp3d>
            </c:spPr>
          </c:dPt>
          <c:dPt>
            <c:idx val="15"/>
            <c:spPr>
              <a:solidFill>
                <a:srgbClr val="FF0000"/>
              </a:solidFill>
              <a:ln w="25400">
                <a:solidFill>
                  <a:srgbClr val="FF0000"/>
                </a:solidFill>
              </a:ln>
              <a:effectLst/>
              <a:sp3d contourW="25400">
                <a:contourClr>
                  <a:srgbClr val="FF0000"/>
                </a:contourClr>
              </a:sp3d>
            </c:spPr>
          </c:dPt>
          <c:dPt>
            <c:idx val="16"/>
            <c:spPr>
              <a:solidFill>
                <a:srgbClr val="C00000"/>
              </a:solidFill>
              <a:ln w="25400">
                <a:solidFill>
                  <a:srgbClr val="C00000"/>
                </a:solidFill>
              </a:ln>
              <a:effectLst/>
              <a:sp3d contourW="25400">
                <a:contourClr>
                  <a:srgbClr val="C00000"/>
                </a:contourClr>
              </a:sp3d>
            </c:spPr>
          </c:dPt>
          <c:dPt>
            <c:idx val="17"/>
            <c:spPr>
              <a:solidFill>
                <a:schemeClr val="accent1">
                  <a:lumMod val="60000"/>
                  <a:lumOff val="40000"/>
                </a:schemeClr>
              </a:solidFill>
              <a:ln w="25400">
                <a:solidFill>
                  <a:schemeClr val="accent1">
                    <a:lumMod val="60000"/>
                    <a:lumOff val="40000"/>
                  </a:schemeClr>
                </a:solidFill>
              </a:ln>
              <a:effectLst/>
              <a:sp3d contourW="25400">
                <a:contourClr>
                  <a:schemeClr val="accent1">
                    <a:lumMod val="60000"/>
                    <a:lumOff val="40000"/>
                  </a:schemeClr>
                </a:contourClr>
              </a:sp3d>
            </c:spPr>
          </c:dPt>
          <c:dLbls>
            <c:spPr>
              <a:solidFill>
                <a:sysClr val="window" lastClr="FFFFFF"/>
              </a:solidFill>
              <a:ln>
                <a:solidFill>
                  <a:sysClr val="windowText" lastClr="000000">
                    <a:lumMod val="25000"/>
                    <a:lumOff val="75000"/>
                  </a:sysClr>
                </a:solidFill>
              </a:ln>
              <a:effectLst/>
            </c:spPr>
            <c:txPr>
              <a:bodyPr rot="0" spcFirstLastPara="1" vertOverflow="clip" horzOverflow="clip" vert="horz" wrap="square" lIns="38100" tIns="19050" rIns="38100" bIns="19050" anchor="ctr" anchorCtr="1">
                <a:spAutoFit/>
              </a:bodyPr>
              <a:lstStyle/>
              <a:p>
                <a:pPr>
                  <a:defRPr sz="900" b="1" i="0" u="none" strike="noStrike" kern="1200" baseline="0">
                    <a:solidFill>
                      <a:sysClr val="windowText" lastClr="000000"/>
                    </a:solidFill>
                    <a:latin typeface="+mj-lt"/>
                    <a:ea typeface="+mn-ea"/>
                    <a:cs typeface="+mn-cs"/>
                  </a:defRPr>
                </a:pPr>
                <a:endParaRPr lang="fr-FR"/>
              </a:p>
            </c:txPr>
            <c:dLblPos val="outEnd"/>
            <c:showPercent val="1"/>
            <c:extLst>
              <c:ext xmlns:c15="http://schemas.microsoft.com/office/drawing/2012/chart" uri="{CE6537A1-D6FC-4f65-9D91-7224C49458BB}">
                <c15:spPr xmlns:c15="http://schemas.microsoft.com/office/drawing/2012/chart">
                  <a:prstGeom prst="wedgeRectCallout">
                    <a:avLst/>
                  </a:prstGeom>
                  <a:noFill/>
                  <a:ln>
                    <a:noFill/>
                  </a:ln>
                </c15:spPr>
                <c15:layout/>
              </c:ext>
            </c:extLst>
          </c:dLbls>
          <c:cat>
            <c:strRef>
              <c:f>Joueur!$A$3:$A$20</c:f>
              <c:strCache>
                <c:ptCount val="18"/>
                <c:pt idx="0">
                  <c:v>Gueules Noires</c:v>
                </c:pt>
                <c:pt idx="1">
                  <c:v>Splendor</c:v>
                </c:pt>
                <c:pt idx="2">
                  <c:v>Abyss</c:v>
                </c:pt>
                <c:pt idx="3">
                  <c:v>Seigneur des Anneaux</c:v>
                </c:pt>
                <c:pt idx="4">
                  <c:v>Agricola</c:v>
                </c:pt>
                <c:pt idx="5">
                  <c:v>Dungeon Petz</c:v>
                </c:pt>
                <c:pt idx="6">
                  <c:v>Terres d'Arle</c:v>
                </c:pt>
                <c:pt idx="7">
                  <c:v>Egizia</c:v>
                </c:pt>
                <c:pt idx="8">
                  <c:v>Les Piliers de la Terre</c:v>
                </c:pt>
                <c:pt idx="9">
                  <c:v>Sherlock Holmes</c:v>
                </c:pt>
                <c:pt idx="10">
                  <c:v>Civilizations</c:v>
                </c:pt>
                <c:pt idx="11">
                  <c:v>Horreur à Arkham</c:v>
                </c:pt>
                <c:pt idx="12">
                  <c:v>Les Princes de Catane</c:v>
                </c:pt>
                <c:pt idx="13">
                  <c:v>Andor</c:v>
                </c:pt>
                <c:pt idx="14">
                  <c:v>Tournay</c:v>
                </c:pt>
                <c:pt idx="15">
                  <c:v>Viceroy</c:v>
                </c:pt>
                <c:pt idx="16">
                  <c:v>Dominant Species</c:v>
                </c:pt>
                <c:pt idx="17">
                  <c:v>Autres</c:v>
                </c:pt>
              </c:strCache>
            </c:strRef>
          </c:cat>
          <c:val>
            <c:numRef>
              <c:f>Joueur!$E$3:$E$20</c:f>
              <c:numCache>
                <c:formatCode>[h]:mm:ss;@</c:formatCode>
                <c:ptCount val="18"/>
                <c:pt idx="0">
                  <c:v>0</c:v>
                </c:pt>
                <c:pt idx="1">
                  <c:v>3.4722222222222224E-2</c:v>
                </c:pt>
                <c:pt idx="2">
                  <c:v>0.15625</c:v>
                </c:pt>
                <c:pt idx="3">
                  <c:v>0</c:v>
                </c:pt>
                <c:pt idx="4">
                  <c:v>7.2916666666666671E-2</c:v>
                </c:pt>
                <c:pt idx="5">
                  <c:v>0</c:v>
                </c:pt>
                <c:pt idx="6">
                  <c:v>9.375E-2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2.7777777777777776E-2</c:v>
                </c:pt>
                <c:pt idx="16">
                  <c:v>0</c:v>
                </c:pt>
                <c:pt idx="17">
                  <c:v>0.20833333333333331</c:v>
                </c:pt>
              </c:numCache>
            </c:numRef>
          </c:val>
        </c:ser>
      </c:pie3DChart>
      <c:spPr>
        <a:noFill/>
        <a:ln>
          <a:noFill/>
        </a:ln>
        <a:effectLst/>
      </c:spPr>
    </c:plotArea>
    <c:legend>
      <c:legendPos val="b"/>
      <c:layout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 rtl="0">
            <a:defRPr sz="900" b="1" i="0" u="none" strike="noStrike" kern="1200" baseline="0">
              <a:solidFill>
                <a:sysClr val="windowText" lastClr="000000"/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zero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000000000000044" l="0.7000000000000004" r="0.7000000000000004" t="0.75000000000000044" header="0.30000000000000021" footer="0.30000000000000021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fr-BE"/>
  <c:chart>
    <c:title>
      <c:tx>
        <c:strRef>
          <c:f>Joueur!$AA$2</c:f>
          <c:strCache>
            <c:ptCount val="1"/>
            <c:pt idx="0">
              <c:v>Fréquence des parties de : Eri</c:v>
            </c:pt>
          </c:strCache>
        </c:strRef>
      </c:tx>
      <c:layout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1" i="0" u="none" strike="noStrike" kern="1200" spc="0" baseline="0">
              <a:solidFill>
                <a:sysClr val="windowText" lastClr="000000"/>
              </a:solidFill>
              <a:latin typeface="+mj-lt"/>
              <a:ea typeface="+mn-ea"/>
              <a:cs typeface="+mn-cs"/>
            </a:defRPr>
          </a:pPr>
          <a:endParaRPr lang="fr-FR"/>
        </a:p>
      </c:txPr>
    </c:title>
    <c:view3D>
      <c:depthPercent val="100"/>
      <c:rAngAx val="1"/>
    </c:view3D>
    <c:floor>
      <c:spPr>
        <a:noFill/>
        <a:ln>
          <a:noFill/>
        </a:ln>
        <a:effectLst/>
        <a:sp3d/>
      </c:spPr>
    </c:floor>
    <c:sideWall>
      <c:spPr>
        <a:noFill/>
        <a:ln>
          <a:noFill/>
        </a:ln>
        <a:effectLst/>
        <a:sp3d/>
      </c:spPr>
    </c:sideWall>
    <c:backWall>
      <c:spPr>
        <a:noFill/>
        <a:ln>
          <a:noFill/>
        </a:ln>
        <a:effectLst/>
        <a:sp3d/>
      </c:spPr>
    </c:backWall>
    <c:plotArea>
      <c:layout/>
      <c:bar3DChart>
        <c:barDir val="col"/>
        <c:grouping val="clustered"/>
        <c:ser>
          <c:idx val="0"/>
          <c:order val="0"/>
          <c:spPr>
            <a:solidFill>
              <a:schemeClr val="tx2"/>
            </a:solidFill>
            <a:ln>
              <a:solidFill>
                <a:schemeClr val="accent1">
                  <a:lumMod val="40000"/>
                  <a:lumOff val="60000"/>
                </a:schemeClr>
              </a:solidFill>
            </a:ln>
            <a:effectLst/>
            <a:sp3d>
              <a:contourClr>
                <a:schemeClr val="accent1">
                  <a:lumMod val="40000"/>
                  <a:lumOff val="60000"/>
                </a:schemeClr>
              </a:contourClr>
            </a:sp3d>
          </c:spPr>
          <c:dPt>
            <c:idx val="1"/>
            <c:spPr>
              <a:solidFill>
                <a:schemeClr val="tx2"/>
              </a:solidFill>
              <a:ln>
                <a:solidFill>
                  <a:schemeClr val="accent1">
                    <a:lumMod val="60000"/>
                    <a:lumOff val="40000"/>
                  </a:schemeClr>
                </a:solidFill>
              </a:ln>
              <a:effectLst/>
              <a:sp3d>
                <a:contourClr>
                  <a:schemeClr val="accent1">
                    <a:lumMod val="60000"/>
                    <a:lumOff val="40000"/>
                  </a:schemeClr>
                </a:contourClr>
              </a:sp3d>
            </c:spPr>
          </c:dPt>
          <c:cat>
            <c:numRef>
              <c:f>Joueur!$A$25:$A$34</c:f>
              <c:numCache>
                <c:formatCode>mmm\-yy</c:formatCode>
                <c:ptCount val="10"/>
                <c:pt idx="0">
                  <c:v>42248</c:v>
                </c:pt>
                <c:pt idx="1">
                  <c:v>42278</c:v>
                </c:pt>
                <c:pt idx="2">
                  <c:v>42309</c:v>
                </c:pt>
                <c:pt idx="3">
                  <c:v>42339</c:v>
                </c:pt>
                <c:pt idx="4">
                  <c:v>42370</c:v>
                </c:pt>
                <c:pt idx="5">
                  <c:v>42401</c:v>
                </c:pt>
                <c:pt idx="6">
                  <c:v>42430</c:v>
                </c:pt>
                <c:pt idx="7">
                  <c:v>42461</c:v>
                </c:pt>
                <c:pt idx="8">
                  <c:v>42491</c:v>
                </c:pt>
                <c:pt idx="9">
                  <c:v>42522</c:v>
                </c:pt>
              </c:numCache>
            </c:numRef>
          </c:cat>
          <c:val>
            <c:numRef>
              <c:f>Joueur!$B$25:$B$34</c:f>
              <c:numCache>
                <c:formatCode>General</c:formatCode>
                <c:ptCount val="10"/>
                <c:pt idx="0">
                  <c:v>0</c:v>
                </c:pt>
                <c:pt idx="1">
                  <c:v>9</c:v>
                </c:pt>
                <c:pt idx="2">
                  <c:v>2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</c:numCache>
            </c:numRef>
          </c:val>
        </c:ser>
        <c:shape val="box"/>
        <c:axId val="75467392"/>
        <c:axId val="75489664"/>
        <c:axId val="0"/>
      </c:bar3DChart>
      <c:dateAx>
        <c:axId val="75467392"/>
        <c:scaling>
          <c:orientation val="minMax"/>
        </c:scaling>
        <c:axPos val="b"/>
        <c:numFmt formatCode="mmm\-yy" sourceLinked="1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75489664"/>
        <c:crosses val="autoZero"/>
        <c:auto val="1"/>
        <c:lblOffset val="100"/>
        <c:baseTimeUnit val="months"/>
      </c:dateAx>
      <c:valAx>
        <c:axId val="75489664"/>
        <c:scaling>
          <c:orientation val="minMax"/>
          <c:max val="10"/>
        </c:scaling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75467392"/>
        <c:crosses val="autoZero"/>
        <c:crossBetween val="between"/>
        <c:majorUnit val="1"/>
      </c:valAx>
      <c:spPr>
        <a:noFill/>
        <a:ln>
          <a:noFill/>
        </a:ln>
        <a:effectLst/>
      </c:spPr>
    </c:plotArea>
    <c:plotVisOnly val="1"/>
    <c:dispBlanksAs val="gap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000000000000044" l="0.7000000000000004" r="0.7000000000000004" t="0.75000000000000044" header="0.30000000000000021" footer="0.30000000000000021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fr-BE"/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r>
              <a:rPr lang="fr-FR" b="1">
                <a:solidFill>
                  <a:sysClr val="windowText" lastClr="000000"/>
                </a:solidFill>
                <a:latin typeface="+mj-lt"/>
              </a:rPr>
              <a:t>Répartition des</a:t>
            </a:r>
            <a:r>
              <a:rPr lang="fr-FR" b="1" baseline="0">
                <a:solidFill>
                  <a:sysClr val="windowText" lastClr="000000"/>
                </a:solidFill>
                <a:latin typeface="+mj-lt"/>
              </a:rPr>
              <a:t> jeux pratiqués par Eri</a:t>
            </a:r>
          </a:p>
        </c:rich>
      </c:tx>
      <c:layout/>
      <c:spPr>
        <a:noFill/>
        <a:ln>
          <a:noFill/>
        </a:ln>
        <a:effectLst/>
      </c:spPr>
    </c:title>
    <c:view3D>
      <c:rotX val="30"/>
      <c:depthPercent val="100"/>
      <c:perspective val="30"/>
    </c:view3D>
    <c:floor>
      <c:spPr>
        <a:noFill/>
        <a:ln>
          <a:noFill/>
        </a:ln>
        <a:effectLst/>
        <a:sp3d/>
      </c:spPr>
    </c:floor>
    <c:sideWall>
      <c:spPr>
        <a:noFill/>
        <a:ln>
          <a:noFill/>
        </a:ln>
        <a:effectLst/>
        <a:sp3d/>
      </c:spPr>
    </c:sideWall>
    <c:backWall>
      <c:spPr>
        <a:noFill/>
        <a:ln>
          <a:noFill/>
        </a:ln>
        <a:effectLst/>
        <a:sp3d/>
      </c:spPr>
    </c:backWall>
    <c:plotArea>
      <c:layout>
        <c:manualLayout>
          <c:layoutTarget val="inner"/>
          <c:xMode val="edge"/>
          <c:yMode val="edge"/>
          <c:x val="9.1666642607180493E-3"/>
          <c:y val="0.14458397245798824"/>
          <c:w val="0.95833334426946359"/>
          <c:h val="0.37159377805047106"/>
        </c:manualLayout>
      </c:layout>
      <c:pie3DChart>
        <c:varyColors val="1"/>
        <c:ser>
          <c:idx val="0"/>
          <c:order val="0"/>
          <c:spPr>
            <a:ln>
              <a:solidFill>
                <a:sysClr val="windowText" lastClr="000000"/>
              </a:solidFill>
            </a:ln>
          </c:spPr>
          <c:dPt>
            <c:idx val="0"/>
            <c:spPr>
              <a:solidFill>
                <a:schemeClr val="tx1"/>
              </a:solidFill>
              <a:ln w="25400">
                <a:solidFill>
                  <a:sysClr val="windowText" lastClr="000000"/>
                </a:solidFill>
              </a:ln>
              <a:effectLst/>
              <a:sp3d contourW="25400">
                <a:contourClr>
                  <a:sysClr val="windowText" lastClr="000000"/>
                </a:contourClr>
              </a:sp3d>
            </c:spPr>
          </c:dPt>
          <c:dPt>
            <c:idx val="1"/>
            <c:spPr>
              <a:solidFill>
                <a:srgbClr val="FFFF00"/>
              </a:solidFill>
              <a:ln w="25400">
                <a:solidFill>
                  <a:srgbClr val="FFFF00"/>
                </a:solidFill>
              </a:ln>
              <a:effectLst/>
              <a:sp3d contourW="25400">
                <a:contourClr>
                  <a:srgbClr val="FFFF00"/>
                </a:contourClr>
              </a:sp3d>
            </c:spPr>
          </c:dPt>
          <c:dPt>
            <c:idx val="2"/>
            <c:spPr>
              <a:solidFill>
                <a:srgbClr val="00B0F0"/>
              </a:solidFill>
              <a:ln w="25400">
                <a:solidFill>
                  <a:srgbClr val="00B0F0"/>
                </a:solidFill>
              </a:ln>
              <a:effectLst/>
              <a:sp3d contourW="25400">
                <a:contourClr>
                  <a:srgbClr val="00B0F0"/>
                </a:contourClr>
              </a:sp3d>
            </c:spPr>
          </c:dPt>
          <c:dPt>
            <c:idx val="3"/>
            <c:spPr>
              <a:solidFill>
                <a:srgbClr val="00B050"/>
              </a:solidFill>
              <a:ln w="25400">
                <a:solidFill>
                  <a:srgbClr val="00B050"/>
                </a:solidFill>
              </a:ln>
              <a:effectLst/>
              <a:sp3d contourW="25400">
                <a:contourClr>
                  <a:srgbClr val="00B050"/>
                </a:contourClr>
              </a:sp3d>
            </c:spPr>
          </c:dPt>
          <c:dPt>
            <c:idx val="4"/>
            <c:spPr>
              <a:solidFill>
                <a:srgbClr val="996633"/>
              </a:solidFill>
              <a:ln w="25400">
                <a:solidFill>
                  <a:srgbClr val="996633"/>
                </a:solidFill>
              </a:ln>
              <a:effectLst/>
              <a:sp3d contourW="25400">
                <a:contourClr>
                  <a:srgbClr val="996633"/>
                </a:contourClr>
              </a:sp3d>
            </c:spPr>
          </c:dPt>
          <c:dPt>
            <c:idx val="5"/>
            <c:spPr>
              <a:solidFill>
                <a:schemeClr val="accent4">
                  <a:lumMod val="40000"/>
                  <a:lumOff val="60000"/>
                </a:schemeClr>
              </a:solidFill>
              <a:ln w="25400">
                <a:solidFill>
                  <a:schemeClr val="accent4">
                    <a:lumMod val="40000"/>
                    <a:lumOff val="60000"/>
                  </a:schemeClr>
                </a:solidFill>
              </a:ln>
              <a:effectLst/>
              <a:sp3d contourW="25400">
                <a:contourClr>
                  <a:schemeClr val="accent4">
                    <a:lumMod val="40000"/>
                    <a:lumOff val="60000"/>
                  </a:schemeClr>
                </a:contourClr>
              </a:sp3d>
            </c:spPr>
          </c:dPt>
          <c:dPt>
            <c:idx val="6"/>
            <c:spPr>
              <a:solidFill>
                <a:srgbClr val="663300"/>
              </a:solidFill>
              <a:ln w="25400">
                <a:solidFill>
                  <a:srgbClr val="663300"/>
                </a:solidFill>
              </a:ln>
              <a:effectLst/>
              <a:sp3d contourW="25400">
                <a:contourClr>
                  <a:srgbClr val="663300"/>
                </a:contourClr>
              </a:sp3d>
            </c:spPr>
          </c:dPt>
          <c:dPt>
            <c:idx val="7"/>
            <c:spPr>
              <a:solidFill>
                <a:srgbClr val="FFC000"/>
              </a:solidFill>
              <a:ln w="25400">
                <a:solidFill>
                  <a:srgbClr val="FFC000"/>
                </a:solidFill>
              </a:ln>
              <a:effectLst/>
              <a:sp3d contourW="25400">
                <a:contourClr>
                  <a:srgbClr val="FFC000"/>
                </a:contourClr>
              </a:sp3d>
            </c:spPr>
          </c:dPt>
          <c:dPt>
            <c:idx val="8"/>
            <c:spPr>
              <a:solidFill>
                <a:schemeClr val="bg1">
                  <a:lumMod val="65000"/>
                </a:schemeClr>
              </a:solidFill>
              <a:ln w="25400">
                <a:solidFill>
                  <a:schemeClr val="bg1">
                    <a:lumMod val="65000"/>
                  </a:schemeClr>
                </a:solidFill>
              </a:ln>
              <a:effectLst/>
              <a:sp3d contourW="25400">
                <a:contourClr>
                  <a:schemeClr val="bg1">
                    <a:lumMod val="65000"/>
                  </a:schemeClr>
                </a:contourClr>
              </a:sp3d>
            </c:spPr>
          </c:dPt>
          <c:dPt>
            <c:idx val="9"/>
            <c:spPr>
              <a:solidFill>
                <a:schemeClr val="bg1"/>
              </a:solidFill>
              <a:ln w="25400">
                <a:solidFill>
                  <a:schemeClr val="bg1"/>
                </a:solidFill>
              </a:ln>
              <a:effectLst/>
              <a:sp3d contourW="25400">
                <a:contourClr>
                  <a:schemeClr val="bg1"/>
                </a:contourClr>
              </a:sp3d>
            </c:spPr>
          </c:dPt>
          <c:dPt>
            <c:idx val="10"/>
            <c:spPr>
              <a:solidFill>
                <a:schemeClr val="accent6">
                  <a:lumMod val="75000"/>
                </a:schemeClr>
              </a:solidFill>
              <a:ln w="25400">
                <a:solidFill>
                  <a:schemeClr val="accent6">
                    <a:lumMod val="75000"/>
                  </a:schemeClr>
                </a:solidFill>
              </a:ln>
              <a:effectLst/>
              <a:sp3d contourW="25400">
                <a:contourClr>
                  <a:schemeClr val="accent6">
                    <a:lumMod val="75000"/>
                  </a:schemeClr>
                </a:contourClr>
              </a:sp3d>
            </c:spPr>
          </c:dPt>
          <c:dPt>
            <c:idx val="11"/>
            <c:spPr>
              <a:solidFill>
                <a:schemeClr val="accent3"/>
              </a:solidFill>
              <a:ln w="25400">
                <a:solidFill>
                  <a:schemeClr val="accent3"/>
                </a:solidFill>
              </a:ln>
              <a:effectLst/>
              <a:sp3d contourW="25400">
                <a:contourClr>
                  <a:schemeClr val="accent3"/>
                </a:contourClr>
              </a:sp3d>
            </c:spPr>
          </c:dPt>
          <c:dPt>
            <c:idx val="12"/>
            <c:spPr>
              <a:solidFill>
                <a:schemeClr val="accent2">
                  <a:lumMod val="40000"/>
                  <a:lumOff val="60000"/>
                </a:schemeClr>
              </a:solidFill>
              <a:ln w="25400">
                <a:solidFill>
                  <a:schemeClr val="accent2">
                    <a:lumMod val="40000"/>
                    <a:lumOff val="60000"/>
                  </a:schemeClr>
                </a:solidFill>
              </a:ln>
              <a:effectLst/>
              <a:sp3d contourW="25400">
                <a:contourClr>
                  <a:schemeClr val="accent2">
                    <a:lumMod val="40000"/>
                    <a:lumOff val="60000"/>
                  </a:schemeClr>
                </a:contourClr>
              </a:sp3d>
            </c:spPr>
          </c:dPt>
          <c:dPt>
            <c:idx val="13"/>
            <c:spPr>
              <a:solidFill>
                <a:srgbClr val="7030A0"/>
              </a:solidFill>
              <a:ln w="25400">
                <a:solidFill>
                  <a:srgbClr val="7030A0"/>
                </a:solidFill>
              </a:ln>
              <a:effectLst/>
              <a:sp3d contourW="25400">
                <a:contourClr>
                  <a:srgbClr val="7030A0"/>
                </a:contourClr>
              </a:sp3d>
            </c:spPr>
          </c:dPt>
          <c:dPt>
            <c:idx val="14"/>
            <c:spPr>
              <a:solidFill>
                <a:srgbClr val="00FF00"/>
              </a:solidFill>
              <a:ln w="25400">
                <a:solidFill>
                  <a:srgbClr val="00FF00"/>
                </a:solidFill>
              </a:ln>
              <a:effectLst/>
              <a:sp3d contourW="25400">
                <a:contourClr>
                  <a:srgbClr val="00FF00"/>
                </a:contourClr>
              </a:sp3d>
            </c:spPr>
          </c:dPt>
          <c:dPt>
            <c:idx val="15"/>
            <c:spPr>
              <a:solidFill>
                <a:srgbClr val="FF0000"/>
              </a:solidFill>
              <a:ln w="25400">
                <a:solidFill>
                  <a:srgbClr val="FF0000"/>
                </a:solidFill>
              </a:ln>
              <a:effectLst/>
              <a:sp3d contourW="25400">
                <a:contourClr>
                  <a:srgbClr val="FF0000"/>
                </a:contourClr>
              </a:sp3d>
            </c:spPr>
          </c:dPt>
          <c:dPt>
            <c:idx val="16"/>
            <c:spPr>
              <a:solidFill>
                <a:srgbClr val="C00000"/>
              </a:solidFill>
              <a:ln w="25400">
                <a:solidFill>
                  <a:srgbClr val="C00000"/>
                </a:solidFill>
              </a:ln>
              <a:effectLst/>
              <a:sp3d contourW="25400">
                <a:contourClr>
                  <a:srgbClr val="C00000"/>
                </a:contourClr>
              </a:sp3d>
            </c:spPr>
          </c:dPt>
          <c:dPt>
            <c:idx val="17"/>
            <c:spPr>
              <a:solidFill>
                <a:schemeClr val="accent1">
                  <a:lumMod val="60000"/>
                  <a:lumOff val="40000"/>
                </a:schemeClr>
              </a:solidFill>
              <a:ln w="25400">
                <a:solidFill>
                  <a:schemeClr val="accent1">
                    <a:lumMod val="60000"/>
                    <a:lumOff val="40000"/>
                  </a:schemeClr>
                </a:solidFill>
              </a:ln>
              <a:effectLst/>
              <a:sp3d contourW="25400">
                <a:contourClr>
                  <a:schemeClr val="accent1">
                    <a:lumMod val="60000"/>
                    <a:lumOff val="40000"/>
                  </a:schemeClr>
                </a:contourClr>
              </a:sp3d>
            </c:spPr>
          </c:dPt>
          <c:dLbls>
            <c:dLbl>
              <c:idx val="0"/>
              <c:delete val="1"/>
              <c:extLst>
                <c:ext xmlns:c15="http://schemas.microsoft.com/office/drawing/2012/chart" uri="{CE6537A1-D6FC-4f65-9D91-7224C49458BB}"/>
              </c:extLst>
            </c:dLbl>
            <c:dLbl>
              <c:idx val="3"/>
              <c:delete val="1"/>
              <c:extLst>
                <c:ext xmlns:c15="http://schemas.microsoft.com/office/drawing/2012/chart" uri="{CE6537A1-D6FC-4f65-9D91-7224C49458BB}"/>
              </c:extLst>
            </c:dLbl>
            <c:dLbl>
              <c:idx val="4"/>
              <c:layout/>
              <c:spPr>
                <a:solidFill>
                  <a:sysClr val="window" lastClr="FFFFFF"/>
                </a:solidFill>
                <a:ln>
                  <a:solidFill>
                    <a:sysClr val="windowText" lastClr="000000">
                      <a:lumMod val="25000"/>
                      <a:lumOff val="75000"/>
                    </a:sysClr>
                  </a:solidFill>
                </a:ln>
                <a:effectLst/>
              </c:spPr>
              <c:txPr>
                <a:bodyPr rot="0" spcFirstLastPara="1" vertOverflow="clip" horzOverflow="clip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900" b="1" i="0" u="none" strike="noStrike" kern="1200" baseline="0">
                      <a:solidFill>
                        <a:sysClr val="windowText" lastClr="000000"/>
                      </a:solidFill>
                      <a:latin typeface="+mj-lt"/>
                      <a:ea typeface="+mn-ea"/>
                      <a:cs typeface="+mn-cs"/>
                    </a:defRPr>
                  </a:pPr>
                  <a:endParaRPr lang="fr-FR"/>
                </a:p>
              </c:txPr>
              <c:dLblPos val="outEnd"/>
              <c:showPercent val="1"/>
              <c:extLst>
                <c:ext xmlns:c15="http://schemas.microsoft.com/office/drawing/2012/chart" uri="{CE6537A1-D6FC-4f65-9D91-7224C49458BB}">
                  <c15:spPr xmlns:c15="http://schemas.microsoft.com/office/drawing/2012/chart">
                    <a:prstGeom prst="wedgeRectCallout">
                      <a:avLst/>
                    </a:prstGeom>
                    <a:noFill/>
                    <a:ln>
                      <a:noFill/>
                    </a:ln>
                  </c15:spPr>
                  <c15:layout/>
                </c:ext>
              </c:extLst>
            </c:dLbl>
            <c:dLbl>
              <c:idx val="5"/>
              <c:delete val="1"/>
              <c:extLst>
                <c:ext xmlns:c15="http://schemas.microsoft.com/office/drawing/2012/chart" uri="{CE6537A1-D6FC-4f65-9D91-7224C49458BB}"/>
              </c:extLst>
            </c:dLbl>
            <c:dLbl>
              <c:idx val="6"/>
              <c:layout/>
              <c:spPr>
                <a:solidFill>
                  <a:sysClr val="window" lastClr="FFFFFF"/>
                </a:solidFill>
                <a:ln>
                  <a:solidFill>
                    <a:sysClr val="windowText" lastClr="000000">
                      <a:lumMod val="25000"/>
                      <a:lumOff val="75000"/>
                    </a:sysClr>
                  </a:solidFill>
                </a:ln>
                <a:effectLst/>
              </c:spPr>
              <c:txPr>
                <a:bodyPr rot="0" spcFirstLastPara="1" vertOverflow="clip" horzOverflow="clip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900" b="1" i="0" u="none" strike="noStrike" kern="1200" baseline="0">
                      <a:solidFill>
                        <a:sysClr val="windowText" lastClr="000000"/>
                      </a:solidFill>
                      <a:latin typeface="+mj-lt"/>
                      <a:ea typeface="+mn-ea"/>
                      <a:cs typeface="+mn-cs"/>
                    </a:defRPr>
                  </a:pPr>
                  <a:endParaRPr lang="fr-FR"/>
                </a:p>
              </c:txPr>
              <c:dLblPos val="outEnd"/>
              <c:showPercent val="1"/>
              <c:extLst>
                <c:ext xmlns:c15="http://schemas.microsoft.com/office/drawing/2012/chart" uri="{CE6537A1-D6FC-4f65-9D91-7224C49458BB}">
                  <c15:spPr xmlns:c15="http://schemas.microsoft.com/office/drawing/2012/chart">
                    <a:prstGeom prst="wedgeRectCallout">
                      <a:avLst/>
                    </a:prstGeom>
                    <a:noFill/>
                    <a:ln>
                      <a:noFill/>
                    </a:ln>
                  </c15:spPr>
                  <c15:layout/>
                </c:ext>
              </c:extLst>
            </c:dLbl>
            <c:dLbl>
              <c:idx val="7"/>
              <c:delete val="1"/>
              <c:extLst>
                <c:ext xmlns:c15="http://schemas.microsoft.com/office/drawing/2012/chart" uri="{CE6537A1-D6FC-4f65-9D91-7224C49458BB}"/>
              </c:extLst>
            </c:dLbl>
            <c:dLbl>
              <c:idx val="8"/>
              <c:delete val="1"/>
              <c:extLst>
                <c:ext xmlns:c15="http://schemas.microsoft.com/office/drawing/2012/chart" uri="{CE6537A1-D6FC-4f65-9D91-7224C49458BB}"/>
              </c:extLst>
            </c:dLbl>
            <c:dLbl>
              <c:idx val="10"/>
              <c:delete val="1"/>
              <c:extLst>
                <c:ext xmlns:c15="http://schemas.microsoft.com/office/drawing/2012/chart" uri="{CE6537A1-D6FC-4f65-9D91-7224C49458BB}"/>
              </c:extLst>
            </c:dLbl>
            <c:dLbl>
              <c:idx val="11"/>
              <c:delete val="1"/>
              <c:extLst>
                <c:ext xmlns:c15="http://schemas.microsoft.com/office/drawing/2012/chart" uri="{CE6537A1-D6FC-4f65-9D91-7224C49458BB}"/>
              </c:extLst>
            </c:dLbl>
            <c:dLbl>
              <c:idx val="12"/>
              <c:delete val="1"/>
              <c:extLst>
                <c:ext xmlns:c15="http://schemas.microsoft.com/office/drawing/2012/chart" uri="{CE6537A1-D6FC-4f65-9D91-7224C49458BB}"/>
              </c:extLst>
            </c:dLbl>
            <c:dLbl>
              <c:idx val="13"/>
              <c:delete val="1"/>
              <c:extLst>
                <c:ext xmlns:c15="http://schemas.microsoft.com/office/drawing/2012/chart" uri="{CE6537A1-D6FC-4f65-9D91-7224C49458BB}"/>
              </c:extLst>
            </c:dLbl>
            <c:dLbl>
              <c:idx val="14"/>
              <c:delete val="1"/>
              <c:extLst>
                <c:ext xmlns:c15="http://schemas.microsoft.com/office/drawing/2012/chart" uri="{CE6537A1-D6FC-4f65-9D91-7224C49458BB}"/>
              </c:extLst>
            </c:dLbl>
            <c:dLbl>
              <c:idx val="16"/>
              <c:delete val="1"/>
              <c:extLst>
                <c:ext xmlns:c15="http://schemas.microsoft.com/office/drawing/2012/chart" uri="{CE6537A1-D6FC-4f65-9D91-7224C49458BB}"/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1" i="0" u="none" strike="noStrike" kern="1200" baseline="0">
                    <a:solidFill>
                      <a:sysClr val="windowText" lastClr="000000"/>
                    </a:solidFill>
                    <a:latin typeface="+mj-lt"/>
                    <a:ea typeface="+mn-ea"/>
                    <a:cs typeface="+mn-cs"/>
                  </a:defRPr>
                </a:pPr>
                <a:endParaRPr lang="fr-FR"/>
              </a:p>
            </c:txPr>
            <c:showPercent val="1"/>
            <c:extLst>
              <c:ext xmlns:c15="http://schemas.microsoft.com/office/drawing/2012/chart" uri="{CE6537A1-D6FC-4f65-9D91-7224C49458BB}">
                <c15:layout/>
              </c:ext>
            </c:extLst>
          </c:dLbls>
          <c:cat>
            <c:strRef>
              <c:f>Eri!$A$2:$A$19</c:f>
              <c:strCache>
                <c:ptCount val="18"/>
                <c:pt idx="0">
                  <c:v>Gueules Noires</c:v>
                </c:pt>
                <c:pt idx="1">
                  <c:v>Splendor</c:v>
                </c:pt>
                <c:pt idx="2">
                  <c:v>Abyss</c:v>
                </c:pt>
                <c:pt idx="3">
                  <c:v>Seigneur des Anneaux</c:v>
                </c:pt>
                <c:pt idx="4">
                  <c:v>Agricola</c:v>
                </c:pt>
                <c:pt idx="5">
                  <c:v>Dungeon Petz</c:v>
                </c:pt>
                <c:pt idx="6">
                  <c:v>Terres d'Arle</c:v>
                </c:pt>
                <c:pt idx="7">
                  <c:v>Egizia</c:v>
                </c:pt>
                <c:pt idx="8">
                  <c:v>Les Piliers de la Terre</c:v>
                </c:pt>
                <c:pt idx="9">
                  <c:v>Sherlock Holmes</c:v>
                </c:pt>
                <c:pt idx="10">
                  <c:v>Civilizations</c:v>
                </c:pt>
                <c:pt idx="11">
                  <c:v>Horreur à Arkham</c:v>
                </c:pt>
                <c:pt idx="12">
                  <c:v>Les Princes de Catane</c:v>
                </c:pt>
                <c:pt idx="13">
                  <c:v>Andor</c:v>
                </c:pt>
                <c:pt idx="14">
                  <c:v>Tournay</c:v>
                </c:pt>
                <c:pt idx="15">
                  <c:v>Viceroy</c:v>
                </c:pt>
                <c:pt idx="16">
                  <c:v>Dominant Species</c:v>
                </c:pt>
                <c:pt idx="17">
                  <c:v>Autres (Eri)</c:v>
                </c:pt>
              </c:strCache>
            </c:strRef>
          </c:cat>
          <c:val>
            <c:numRef>
              <c:f>Eri!$B$2:$B$19</c:f>
              <c:numCache>
                <c:formatCode>General</c:formatCode>
                <c:ptCount val="18"/>
                <c:pt idx="0">
                  <c:v>0</c:v>
                </c:pt>
                <c:pt idx="1">
                  <c:v>1</c:v>
                </c:pt>
                <c:pt idx="2">
                  <c:v>3</c:v>
                </c:pt>
                <c:pt idx="3">
                  <c:v>0</c:v>
                </c:pt>
                <c:pt idx="4">
                  <c:v>1</c:v>
                </c:pt>
                <c:pt idx="5">
                  <c:v>0</c:v>
                </c:pt>
                <c:pt idx="6">
                  <c:v>1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1</c:v>
                </c:pt>
                <c:pt idx="16">
                  <c:v>0</c:v>
                </c:pt>
                <c:pt idx="17">
                  <c:v>4</c:v>
                </c:pt>
              </c:numCache>
            </c:numRef>
          </c:val>
        </c:ser>
      </c:pie3DChart>
      <c:spPr>
        <a:noFill/>
        <a:ln>
          <a:noFill/>
        </a:ln>
        <a:effectLst/>
      </c:spPr>
    </c:plotArea>
    <c:legend>
      <c:legendPos val="b"/>
      <c:layout>
        <c:manualLayout>
          <c:xMode val="edge"/>
          <c:yMode val="edge"/>
          <c:x val="5.0760879065386073E-2"/>
          <c:y val="0.54869823090295533"/>
          <c:w val="0.88847798202677652"/>
          <c:h val="0.43398575178102738"/>
        </c:manualLayout>
      </c:layout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1" i="0" u="none" strike="noStrike" kern="1200" baseline="0">
              <a:solidFill>
                <a:sysClr val="windowText" lastClr="000000"/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zero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000000000000022" l="0.70000000000000018" r="0.70000000000000018" t="0.75000000000000022" header="0.3000000000000001" footer="0.3000000000000001"/>
    <c:pageSetup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fr-BE"/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ysClr val="windowText" lastClr="000000"/>
                </a:solidFill>
                <a:latin typeface="+mj-lt"/>
                <a:ea typeface="+mn-ea"/>
                <a:cs typeface="+mn-cs"/>
              </a:defRPr>
            </a:pPr>
            <a:r>
              <a:rPr lang="fr-FR" sz="1400" b="1" i="0" baseline="0">
                <a:solidFill>
                  <a:sysClr val="windowText" lastClr="000000"/>
                </a:solidFill>
                <a:effectLst/>
                <a:latin typeface="+mj-lt"/>
              </a:rPr>
              <a:t>Répartition de la durée des jeux pratiqués par Eri</a:t>
            </a:r>
            <a:endParaRPr lang="fr-FR" sz="1400">
              <a:solidFill>
                <a:sysClr val="windowText" lastClr="000000"/>
              </a:solidFill>
              <a:effectLst/>
              <a:latin typeface="+mj-lt"/>
            </a:endParaRPr>
          </a:p>
        </c:rich>
      </c:tx>
      <c:layout/>
      <c:spPr>
        <a:noFill/>
        <a:ln>
          <a:noFill/>
        </a:ln>
        <a:effectLst/>
      </c:spPr>
    </c:title>
    <c:view3D>
      <c:rotX val="30"/>
      <c:depthPercent val="100"/>
      <c:perspective val="30"/>
    </c:view3D>
    <c:floor>
      <c:spPr>
        <a:noFill/>
        <a:ln>
          <a:noFill/>
        </a:ln>
        <a:effectLst/>
        <a:sp3d/>
      </c:spPr>
    </c:floor>
    <c:sideWall>
      <c:spPr>
        <a:noFill/>
        <a:ln>
          <a:noFill/>
        </a:ln>
        <a:effectLst/>
        <a:sp3d/>
      </c:spPr>
    </c:sideWall>
    <c:backWall>
      <c:spPr>
        <a:noFill/>
        <a:ln>
          <a:noFill/>
        </a:ln>
        <a:effectLst/>
        <a:sp3d/>
      </c:spPr>
    </c:backWall>
    <c:plotArea>
      <c:layout>
        <c:manualLayout>
          <c:layoutTarget val="inner"/>
          <c:xMode val="edge"/>
          <c:yMode val="edge"/>
          <c:x val="2.7777777777777801E-2"/>
          <c:y val="0.17515827912815241"/>
          <c:w val="0.97222222222222221"/>
          <c:h val="0.34120209973753285"/>
        </c:manualLayout>
      </c:layout>
      <c:pie3DChart>
        <c:varyColors val="1"/>
        <c:ser>
          <c:idx val="0"/>
          <c:order val="0"/>
          <c:tx>
            <c:strRef>
              <c:f>Eri!$E$1</c:f>
              <c:strCache>
                <c:ptCount val="1"/>
                <c:pt idx="0">
                  <c:v>Durée</c:v>
                </c:pt>
              </c:strCache>
            </c:strRef>
          </c:tx>
          <c:dPt>
            <c:idx val="0"/>
            <c:spPr>
              <a:solidFill>
                <a:schemeClr val="tx1"/>
              </a:solidFill>
              <a:ln w="25400">
                <a:solidFill>
                  <a:schemeClr val="tx1"/>
                </a:solidFill>
              </a:ln>
              <a:effectLst/>
              <a:sp3d contourW="25400">
                <a:contourClr>
                  <a:schemeClr val="tx1"/>
                </a:contourClr>
              </a:sp3d>
            </c:spPr>
          </c:dPt>
          <c:dPt>
            <c:idx val="1"/>
            <c:spPr>
              <a:solidFill>
                <a:srgbClr val="FFFF00"/>
              </a:solidFill>
              <a:ln w="25400">
                <a:solidFill>
                  <a:srgbClr val="FFFF00"/>
                </a:solidFill>
              </a:ln>
              <a:effectLst/>
              <a:sp3d contourW="25400">
                <a:contourClr>
                  <a:srgbClr val="FFFF00"/>
                </a:contourClr>
              </a:sp3d>
            </c:spPr>
          </c:dPt>
          <c:dPt>
            <c:idx val="2"/>
            <c:spPr>
              <a:solidFill>
                <a:srgbClr val="00B0F0"/>
              </a:solidFill>
              <a:ln w="25400">
                <a:solidFill>
                  <a:srgbClr val="00B0F0"/>
                </a:solidFill>
              </a:ln>
              <a:effectLst/>
              <a:sp3d contourW="25400">
                <a:contourClr>
                  <a:srgbClr val="00B0F0"/>
                </a:contourClr>
              </a:sp3d>
            </c:spPr>
          </c:dPt>
          <c:dPt>
            <c:idx val="3"/>
            <c:spPr>
              <a:solidFill>
                <a:srgbClr val="00B050"/>
              </a:solidFill>
              <a:ln w="25400">
                <a:solidFill>
                  <a:srgbClr val="00B050"/>
                </a:solidFill>
              </a:ln>
              <a:effectLst/>
              <a:sp3d contourW="25400">
                <a:contourClr>
                  <a:srgbClr val="00B050"/>
                </a:contourClr>
              </a:sp3d>
            </c:spPr>
          </c:dPt>
          <c:dPt>
            <c:idx val="4"/>
            <c:spPr>
              <a:solidFill>
                <a:srgbClr val="996633"/>
              </a:solidFill>
              <a:ln w="25400">
                <a:solidFill>
                  <a:srgbClr val="996633"/>
                </a:solidFill>
              </a:ln>
              <a:effectLst/>
              <a:sp3d contourW="25400">
                <a:contourClr>
                  <a:srgbClr val="996633"/>
                </a:contourClr>
              </a:sp3d>
            </c:spPr>
          </c:dPt>
          <c:dPt>
            <c:idx val="5"/>
            <c:spPr>
              <a:solidFill>
                <a:schemeClr val="accent4">
                  <a:lumMod val="40000"/>
                  <a:lumOff val="60000"/>
                </a:schemeClr>
              </a:solidFill>
              <a:ln w="25400">
                <a:solidFill>
                  <a:schemeClr val="accent4">
                    <a:lumMod val="40000"/>
                    <a:lumOff val="60000"/>
                  </a:schemeClr>
                </a:solidFill>
              </a:ln>
              <a:effectLst/>
              <a:sp3d contourW="25400">
                <a:contourClr>
                  <a:schemeClr val="accent4">
                    <a:lumMod val="40000"/>
                    <a:lumOff val="60000"/>
                  </a:schemeClr>
                </a:contourClr>
              </a:sp3d>
            </c:spPr>
          </c:dPt>
          <c:dPt>
            <c:idx val="6"/>
            <c:spPr>
              <a:solidFill>
                <a:srgbClr val="663300"/>
              </a:solidFill>
              <a:ln w="25400">
                <a:solidFill>
                  <a:srgbClr val="663300"/>
                </a:solidFill>
              </a:ln>
              <a:effectLst/>
              <a:sp3d contourW="25400">
                <a:contourClr>
                  <a:srgbClr val="663300"/>
                </a:contourClr>
              </a:sp3d>
            </c:spPr>
          </c:dPt>
          <c:dPt>
            <c:idx val="7"/>
            <c:spPr>
              <a:solidFill>
                <a:srgbClr val="FFC000"/>
              </a:solidFill>
              <a:ln w="25400">
                <a:solidFill>
                  <a:srgbClr val="FFC000"/>
                </a:solidFill>
              </a:ln>
              <a:effectLst/>
              <a:sp3d contourW="25400">
                <a:contourClr>
                  <a:srgbClr val="FFC000"/>
                </a:contourClr>
              </a:sp3d>
            </c:spPr>
          </c:dPt>
          <c:dPt>
            <c:idx val="8"/>
            <c:spPr>
              <a:solidFill>
                <a:schemeClr val="bg1">
                  <a:lumMod val="65000"/>
                </a:schemeClr>
              </a:solidFill>
              <a:ln w="25400">
                <a:solidFill>
                  <a:schemeClr val="bg1">
                    <a:lumMod val="65000"/>
                  </a:schemeClr>
                </a:solidFill>
              </a:ln>
              <a:effectLst/>
              <a:sp3d contourW="25400">
                <a:contourClr>
                  <a:schemeClr val="bg1">
                    <a:lumMod val="65000"/>
                  </a:schemeClr>
                </a:contourClr>
              </a:sp3d>
            </c:spPr>
          </c:dPt>
          <c:dPt>
            <c:idx val="9"/>
            <c:spPr>
              <a:solidFill>
                <a:schemeClr val="bg1"/>
              </a:solidFill>
              <a:ln w="25400">
                <a:solidFill>
                  <a:schemeClr val="bg1"/>
                </a:solidFill>
              </a:ln>
              <a:effectLst/>
              <a:sp3d contourW="25400">
                <a:contourClr>
                  <a:schemeClr val="bg1"/>
                </a:contourClr>
              </a:sp3d>
            </c:spPr>
          </c:dPt>
          <c:dPt>
            <c:idx val="10"/>
            <c:spPr>
              <a:solidFill>
                <a:schemeClr val="accent6">
                  <a:lumMod val="75000"/>
                </a:schemeClr>
              </a:solidFill>
              <a:ln w="25400">
                <a:solidFill>
                  <a:schemeClr val="accent6">
                    <a:lumMod val="75000"/>
                  </a:schemeClr>
                </a:solidFill>
              </a:ln>
              <a:effectLst/>
              <a:sp3d contourW="25400">
                <a:contourClr>
                  <a:schemeClr val="accent6">
                    <a:lumMod val="75000"/>
                  </a:schemeClr>
                </a:contourClr>
              </a:sp3d>
            </c:spPr>
          </c:dPt>
          <c:dPt>
            <c:idx val="11"/>
            <c:spPr>
              <a:solidFill>
                <a:schemeClr val="accent3"/>
              </a:solidFill>
              <a:ln w="25400">
                <a:solidFill>
                  <a:schemeClr val="accent3"/>
                </a:solidFill>
              </a:ln>
              <a:effectLst/>
              <a:sp3d contourW="25400">
                <a:contourClr>
                  <a:schemeClr val="accent3"/>
                </a:contourClr>
              </a:sp3d>
            </c:spPr>
          </c:dPt>
          <c:dPt>
            <c:idx val="12"/>
            <c:spPr>
              <a:solidFill>
                <a:schemeClr val="accent2">
                  <a:lumMod val="40000"/>
                  <a:lumOff val="60000"/>
                </a:schemeClr>
              </a:solidFill>
              <a:ln w="25400">
                <a:solidFill>
                  <a:schemeClr val="accent2">
                    <a:lumMod val="40000"/>
                    <a:lumOff val="60000"/>
                  </a:schemeClr>
                </a:solidFill>
              </a:ln>
              <a:effectLst/>
              <a:sp3d contourW="25400">
                <a:contourClr>
                  <a:schemeClr val="accent2">
                    <a:lumMod val="40000"/>
                    <a:lumOff val="60000"/>
                  </a:schemeClr>
                </a:contourClr>
              </a:sp3d>
            </c:spPr>
          </c:dPt>
          <c:dPt>
            <c:idx val="13"/>
            <c:spPr>
              <a:solidFill>
                <a:srgbClr val="7030A0"/>
              </a:solidFill>
              <a:ln w="25400">
                <a:solidFill>
                  <a:srgbClr val="7030A0"/>
                </a:solidFill>
              </a:ln>
              <a:effectLst/>
              <a:sp3d contourW="25400">
                <a:contourClr>
                  <a:srgbClr val="7030A0"/>
                </a:contourClr>
              </a:sp3d>
            </c:spPr>
          </c:dPt>
          <c:dPt>
            <c:idx val="14"/>
            <c:spPr>
              <a:solidFill>
                <a:srgbClr val="00FF00"/>
              </a:solidFill>
              <a:ln w="25400">
                <a:solidFill>
                  <a:srgbClr val="00FF00"/>
                </a:solidFill>
              </a:ln>
              <a:effectLst/>
              <a:sp3d contourW="25400">
                <a:contourClr>
                  <a:srgbClr val="00FF00"/>
                </a:contourClr>
              </a:sp3d>
            </c:spPr>
          </c:dPt>
          <c:dPt>
            <c:idx val="15"/>
            <c:spPr>
              <a:solidFill>
                <a:srgbClr val="FF0000"/>
              </a:solidFill>
              <a:ln w="25400">
                <a:solidFill>
                  <a:srgbClr val="FF0000"/>
                </a:solidFill>
              </a:ln>
              <a:effectLst/>
              <a:sp3d contourW="25400">
                <a:contourClr>
                  <a:srgbClr val="FF0000"/>
                </a:contourClr>
              </a:sp3d>
            </c:spPr>
          </c:dPt>
          <c:dPt>
            <c:idx val="16"/>
            <c:spPr>
              <a:solidFill>
                <a:srgbClr val="C00000"/>
              </a:solidFill>
              <a:ln w="25400">
                <a:solidFill>
                  <a:srgbClr val="C00000"/>
                </a:solidFill>
              </a:ln>
              <a:effectLst/>
              <a:sp3d contourW="25400">
                <a:contourClr>
                  <a:srgbClr val="C00000"/>
                </a:contourClr>
              </a:sp3d>
            </c:spPr>
          </c:dPt>
          <c:dPt>
            <c:idx val="17"/>
            <c:spPr>
              <a:solidFill>
                <a:schemeClr val="accent1">
                  <a:lumMod val="60000"/>
                  <a:lumOff val="40000"/>
                </a:schemeClr>
              </a:solidFill>
              <a:ln w="25400">
                <a:solidFill>
                  <a:schemeClr val="accent1">
                    <a:lumMod val="60000"/>
                    <a:lumOff val="40000"/>
                  </a:schemeClr>
                </a:solidFill>
              </a:ln>
              <a:effectLst/>
              <a:sp3d contourW="25400">
                <a:contourClr>
                  <a:schemeClr val="accent1">
                    <a:lumMod val="60000"/>
                    <a:lumOff val="40000"/>
                  </a:schemeClr>
                </a:contourClr>
              </a:sp3d>
            </c:spPr>
          </c:dPt>
          <c:dLbls>
            <c:spPr>
              <a:solidFill>
                <a:sysClr val="window" lastClr="FFFFFF"/>
              </a:solidFill>
              <a:ln>
                <a:solidFill>
                  <a:sysClr val="windowText" lastClr="000000">
                    <a:lumMod val="25000"/>
                    <a:lumOff val="75000"/>
                  </a:sysClr>
                </a:solidFill>
              </a:ln>
              <a:effectLst/>
            </c:spPr>
            <c:txPr>
              <a:bodyPr rot="0" spcFirstLastPara="1" vertOverflow="clip" horzOverflow="clip" vert="horz" wrap="square" lIns="38100" tIns="19050" rIns="38100" bIns="19050" anchor="ctr" anchorCtr="1">
                <a:spAutoFit/>
              </a:bodyPr>
              <a:lstStyle/>
              <a:p>
                <a:pPr>
                  <a:defRPr sz="900" b="1" i="0" u="none" strike="noStrike" kern="1200" baseline="0">
                    <a:solidFill>
                      <a:sysClr val="windowText" lastClr="000000"/>
                    </a:solidFill>
                    <a:latin typeface="+mj-lt"/>
                    <a:ea typeface="+mn-ea"/>
                    <a:cs typeface="+mn-cs"/>
                  </a:defRPr>
                </a:pPr>
                <a:endParaRPr lang="fr-FR"/>
              </a:p>
            </c:txPr>
            <c:dLblPos val="outEnd"/>
            <c:showPercent val="1"/>
            <c:extLst>
              <c:ext xmlns:c15="http://schemas.microsoft.com/office/drawing/2012/chart" uri="{CE6537A1-D6FC-4f65-9D91-7224C49458BB}">
                <c15:spPr xmlns:c15="http://schemas.microsoft.com/office/drawing/2012/chart">
                  <a:prstGeom prst="wedgeRectCallout">
                    <a:avLst/>
                  </a:prstGeom>
                  <a:noFill/>
                  <a:ln>
                    <a:noFill/>
                  </a:ln>
                </c15:spPr>
                <c15:layout/>
              </c:ext>
            </c:extLst>
          </c:dLbls>
          <c:cat>
            <c:strRef>
              <c:f>Eri!$A$2:$A$19</c:f>
              <c:strCache>
                <c:ptCount val="18"/>
                <c:pt idx="0">
                  <c:v>Gueules Noires</c:v>
                </c:pt>
                <c:pt idx="1">
                  <c:v>Splendor</c:v>
                </c:pt>
                <c:pt idx="2">
                  <c:v>Abyss</c:v>
                </c:pt>
                <c:pt idx="3">
                  <c:v>Seigneur des Anneaux</c:v>
                </c:pt>
                <c:pt idx="4">
                  <c:v>Agricola</c:v>
                </c:pt>
                <c:pt idx="5">
                  <c:v>Dungeon Petz</c:v>
                </c:pt>
                <c:pt idx="6">
                  <c:v>Terres d'Arle</c:v>
                </c:pt>
                <c:pt idx="7">
                  <c:v>Egizia</c:v>
                </c:pt>
                <c:pt idx="8">
                  <c:v>Les Piliers de la Terre</c:v>
                </c:pt>
                <c:pt idx="9">
                  <c:v>Sherlock Holmes</c:v>
                </c:pt>
                <c:pt idx="10">
                  <c:v>Civilizations</c:v>
                </c:pt>
                <c:pt idx="11">
                  <c:v>Horreur à Arkham</c:v>
                </c:pt>
                <c:pt idx="12">
                  <c:v>Les Princes de Catane</c:v>
                </c:pt>
                <c:pt idx="13">
                  <c:v>Andor</c:v>
                </c:pt>
                <c:pt idx="14">
                  <c:v>Tournay</c:v>
                </c:pt>
                <c:pt idx="15">
                  <c:v>Viceroy</c:v>
                </c:pt>
                <c:pt idx="16">
                  <c:v>Dominant Species</c:v>
                </c:pt>
                <c:pt idx="17">
                  <c:v>Autres (Eri)</c:v>
                </c:pt>
              </c:strCache>
            </c:strRef>
          </c:cat>
          <c:val>
            <c:numRef>
              <c:f>Eri!$E$2:$E$19</c:f>
              <c:numCache>
                <c:formatCode>[h]:mm:ss;@</c:formatCode>
                <c:ptCount val="18"/>
                <c:pt idx="0">
                  <c:v>0</c:v>
                </c:pt>
                <c:pt idx="1">
                  <c:v>3.4722222222222224E-2</c:v>
                </c:pt>
                <c:pt idx="2">
                  <c:v>0.15625</c:v>
                </c:pt>
                <c:pt idx="3">
                  <c:v>0</c:v>
                </c:pt>
                <c:pt idx="4">
                  <c:v>7.2916666666666671E-2</c:v>
                </c:pt>
                <c:pt idx="5">
                  <c:v>0</c:v>
                </c:pt>
                <c:pt idx="6">
                  <c:v>9.375E-2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2.7777777777777776E-2</c:v>
                </c:pt>
                <c:pt idx="16">
                  <c:v>0</c:v>
                </c:pt>
                <c:pt idx="17">
                  <c:v>0.20833333333333331</c:v>
                </c:pt>
              </c:numCache>
            </c:numRef>
          </c:val>
        </c:ser>
      </c:pie3DChart>
      <c:spPr>
        <a:noFill/>
        <a:ln>
          <a:noFill/>
        </a:ln>
        <a:effectLst/>
      </c:spPr>
    </c:plotArea>
    <c:legend>
      <c:legendPos val="b"/>
      <c:layout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 rtl="0">
            <a:defRPr sz="900" b="1" i="0" u="none" strike="noStrike" kern="1200" baseline="0">
              <a:solidFill>
                <a:sysClr val="windowText" lastClr="000000"/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zero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000000000000022" l="0.70000000000000018" r="0.70000000000000018" t="0.75000000000000022" header="0.3000000000000001" footer="0.3000000000000001"/>
    <c:pageSetup/>
  </c:printSettings>
</c:chartSpace>
</file>

<file path=xl/charts/chart7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fr-BE"/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1" i="0" u="none" strike="noStrike" kern="1200" spc="0" baseline="0">
                <a:solidFill>
                  <a:sysClr val="windowText" lastClr="000000"/>
                </a:solidFill>
                <a:latin typeface="+mj-lt"/>
                <a:ea typeface="+mn-ea"/>
                <a:cs typeface="+mn-cs"/>
              </a:defRPr>
            </a:pPr>
            <a:r>
              <a:rPr lang="fr-FR" b="1">
                <a:solidFill>
                  <a:sysClr val="windowText" lastClr="000000"/>
                </a:solidFill>
                <a:latin typeface="+mj-lt"/>
              </a:rPr>
              <a:t>Fréquence des parties d'Eri</a:t>
            </a:r>
          </a:p>
        </c:rich>
      </c:tx>
      <c:layout/>
      <c:spPr>
        <a:noFill/>
        <a:ln>
          <a:noFill/>
        </a:ln>
        <a:effectLst/>
      </c:spPr>
    </c:title>
    <c:view3D>
      <c:depthPercent val="100"/>
      <c:rAngAx val="1"/>
    </c:view3D>
    <c:floor>
      <c:spPr>
        <a:noFill/>
        <a:ln>
          <a:noFill/>
        </a:ln>
        <a:effectLst/>
        <a:sp3d/>
      </c:spPr>
    </c:floor>
    <c:sideWall>
      <c:spPr>
        <a:noFill/>
        <a:ln>
          <a:noFill/>
        </a:ln>
        <a:effectLst/>
        <a:sp3d/>
      </c:spPr>
    </c:sideWall>
    <c:backWall>
      <c:spPr>
        <a:noFill/>
        <a:ln>
          <a:noFill/>
        </a:ln>
        <a:effectLst/>
        <a:sp3d/>
      </c:spPr>
    </c:backWall>
    <c:plotArea>
      <c:layout/>
      <c:bar3DChart>
        <c:barDir val="col"/>
        <c:grouping val="clustered"/>
        <c:ser>
          <c:idx val="0"/>
          <c:order val="0"/>
          <c:spPr>
            <a:solidFill>
              <a:schemeClr val="tx2"/>
            </a:solidFill>
            <a:ln>
              <a:solidFill>
                <a:schemeClr val="accent1">
                  <a:lumMod val="40000"/>
                  <a:lumOff val="60000"/>
                </a:schemeClr>
              </a:solidFill>
            </a:ln>
            <a:effectLst/>
            <a:sp3d>
              <a:contourClr>
                <a:schemeClr val="accent1">
                  <a:lumMod val="40000"/>
                  <a:lumOff val="60000"/>
                </a:schemeClr>
              </a:contourClr>
            </a:sp3d>
          </c:spPr>
          <c:dPt>
            <c:idx val="1"/>
            <c:spPr>
              <a:solidFill>
                <a:schemeClr val="tx2"/>
              </a:solidFill>
              <a:ln>
                <a:solidFill>
                  <a:schemeClr val="accent1">
                    <a:lumMod val="60000"/>
                    <a:lumOff val="40000"/>
                  </a:schemeClr>
                </a:solidFill>
              </a:ln>
              <a:effectLst/>
              <a:sp3d>
                <a:contourClr>
                  <a:schemeClr val="accent1">
                    <a:lumMod val="60000"/>
                    <a:lumOff val="40000"/>
                  </a:schemeClr>
                </a:contourClr>
              </a:sp3d>
            </c:spPr>
          </c:dPt>
          <c:cat>
            <c:numRef>
              <c:f>Eri!$A$24:$A$33</c:f>
              <c:numCache>
                <c:formatCode>mmm\-yy</c:formatCode>
                <c:ptCount val="10"/>
                <c:pt idx="0">
                  <c:v>42248</c:v>
                </c:pt>
                <c:pt idx="1">
                  <c:v>42278</c:v>
                </c:pt>
                <c:pt idx="2">
                  <c:v>42309</c:v>
                </c:pt>
                <c:pt idx="3">
                  <c:v>42339</c:v>
                </c:pt>
                <c:pt idx="4">
                  <c:v>42370</c:v>
                </c:pt>
                <c:pt idx="5">
                  <c:v>42401</c:v>
                </c:pt>
                <c:pt idx="6">
                  <c:v>42430</c:v>
                </c:pt>
                <c:pt idx="7">
                  <c:v>42461</c:v>
                </c:pt>
                <c:pt idx="8">
                  <c:v>42491</c:v>
                </c:pt>
                <c:pt idx="9">
                  <c:v>42522</c:v>
                </c:pt>
              </c:numCache>
            </c:numRef>
          </c:cat>
          <c:val>
            <c:numRef>
              <c:f>Eri!$B$24:$B$33</c:f>
              <c:numCache>
                <c:formatCode>General</c:formatCode>
                <c:ptCount val="10"/>
                <c:pt idx="0">
                  <c:v>0</c:v>
                </c:pt>
                <c:pt idx="1">
                  <c:v>9</c:v>
                </c:pt>
                <c:pt idx="2">
                  <c:v>2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</c:numCache>
            </c:numRef>
          </c:val>
        </c:ser>
        <c:shape val="box"/>
        <c:axId val="95650560"/>
        <c:axId val="95652096"/>
        <c:axId val="0"/>
      </c:bar3DChart>
      <c:dateAx>
        <c:axId val="95650560"/>
        <c:scaling>
          <c:orientation val="minMax"/>
        </c:scaling>
        <c:axPos val="b"/>
        <c:numFmt formatCode="mmm\-yy" sourceLinked="1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95652096"/>
        <c:crosses val="autoZero"/>
        <c:auto val="1"/>
        <c:lblOffset val="100"/>
        <c:baseTimeUnit val="months"/>
      </c:dateAx>
      <c:valAx>
        <c:axId val="95652096"/>
        <c:scaling>
          <c:orientation val="minMax"/>
          <c:max val="10"/>
        </c:scaling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95650560"/>
        <c:crosses val="autoZero"/>
        <c:crossBetween val="between"/>
        <c:majorUnit val="1"/>
      </c:valAx>
      <c:spPr>
        <a:noFill/>
        <a:ln>
          <a:noFill/>
        </a:ln>
        <a:effectLst/>
      </c:spPr>
    </c:plotArea>
    <c:plotVisOnly val="1"/>
    <c:dispBlanksAs val="gap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000000000000022" l="0.70000000000000018" r="0.70000000000000018" t="0.75000000000000022" header="0.3000000000000001" footer="0.3000000000000001"/>
    <c:pageSetup/>
  </c:printSettings>
</c:chartSpace>
</file>

<file path=xl/charts/chart8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fr-BE"/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r>
              <a:rPr lang="fr-FR" b="1">
                <a:solidFill>
                  <a:sysClr val="windowText" lastClr="000000"/>
                </a:solidFill>
                <a:latin typeface="+mj-lt"/>
              </a:rPr>
              <a:t>Répartition des</a:t>
            </a:r>
            <a:r>
              <a:rPr lang="fr-FR" b="1" baseline="0">
                <a:solidFill>
                  <a:sysClr val="windowText" lastClr="000000"/>
                </a:solidFill>
                <a:latin typeface="+mj-lt"/>
              </a:rPr>
              <a:t> jeux pratiqués par Julien</a:t>
            </a:r>
          </a:p>
        </c:rich>
      </c:tx>
      <c:layout/>
      <c:spPr>
        <a:noFill/>
        <a:ln>
          <a:noFill/>
        </a:ln>
        <a:effectLst/>
      </c:spPr>
    </c:title>
    <c:view3D>
      <c:rotX val="30"/>
      <c:depthPercent val="100"/>
      <c:perspective val="30"/>
    </c:view3D>
    <c:floor>
      <c:spPr>
        <a:noFill/>
        <a:ln>
          <a:noFill/>
        </a:ln>
        <a:effectLst/>
        <a:sp3d/>
      </c:spPr>
    </c:floor>
    <c:sideWall>
      <c:spPr>
        <a:noFill/>
        <a:ln>
          <a:noFill/>
        </a:ln>
        <a:effectLst/>
        <a:sp3d/>
      </c:spPr>
    </c:sideWall>
    <c:backWall>
      <c:spPr>
        <a:noFill/>
        <a:ln>
          <a:noFill/>
        </a:ln>
        <a:effectLst/>
        <a:sp3d/>
      </c:spPr>
    </c:backWall>
    <c:plotArea>
      <c:layout>
        <c:manualLayout>
          <c:layoutTarget val="inner"/>
          <c:xMode val="edge"/>
          <c:yMode val="edge"/>
          <c:x val="9.1666642607180493E-3"/>
          <c:y val="0.14458397245798824"/>
          <c:w val="0.95833334426946359"/>
          <c:h val="0.37159377805047106"/>
        </c:manualLayout>
      </c:layout>
      <c:pie3DChart>
        <c:varyColors val="1"/>
        <c:ser>
          <c:idx val="0"/>
          <c:order val="0"/>
          <c:spPr>
            <a:ln>
              <a:solidFill>
                <a:sysClr val="windowText" lastClr="000000"/>
              </a:solidFill>
            </a:ln>
          </c:spPr>
          <c:dPt>
            <c:idx val="0"/>
            <c:spPr>
              <a:solidFill>
                <a:schemeClr val="tx1"/>
              </a:solidFill>
              <a:ln w="25400">
                <a:solidFill>
                  <a:sysClr val="windowText" lastClr="000000"/>
                </a:solidFill>
              </a:ln>
              <a:effectLst/>
              <a:sp3d contourW="25400">
                <a:contourClr>
                  <a:sysClr val="windowText" lastClr="000000"/>
                </a:contourClr>
              </a:sp3d>
            </c:spPr>
          </c:dPt>
          <c:dPt>
            <c:idx val="1"/>
            <c:spPr>
              <a:solidFill>
                <a:srgbClr val="FFFF00"/>
              </a:solidFill>
              <a:ln w="25400">
                <a:solidFill>
                  <a:srgbClr val="FFFF00"/>
                </a:solidFill>
              </a:ln>
              <a:effectLst/>
              <a:sp3d contourW="25400">
                <a:contourClr>
                  <a:srgbClr val="FFFF00"/>
                </a:contourClr>
              </a:sp3d>
            </c:spPr>
          </c:dPt>
          <c:dPt>
            <c:idx val="2"/>
            <c:spPr>
              <a:solidFill>
                <a:srgbClr val="00B0F0"/>
              </a:solidFill>
              <a:ln w="25400">
                <a:solidFill>
                  <a:srgbClr val="00B0F0"/>
                </a:solidFill>
              </a:ln>
              <a:effectLst/>
              <a:sp3d contourW="25400">
                <a:contourClr>
                  <a:srgbClr val="00B0F0"/>
                </a:contourClr>
              </a:sp3d>
            </c:spPr>
          </c:dPt>
          <c:dPt>
            <c:idx val="3"/>
            <c:spPr>
              <a:solidFill>
                <a:srgbClr val="00B050"/>
              </a:solidFill>
              <a:ln w="25400">
                <a:solidFill>
                  <a:srgbClr val="00B050"/>
                </a:solidFill>
              </a:ln>
              <a:effectLst/>
              <a:sp3d contourW="25400">
                <a:contourClr>
                  <a:srgbClr val="00B050"/>
                </a:contourClr>
              </a:sp3d>
            </c:spPr>
          </c:dPt>
          <c:dPt>
            <c:idx val="4"/>
            <c:spPr>
              <a:solidFill>
                <a:srgbClr val="996633"/>
              </a:solidFill>
              <a:ln w="25400">
                <a:solidFill>
                  <a:srgbClr val="996633"/>
                </a:solidFill>
              </a:ln>
              <a:effectLst/>
              <a:sp3d contourW="25400">
                <a:contourClr>
                  <a:srgbClr val="996633"/>
                </a:contourClr>
              </a:sp3d>
            </c:spPr>
          </c:dPt>
          <c:dPt>
            <c:idx val="5"/>
            <c:spPr>
              <a:solidFill>
                <a:schemeClr val="accent4">
                  <a:lumMod val="40000"/>
                  <a:lumOff val="60000"/>
                </a:schemeClr>
              </a:solidFill>
              <a:ln w="25400">
                <a:solidFill>
                  <a:schemeClr val="accent4">
                    <a:lumMod val="40000"/>
                    <a:lumOff val="60000"/>
                  </a:schemeClr>
                </a:solidFill>
              </a:ln>
              <a:effectLst/>
              <a:sp3d contourW="25400">
                <a:contourClr>
                  <a:schemeClr val="accent4">
                    <a:lumMod val="40000"/>
                    <a:lumOff val="60000"/>
                  </a:schemeClr>
                </a:contourClr>
              </a:sp3d>
            </c:spPr>
          </c:dPt>
          <c:dPt>
            <c:idx val="6"/>
            <c:spPr>
              <a:solidFill>
                <a:srgbClr val="663300"/>
              </a:solidFill>
              <a:ln w="25400">
                <a:solidFill>
                  <a:srgbClr val="663300"/>
                </a:solidFill>
              </a:ln>
              <a:effectLst/>
              <a:sp3d contourW="25400">
                <a:contourClr>
                  <a:srgbClr val="663300"/>
                </a:contourClr>
              </a:sp3d>
            </c:spPr>
          </c:dPt>
          <c:dPt>
            <c:idx val="7"/>
            <c:spPr>
              <a:solidFill>
                <a:srgbClr val="FFC000"/>
              </a:solidFill>
              <a:ln w="25400">
                <a:solidFill>
                  <a:srgbClr val="FFC000"/>
                </a:solidFill>
              </a:ln>
              <a:effectLst/>
              <a:sp3d contourW="25400">
                <a:contourClr>
                  <a:srgbClr val="FFC000"/>
                </a:contourClr>
              </a:sp3d>
            </c:spPr>
          </c:dPt>
          <c:dPt>
            <c:idx val="8"/>
            <c:spPr>
              <a:solidFill>
                <a:schemeClr val="bg1">
                  <a:lumMod val="65000"/>
                </a:schemeClr>
              </a:solidFill>
              <a:ln w="25400">
                <a:solidFill>
                  <a:schemeClr val="bg1">
                    <a:lumMod val="65000"/>
                  </a:schemeClr>
                </a:solidFill>
              </a:ln>
              <a:effectLst/>
              <a:sp3d contourW="25400">
                <a:contourClr>
                  <a:schemeClr val="bg1">
                    <a:lumMod val="65000"/>
                  </a:schemeClr>
                </a:contourClr>
              </a:sp3d>
            </c:spPr>
          </c:dPt>
          <c:dPt>
            <c:idx val="9"/>
            <c:spPr>
              <a:solidFill>
                <a:schemeClr val="bg1"/>
              </a:solidFill>
              <a:ln w="25400">
                <a:solidFill>
                  <a:schemeClr val="bg1"/>
                </a:solidFill>
              </a:ln>
              <a:effectLst/>
              <a:sp3d contourW="25400">
                <a:contourClr>
                  <a:schemeClr val="bg1"/>
                </a:contourClr>
              </a:sp3d>
            </c:spPr>
          </c:dPt>
          <c:dPt>
            <c:idx val="10"/>
            <c:spPr>
              <a:solidFill>
                <a:schemeClr val="accent6">
                  <a:lumMod val="75000"/>
                </a:schemeClr>
              </a:solidFill>
              <a:ln w="25400">
                <a:solidFill>
                  <a:schemeClr val="accent6">
                    <a:lumMod val="75000"/>
                  </a:schemeClr>
                </a:solidFill>
              </a:ln>
              <a:effectLst/>
              <a:sp3d contourW="25400">
                <a:contourClr>
                  <a:schemeClr val="accent6">
                    <a:lumMod val="75000"/>
                  </a:schemeClr>
                </a:contourClr>
              </a:sp3d>
            </c:spPr>
          </c:dPt>
          <c:dPt>
            <c:idx val="11"/>
            <c:spPr>
              <a:solidFill>
                <a:schemeClr val="accent3"/>
              </a:solidFill>
              <a:ln w="25400">
                <a:solidFill>
                  <a:schemeClr val="accent3"/>
                </a:solidFill>
              </a:ln>
              <a:effectLst/>
              <a:sp3d contourW="25400">
                <a:contourClr>
                  <a:schemeClr val="accent3"/>
                </a:contourClr>
              </a:sp3d>
            </c:spPr>
          </c:dPt>
          <c:dPt>
            <c:idx val="12"/>
            <c:spPr>
              <a:solidFill>
                <a:schemeClr val="accent2">
                  <a:lumMod val="40000"/>
                  <a:lumOff val="60000"/>
                </a:schemeClr>
              </a:solidFill>
              <a:ln w="25400">
                <a:solidFill>
                  <a:schemeClr val="accent2">
                    <a:lumMod val="40000"/>
                    <a:lumOff val="60000"/>
                  </a:schemeClr>
                </a:solidFill>
              </a:ln>
              <a:effectLst/>
              <a:sp3d contourW="25400">
                <a:contourClr>
                  <a:schemeClr val="accent2">
                    <a:lumMod val="40000"/>
                    <a:lumOff val="60000"/>
                  </a:schemeClr>
                </a:contourClr>
              </a:sp3d>
            </c:spPr>
          </c:dPt>
          <c:dPt>
            <c:idx val="13"/>
            <c:spPr>
              <a:solidFill>
                <a:srgbClr val="7030A0"/>
              </a:solidFill>
              <a:ln w="25400">
                <a:solidFill>
                  <a:srgbClr val="7030A0"/>
                </a:solidFill>
              </a:ln>
              <a:effectLst/>
              <a:sp3d contourW="25400">
                <a:contourClr>
                  <a:srgbClr val="7030A0"/>
                </a:contourClr>
              </a:sp3d>
            </c:spPr>
          </c:dPt>
          <c:dPt>
            <c:idx val="14"/>
            <c:spPr>
              <a:solidFill>
                <a:srgbClr val="00FF00"/>
              </a:solidFill>
              <a:ln w="25400">
                <a:solidFill>
                  <a:srgbClr val="00FF00"/>
                </a:solidFill>
              </a:ln>
              <a:effectLst/>
              <a:sp3d contourW="25400">
                <a:contourClr>
                  <a:srgbClr val="00FF00"/>
                </a:contourClr>
              </a:sp3d>
            </c:spPr>
          </c:dPt>
          <c:dPt>
            <c:idx val="15"/>
            <c:spPr>
              <a:solidFill>
                <a:srgbClr val="FF0000"/>
              </a:solidFill>
              <a:ln w="25400">
                <a:solidFill>
                  <a:srgbClr val="FF0000"/>
                </a:solidFill>
              </a:ln>
              <a:effectLst/>
              <a:sp3d contourW="25400">
                <a:contourClr>
                  <a:srgbClr val="FF0000"/>
                </a:contourClr>
              </a:sp3d>
            </c:spPr>
          </c:dPt>
          <c:dPt>
            <c:idx val="16"/>
            <c:spPr>
              <a:solidFill>
                <a:srgbClr val="C00000"/>
              </a:solidFill>
              <a:ln w="25400">
                <a:solidFill>
                  <a:srgbClr val="C00000"/>
                </a:solidFill>
              </a:ln>
              <a:effectLst/>
              <a:sp3d contourW="25400">
                <a:contourClr>
                  <a:srgbClr val="C00000"/>
                </a:contourClr>
              </a:sp3d>
            </c:spPr>
          </c:dPt>
          <c:dPt>
            <c:idx val="17"/>
            <c:spPr>
              <a:solidFill>
                <a:schemeClr val="bg1">
                  <a:lumMod val="85000"/>
                </a:schemeClr>
              </a:solidFill>
              <a:ln w="25400">
                <a:solidFill>
                  <a:schemeClr val="bg1">
                    <a:lumMod val="85000"/>
                  </a:schemeClr>
                </a:solidFill>
              </a:ln>
              <a:effectLst/>
              <a:sp3d contourW="25400">
                <a:contourClr>
                  <a:schemeClr val="bg1">
                    <a:lumMod val="85000"/>
                  </a:schemeClr>
                </a:contourClr>
              </a:sp3d>
            </c:spPr>
          </c:dPt>
          <c:dPt>
            <c:idx val="18"/>
            <c:spPr>
              <a:solidFill>
                <a:schemeClr val="accent1">
                  <a:lumMod val="60000"/>
                  <a:lumOff val="40000"/>
                </a:schemeClr>
              </a:solidFill>
              <a:ln w="25400">
                <a:solidFill>
                  <a:schemeClr val="accent1">
                    <a:lumMod val="60000"/>
                    <a:lumOff val="40000"/>
                  </a:schemeClr>
                </a:solidFill>
              </a:ln>
              <a:effectLst/>
              <a:sp3d contourW="25400">
                <a:contourClr>
                  <a:schemeClr val="accent1">
                    <a:lumMod val="60000"/>
                    <a:lumOff val="40000"/>
                  </a:schemeClr>
                </a:contourClr>
              </a:sp3d>
            </c:spPr>
          </c:dPt>
          <c:dLbls>
            <c:dLbl>
              <c:idx val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900" b="1" i="0" u="none" strike="noStrike" kern="1200" baseline="0">
                      <a:solidFill>
                        <a:schemeClr val="bg1"/>
                      </a:solidFill>
                      <a:latin typeface="+mj-lt"/>
                      <a:ea typeface="+mn-ea"/>
                      <a:cs typeface="+mn-cs"/>
                    </a:defRPr>
                  </a:pPr>
                  <a:endParaRPr lang="fr-FR"/>
                </a:p>
              </c:txPr>
            </c:dLbl>
            <c:dLbl>
              <c:idx val="3"/>
              <c:delete val="1"/>
              <c:extLst>
                <c:ext xmlns:c15="http://schemas.microsoft.com/office/drawing/2012/chart" uri="{CE6537A1-D6FC-4f65-9D91-7224C49458BB}"/>
              </c:extLst>
            </c:dLbl>
            <c:dLbl>
              <c:idx val="4"/>
              <c:delete val="1"/>
              <c:extLst>
                <c:ext xmlns:c15="http://schemas.microsoft.com/office/drawing/2012/chart" uri="{CE6537A1-D6FC-4f65-9D91-7224C49458BB}"/>
              </c:extLst>
            </c:dLbl>
            <c:dLbl>
              <c:idx val="5"/>
              <c:delete val="1"/>
              <c:extLst>
                <c:ext xmlns:c15="http://schemas.microsoft.com/office/drawing/2012/chart" uri="{CE6537A1-D6FC-4f65-9D91-7224C49458BB}"/>
              </c:extLst>
            </c:dLbl>
            <c:dLbl>
              <c:idx val="6"/>
              <c:delete val="1"/>
              <c:extLst>
                <c:ext xmlns:c15="http://schemas.microsoft.com/office/drawing/2012/chart" uri="{CE6537A1-D6FC-4f65-9D91-7224C49458BB}"/>
              </c:extLst>
            </c:dLbl>
            <c:dLbl>
              <c:idx val="7"/>
              <c:delete val="1"/>
              <c:extLst>
                <c:ext xmlns:c15="http://schemas.microsoft.com/office/drawing/2012/chart" uri="{CE6537A1-D6FC-4f65-9D91-7224C49458BB}"/>
              </c:extLst>
            </c:dLbl>
            <c:dLbl>
              <c:idx val="8"/>
              <c:delete val="1"/>
              <c:extLst>
                <c:ext xmlns:c15="http://schemas.microsoft.com/office/drawing/2012/chart" uri="{CE6537A1-D6FC-4f65-9D91-7224C49458BB}"/>
              </c:extLst>
            </c:dLbl>
            <c:dLbl>
              <c:idx val="9"/>
              <c:delete val="1"/>
              <c:extLst>
                <c:ext xmlns:c15="http://schemas.microsoft.com/office/drawing/2012/chart" uri="{CE6537A1-D6FC-4f65-9D91-7224C49458BB}"/>
              </c:extLst>
            </c:dLbl>
            <c:dLbl>
              <c:idx val="10"/>
              <c:delete val="1"/>
              <c:extLst>
                <c:ext xmlns:c15="http://schemas.microsoft.com/office/drawing/2012/chart" uri="{CE6537A1-D6FC-4f65-9D91-7224C49458BB}"/>
              </c:extLst>
            </c:dLbl>
            <c:dLbl>
              <c:idx val="11"/>
              <c:delete val="1"/>
              <c:extLst>
                <c:ext xmlns:c15="http://schemas.microsoft.com/office/drawing/2012/chart" uri="{CE6537A1-D6FC-4f65-9D91-7224C49458BB}"/>
              </c:extLst>
            </c:dLbl>
            <c:dLbl>
              <c:idx val="12"/>
              <c:delete val="1"/>
              <c:extLst>
                <c:ext xmlns:c15="http://schemas.microsoft.com/office/drawing/2012/chart" uri="{CE6537A1-D6FC-4f65-9D91-7224C49458BB}"/>
              </c:extLst>
            </c:dLbl>
            <c:dLbl>
              <c:idx val="13"/>
              <c:delete val="1"/>
              <c:extLst>
                <c:ext xmlns:c15="http://schemas.microsoft.com/office/drawing/2012/chart" uri="{CE6537A1-D6FC-4f65-9D91-7224C49458BB}"/>
              </c:extLst>
            </c:dLbl>
            <c:dLbl>
              <c:idx val="14"/>
              <c:delete val="1"/>
              <c:extLst>
                <c:ext xmlns:c15="http://schemas.microsoft.com/office/drawing/2012/chart" uri="{CE6537A1-D6FC-4f65-9D91-7224C49458BB}"/>
              </c:extLst>
            </c:dLbl>
            <c:dLbl>
              <c:idx val="15"/>
              <c:delete val="1"/>
              <c:extLst>
                <c:ext xmlns:c15="http://schemas.microsoft.com/office/drawing/2012/chart" uri="{CE6537A1-D6FC-4f65-9D91-7224C49458BB}"/>
              </c:extLst>
            </c:dLbl>
            <c:dLbl>
              <c:idx val="16"/>
              <c:delete val="1"/>
              <c:extLst>
                <c:ext xmlns:c15="http://schemas.microsoft.com/office/drawing/2012/chart" uri="{CE6537A1-D6FC-4f65-9D91-7224C49458BB}"/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1" i="0" u="none" strike="noStrike" kern="1200" baseline="0">
                    <a:solidFill>
                      <a:schemeClr val="tx1"/>
                    </a:solidFill>
                    <a:latin typeface="+mj-lt"/>
                    <a:ea typeface="+mn-ea"/>
                    <a:cs typeface="+mn-cs"/>
                  </a:defRPr>
                </a:pPr>
                <a:endParaRPr lang="fr-FR"/>
              </a:p>
            </c:txPr>
            <c:showPercent val="1"/>
            <c:showLeaderLines val="1"/>
            <c:leaderLines>
              <c:spPr>
                <a:ln w="9525" cap="flat" cmpd="sng" algn="ctr">
                  <a:solidFill>
                    <a:schemeClr val="tx1">
                      <a:lumMod val="35000"/>
                      <a:lumOff val="65000"/>
                    </a:schemeClr>
                  </a:solidFill>
                  <a:round/>
                </a:ln>
                <a:effectLst/>
              </c:spPr>
            </c:leaderLines>
            <c:extLst>
              <c:ext xmlns:c15="http://schemas.microsoft.com/office/drawing/2012/chart" uri="{CE6537A1-D6FC-4f65-9D91-7224C49458BB}">
                <c15:layout/>
              </c:ext>
            </c:extLst>
          </c:dLbls>
          <c:cat>
            <c:strRef>
              <c:f>Julien!$A$2:$A$20</c:f>
              <c:strCache>
                <c:ptCount val="19"/>
                <c:pt idx="0">
                  <c:v>Gueules Noires</c:v>
                </c:pt>
                <c:pt idx="1">
                  <c:v>Splendor</c:v>
                </c:pt>
                <c:pt idx="2">
                  <c:v>Abyss</c:v>
                </c:pt>
                <c:pt idx="3">
                  <c:v>Seigneur des Anneaux</c:v>
                </c:pt>
                <c:pt idx="4">
                  <c:v>Agricola</c:v>
                </c:pt>
                <c:pt idx="5">
                  <c:v>Dungeon Petz</c:v>
                </c:pt>
                <c:pt idx="6">
                  <c:v>Terres d'Arle</c:v>
                </c:pt>
                <c:pt idx="7">
                  <c:v>Egizia</c:v>
                </c:pt>
                <c:pt idx="8">
                  <c:v>Les Piliers de la Terre</c:v>
                </c:pt>
                <c:pt idx="9">
                  <c:v>Sherlock Holmes</c:v>
                </c:pt>
                <c:pt idx="10">
                  <c:v>Civilizations</c:v>
                </c:pt>
                <c:pt idx="11">
                  <c:v>Horreur à Arkham</c:v>
                </c:pt>
                <c:pt idx="12">
                  <c:v>Les Princes de Catane</c:v>
                </c:pt>
                <c:pt idx="13">
                  <c:v>Andor</c:v>
                </c:pt>
                <c:pt idx="14">
                  <c:v>Tournay</c:v>
                </c:pt>
                <c:pt idx="15">
                  <c:v>Viceroy</c:v>
                </c:pt>
                <c:pt idx="16">
                  <c:v>Dominant Species</c:v>
                </c:pt>
                <c:pt idx="17">
                  <c:v>L'Age de Pierre</c:v>
                </c:pt>
                <c:pt idx="18">
                  <c:v>Autres (Eri)</c:v>
                </c:pt>
              </c:strCache>
            </c:strRef>
          </c:cat>
          <c:val>
            <c:numRef>
              <c:f>Julien!$B$2:$B$20</c:f>
              <c:numCache>
                <c:formatCode>General</c:formatCode>
                <c:ptCount val="19"/>
                <c:pt idx="0">
                  <c:v>2</c:v>
                </c:pt>
                <c:pt idx="1">
                  <c:v>1</c:v>
                </c:pt>
                <c:pt idx="2">
                  <c:v>2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1</c:v>
                </c:pt>
                <c:pt idx="18">
                  <c:v>1</c:v>
                </c:pt>
              </c:numCache>
            </c:numRef>
          </c:val>
        </c:ser>
      </c:pie3DChart>
      <c:spPr>
        <a:noFill/>
        <a:ln>
          <a:noFill/>
        </a:ln>
        <a:effectLst/>
      </c:spPr>
    </c:plotArea>
    <c:legend>
      <c:legendPos val="b"/>
      <c:layout>
        <c:manualLayout>
          <c:xMode val="edge"/>
          <c:yMode val="edge"/>
          <c:x val="5.0760879065386073E-2"/>
          <c:y val="0.54869823090295533"/>
          <c:w val="0.88847798202677652"/>
          <c:h val="0.43398575178102738"/>
        </c:manualLayout>
      </c:layout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1" i="0" u="none" strike="noStrike" kern="1200" baseline="0">
              <a:solidFill>
                <a:sysClr val="windowText" lastClr="000000"/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zero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000000000000022" l="0.70000000000000018" r="0.70000000000000018" t="0.75000000000000022" header="0.3000000000000001" footer="0.3000000000000001"/>
    <c:pageSetup/>
  </c:printSettings>
</c:chartSpace>
</file>

<file path=xl/charts/chart9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fr-BE"/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ysClr val="windowText" lastClr="000000"/>
                </a:solidFill>
                <a:latin typeface="+mj-lt"/>
                <a:ea typeface="+mn-ea"/>
                <a:cs typeface="+mn-cs"/>
              </a:defRPr>
            </a:pPr>
            <a:r>
              <a:rPr lang="fr-FR" sz="1400" b="1" i="0" baseline="0">
                <a:solidFill>
                  <a:sysClr val="windowText" lastClr="000000"/>
                </a:solidFill>
                <a:effectLst/>
                <a:latin typeface="+mj-lt"/>
              </a:rPr>
              <a:t>Répartition de la durée des jeux pratiqués par Julien</a:t>
            </a:r>
            <a:endParaRPr lang="fr-FR" sz="1400">
              <a:solidFill>
                <a:sysClr val="windowText" lastClr="000000"/>
              </a:solidFill>
              <a:effectLst/>
              <a:latin typeface="+mj-lt"/>
            </a:endParaRPr>
          </a:p>
        </c:rich>
      </c:tx>
      <c:layout/>
      <c:spPr>
        <a:noFill/>
        <a:ln>
          <a:noFill/>
        </a:ln>
        <a:effectLst/>
      </c:spPr>
    </c:title>
    <c:view3D>
      <c:rotX val="30"/>
      <c:depthPercent val="100"/>
      <c:perspective val="30"/>
    </c:view3D>
    <c:floor>
      <c:spPr>
        <a:noFill/>
        <a:ln>
          <a:noFill/>
        </a:ln>
        <a:effectLst/>
        <a:sp3d/>
      </c:spPr>
    </c:floor>
    <c:sideWall>
      <c:spPr>
        <a:noFill/>
        <a:ln>
          <a:noFill/>
        </a:ln>
        <a:effectLst/>
        <a:sp3d/>
      </c:spPr>
    </c:sideWall>
    <c:backWall>
      <c:spPr>
        <a:noFill/>
        <a:ln>
          <a:noFill/>
        </a:ln>
        <a:effectLst/>
        <a:sp3d/>
      </c:spPr>
    </c:backWall>
    <c:plotArea>
      <c:layout>
        <c:manualLayout>
          <c:layoutTarget val="inner"/>
          <c:xMode val="edge"/>
          <c:yMode val="edge"/>
          <c:x val="2.7777777777777801E-2"/>
          <c:y val="0.17515827912815241"/>
          <c:w val="0.97222222222222221"/>
          <c:h val="0.34120209973753285"/>
        </c:manualLayout>
      </c:layout>
      <c:pie3DChart>
        <c:varyColors val="1"/>
        <c:ser>
          <c:idx val="0"/>
          <c:order val="0"/>
          <c:tx>
            <c:strRef>
              <c:f>Julien!$E$1</c:f>
              <c:strCache>
                <c:ptCount val="1"/>
                <c:pt idx="0">
                  <c:v>Durée</c:v>
                </c:pt>
              </c:strCache>
            </c:strRef>
          </c:tx>
          <c:dPt>
            <c:idx val="0"/>
            <c:spPr>
              <a:solidFill>
                <a:schemeClr val="tx1"/>
              </a:solidFill>
              <a:ln w="25400">
                <a:solidFill>
                  <a:schemeClr val="tx1"/>
                </a:solidFill>
              </a:ln>
              <a:effectLst/>
              <a:sp3d contourW="25400">
                <a:contourClr>
                  <a:schemeClr val="tx1"/>
                </a:contourClr>
              </a:sp3d>
            </c:spPr>
          </c:dPt>
          <c:dPt>
            <c:idx val="1"/>
            <c:spPr>
              <a:solidFill>
                <a:srgbClr val="FFFF00"/>
              </a:solidFill>
              <a:ln w="25400">
                <a:solidFill>
                  <a:srgbClr val="FFFF00"/>
                </a:solidFill>
              </a:ln>
              <a:effectLst/>
              <a:sp3d contourW="25400">
                <a:contourClr>
                  <a:srgbClr val="FFFF00"/>
                </a:contourClr>
              </a:sp3d>
            </c:spPr>
          </c:dPt>
          <c:dPt>
            <c:idx val="2"/>
            <c:spPr>
              <a:solidFill>
                <a:srgbClr val="00B0F0"/>
              </a:solidFill>
              <a:ln w="25400">
                <a:solidFill>
                  <a:srgbClr val="00B0F0"/>
                </a:solidFill>
              </a:ln>
              <a:effectLst/>
              <a:sp3d contourW="25400">
                <a:contourClr>
                  <a:srgbClr val="00B0F0"/>
                </a:contourClr>
              </a:sp3d>
            </c:spPr>
          </c:dPt>
          <c:dPt>
            <c:idx val="3"/>
            <c:spPr>
              <a:solidFill>
                <a:srgbClr val="00B050"/>
              </a:solidFill>
              <a:ln w="25400">
                <a:solidFill>
                  <a:srgbClr val="00B050"/>
                </a:solidFill>
              </a:ln>
              <a:effectLst/>
              <a:sp3d contourW="25400">
                <a:contourClr>
                  <a:srgbClr val="00B050"/>
                </a:contourClr>
              </a:sp3d>
            </c:spPr>
          </c:dPt>
          <c:dPt>
            <c:idx val="4"/>
            <c:spPr>
              <a:solidFill>
                <a:srgbClr val="996633"/>
              </a:solidFill>
              <a:ln w="25400">
                <a:solidFill>
                  <a:srgbClr val="996633"/>
                </a:solidFill>
              </a:ln>
              <a:effectLst/>
              <a:sp3d contourW="25400">
                <a:contourClr>
                  <a:srgbClr val="996633"/>
                </a:contourClr>
              </a:sp3d>
            </c:spPr>
          </c:dPt>
          <c:dPt>
            <c:idx val="5"/>
            <c:spPr>
              <a:solidFill>
                <a:schemeClr val="accent4">
                  <a:lumMod val="40000"/>
                  <a:lumOff val="60000"/>
                </a:schemeClr>
              </a:solidFill>
              <a:ln w="25400">
                <a:solidFill>
                  <a:schemeClr val="accent4">
                    <a:lumMod val="40000"/>
                    <a:lumOff val="60000"/>
                  </a:schemeClr>
                </a:solidFill>
              </a:ln>
              <a:effectLst/>
              <a:sp3d contourW="25400">
                <a:contourClr>
                  <a:schemeClr val="accent4">
                    <a:lumMod val="40000"/>
                    <a:lumOff val="60000"/>
                  </a:schemeClr>
                </a:contourClr>
              </a:sp3d>
            </c:spPr>
          </c:dPt>
          <c:dPt>
            <c:idx val="6"/>
            <c:spPr>
              <a:solidFill>
                <a:srgbClr val="663300"/>
              </a:solidFill>
              <a:ln w="25400">
                <a:solidFill>
                  <a:srgbClr val="663300"/>
                </a:solidFill>
              </a:ln>
              <a:effectLst/>
              <a:sp3d contourW="25400">
                <a:contourClr>
                  <a:srgbClr val="663300"/>
                </a:contourClr>
              </a:sp3d>
            </c:spPr>
          </c:dPt>
          <c:dPt>
            <c:idx val="7"/>
            <c:spPr>
              <a:solidFill>
                <a:srgbClr val="FFC000"/>
              </a:solidFill>
              <a:ln w="25400">
                <a:solidFill>
                  <a:srgbClr val="FFC000"/>
                </a:solidFill>
              </a:ln>
              <a:effectLst/>
              <a:sp3d contourW="25400">
                <a:contourClr>
                  <a:srgbClr val="FFC000"/>
                </a:contourClr>
              </a:sp3d>
            </c:spPr>
          </c:dPt>
          <c:dPt>
            <c:idx val="8"/>
            <c:spPr>
              <a:solidFill>
                <a:schemeClr val="bg1">
                  <a:lumMod val="65000"/>
                </a:schemeClr>
              </a:solidFill>
              <a:ln w="25400">
                <a:solidFill>
                  <a:schemeClr val="bg1">
                    <a:lumMod val="65000"/>
                  </a:schemeClr>
                </a:solidFill>
              </a:ln>
              <a:effectLst/>
              <a:sp3d contourW="25400">
                <a:contourClr>
                  <a:schemeClr val="bg1">
                    <a:lumMod val="65000"/>
                  </a:schemeClr>
                </a:contourClr>
              </a:sp3d>
            </c:spPr>
          </c:dPt>
          <c:dPt>
            <c:idx val="9"/>
            <c:spPr>
              <a:solidFill>
                <a:schemeClr val="bg1"/>
              </a:solidFill>
              <a:ln w="25400">
                <a:solidFill>
                  <a:schemeClr val="bg1"/>
                </a:solidFill>
              </a:ln>
              <a:effectLst/>
              <a:sp3d contourW="25400">
                <a:contourClr>
                  <a:schemeClr val="bg1"/>
                </a:contourClr>
              </a:sp3d>
            </c:spPr>
          </c:dPt>
          <c:dPt>
            <c:idx val="10"/>
            <c:spPr>
              <a:solidFill>
                <a:schemeClr val="accent6">
                  <a:lumMod val="75000"/>
                </a:schemeClr>
              </a:solidFill>
              <a:ln w="25400">
                <a:solidFill>
                  <a:schemeClr val="accent6">
                    <a:lumMod val="75000"/>
                  </a:schemeClr>
                </a:solidFill>
              </a:ln>
              <a:effectLst/>
              <a:sp3d contourW="25400">
                <a:contourClr>
                  <a:schemeClr val="accent6">
                    <a:lumMod val="75000"/>
                  </a:schemeClr>
                </a:contourClr>
              </a:sp3d>
            </c:spPr>
          </c:dPt>
          <c:dPt>
            <c:idx val="11"/>
            <c:spPr>
              <a:solidFill>
                <a:schemeClr val="accent3"/>
              </a:solidFill>
              <a:ln w="25400">
                <a:solidFill>
                  <a:schemeClr val="accent3"/>
                </a:solidFill>
              </a:ln>
              <a:effectLst/>
              <a:sp3d contourW="25400">
                <a:contourClr>
                  <a:schemeClr val="accent3"/>
                </a:contourClr>
              </a:sp3d>
            </c:spPr>
          </c:dPt>
          <c:dPt>
            <c:idx val="12"/>
            <c:spPr>
              <a:solidFill>
                <a:schemeClr val="accent2">
                  <a:lumMod val="40000"/>
                  <a:lumOff val="60000"/>
                </a:schemeClr>
              </a:solidFill>
              <a:ln w="25400">
                <a:solidFill>
                  <a:schemeClr val="accent2">
                    <a:lumMod val="40000"/>
                    <a:lumOff val="60000"/>
                  </a:schemeClr>
                </a:solidFill>
              </a:ln>
              <a:effectLst/>
              <a:sp3d contourW="25400">
                <a:contourClr>
                  <a:schemeClr val="accent2">
                    <a:lumMod val="40000"/>
                    <a:lumOff val="60000"/>
                  </a:schemeClr>
                </a:contourClr>
              </a:sp3d>
            </c:spPr>
          </c:dPt>
          <c:dPt>
            <c:idx val="13"/>
            <c:spPr>
              <a:solidFill>
                <a:srgbClr val="7030A0"/>
              </a:solidFill>
              <a:ln w="25400">
                <a:solidFill>
                  <a:srgbClr val="7030A0"/>
                </a:solidFill>
              </a:ln>
              <a:effectLst/>
              <a:sp3d contourW="25400">
                <a:contourClr>
                  <a:srgbClr val="7030A0"/>
                </a:contourClr>
              </a:sp3d>
            </c:spPr>
          </c:dPt>
          <c:dPt>
            <c:idx val="14"/>
            <c:spPr>
              <a:solidFill>
                <a:srgbClr val="00FF00"/>
              </a:solidFill>
              <a:ln w="25400">
                <a:solidFill>
                  <a:srgbClr val="00FF00"/>
                </a:solidFill>
              </a:ln>
              <a:effectLst/>
              <a:sp3d contourW="25400">
                <a:contourClr>
                  <a:srgbClr val="00FF00"/>
                </a:contourClr>
              </a:sp3d>
            </c:spPr>
          </c:dPt>
          <c:dPt>
            <c:idx val="15"/>
            <c:spPr>
              <a:solidFill>
                <a:srgbClr val="FF0000"/>
              </a:solidFill>
              <a:ln w="25400">
                <a:solidFill>
                  <a:srgbClr val="FF0000"/>
                </a:solidFill>
              </a:ln>
              <a:effectLst/>
              <a:sp3d contourW="25400">
                <a:contourClr>
                  <a:srgbClr val="FF0000"/>
                </a:contourClr>
              </a:sp3d>
            </c:spPr>
          </c:dPt>
          <c:dPt>
            <c:idx val="16"/>
            <c:spPr>
              <a:solidFill>
                <a:srgbClr val="C00000"/>
              </a:solidFill>
              <a:ln w="25400">
                <a:solidFill>
                  <a:srgbClr val="C00000"/>
                </a:solidFill>
              </a:ln>
              <a:effectLst/>
              <a:sp3d contourW="25400">
                <a:contourClr>
                  <a:srgbClr val="C00000"/>
                </a:contourClr>
              </a:sp3d>
            </c:spPr>
          </c:dPt>
          <c:dPt>
            <c:idx val="17"/>
            <c:spPr>
              <a:solidFill>
                <a:schemeClr val="bg1">
                  <a:lumMod val="85000"/>
                </a:schemeClr>
              </a:solidFill>
              <a:ln w="25400">
                <a:solidFill>
                  <a:schemeClr val="bg1">
                    <a:lumMod val="85000"/>
                  </a:schemeClr>
                </a:solidFill>
              </a:ln>
              <a:effectLst/>
              <a:sp3d contourW="25400">
                <a:contourClr>
                  <a:schemeClr val="bg1">
                    <a:lumMod val="85000"/>
                  </a:schemeClr>
                </a:contourClr>
              </a:sp3d>
            </c:spPr>
          </c:dPt>
          <c:dPt>
            <c:idx val="18"/>
            <c:spPr>
              <a:solidFill>
                <a:schemeClr val="accent1">
                  <a:lumMod val="60000"/>
                  <a:lumOff val="40000"/>
                </a:schemeClr>
              </a:solidFill>
              <a:ln w="25400">
                <a:solidFill>
                  <a:schemeClr val="accent1">
                    <a:lumMod val="60000"/>
                    <a:lumOff val="40000"/>
                  </a:schemeClr>
                </a:solidFill>
              </a:ln>
              <a:effectLst/>
              <a:sp3d contourW="25400">
                <a:contourClr>
                  <a:schemeClr val="accent1">
                    <a:lumMod val="60000"/>
                    <a:lumOff val="40000"/>
                  </a:schemeClr>
                </a:contourClr>
              </a:sp3d>
            </c:spPr>
          </c:dPt>
          <c:dLbls>
            <c:spPr>
              <a:solidFill>
                <a:sysClr val="window" lastClr="FFFFFF"/>
              </a:solidFill>
              <a:ln>
                <a:solidFill>
                  <a:sysClr val="windowText" lastClr="000000">
                    <a:lumMod val="25000"/>
                    <a:lumOff val="75000"/>
                  </a:sysClr>
                </a:solidFill>
              </a:ln>
              <a:effectLst/>
            </c:spPr>
            <c:txPr>
              <a:bodyPr rot="0" spcFirstLastPara="1" vertOverflow="clip" horzOverflow="clip" vert="horz" wrap="square" lIns="38100" tIns="19050" rIns="38100" bIns="19050" anchor="ctr" anchorCtr="1">
                <a:spAutoFit/>
              </a:bodyPr>
              <a:lstStyle/>
              <a:p>
                <a:pPr>
                  <a:defRPr sz="900" b="1" i="0" u="none" strike="noStrike" kern="1200" baseline="0">
                    <a:solidFill>
                      <a:sysClr val="windowText" lastClr="000000"/>
                    </a:solidFill>
                    <a:latin typeface="+mj-lt"/>
                    <a:ea typeface="+mn-ea"/>
                    <a:cs typeface="+mn-cs"/>
                  </a:defRPr>
                </a:pPr>
                <a:endParaRPr lang="fr-FR"/>
              </a:p>
            </c:txPr>
            <c:dLblPos val="outEnd"/>
            <c:showPercent val="1"/>
            <c:extLst>
              <c:ext xmlns:c15="http://schemas.microsoft.com/office/drawing/2012/chart" uri="{CE6537A1-D6FC-4f65-9D91-7224C49458BB}">
                <c15:spPr xmlns:c15="http://schemas.microsoft.com/office/drawing/2012/chart">
                  <a:prstGeom prst="wedgeRectCallout">
                    <a:avLst/>
                  </a:prstGeom>
                  <a:noFill/>
                  <a:ln>
                    <a:noFill/>
                  </a:ln>
                </c15:spPr>
                <c15:layout/>
              </c:ext>
            </c:extLst>
          </c:dLbls>
          <c:cat>
            <c:strRef>
              <c:f>Julien!$A$2:$A$20</c:f>
              <c:strCache>
                <c:ptCount val="19"/>
                <c:pt idx="0">
                  <c:v>Gueules Noires</c:v>
                </c:pt>
                <c:pt idx="1">
                  <c:v>Splendor</c:v>
                </c:pt>
                <c:pt idx="2">
                  <c:v>Abyss</c:v>
                </c:pt>
                <c:pt idx="3">
                  <c:v>Seigneur des Anneaux</c:v>
                </c:pt>
                <c:pt idx="4">
                  <c:v>Agricola</c:v>
                </c:pt>
                <c:pt idx="5">
                  <c:v>Dungeon Petz</c:v>
                </c:pt>
                <c:pt idx="6">
                  <c:v>Terres d'Arle</c:v>
                </c:pt>
                <c:pt idx="7">
                  <c:v>Egizia</c:v>
                </c:pt>
                <c:pt idx="8">
                  <c:v>Les Piliers de la Terre</c:v>
                </c:pt>
                <c:pt idx="9">
                  <c:v>Sherlock Holmes</c:v>
                </c:pt>
                <c:pt idx="10">
                  <c:v>Civilizations</c:v>
                </c:pt>
                <c:pt idx="11">
                  <c:v>Horreur à Arkham</c:v>
                </c:pt>
                <c:pt idx="12">
                  <c:v>Les Princes de Catane</c:v>
                </c:pt>
                <c:pt idx="13">
                  <c:v>Andor</c:v>
                </c:pt>
                <c:pt idx="14">
                  <c:v>Tournay</c:v>
                </c:pt>
                <c:pt idx="15">
                  <c:v>Viceroy</c:v>
                </c:pt>
                <c:pt idx="16">
                  <c:v>Dominant Species</c:v>
                </c:pt>
                <c:pt idx="17">
                  <c:v>L'Age de Pierre</c:v>
                </c:pt>
                <c:pt idx="18">
                  <c:v>Autres (Eri)</c:v>
                </c:pt>
              </c:strCache>
            </c:strRef>
          </c:cat>
          <c:val>
            <c:numRef>
              <c:f>Julien!$E$2:$E$20</c:f>
              <c:numCache>
                <c:formatCode>[h]:mm:ss;@</c:formatCode>
                <c:ptCount val="19"/>
                <c:pt idx="0">
                  <c:v>0</c:v>
                </c:pt>
                <c:pt idx="1">
                  <c:v>2.7777777777777776E-2</c:v>
                </c:pt>
                <c:pt idx="2">
                  <c:v>0.11458333333333334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8.3333333333333329E-2</c:v>
                </c:pt>
                <c:pt idx="18">
                  <c:v>6.25E-2</c:v>
                </c:pt>
              </c:numCache>
            </c:numRef>
          </c:val>
        </c:ser>
      </c:pie3DChart>
      <c:spPr>
        <a:noFill/>
        <a:ln>
          <a:noFill/>
        </a:ln>
        <a:effectLst/>
      </c:spPr>
    </c:plotArea>
    <c:legend>
      <c:legendPos val="b"/>
      <c:layout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 rtl="0">
            <a:defRPr sz="900" b="1" i="0" u="none" strike="noStrike" kern="1200" baseline="0">
              <a:solidFill>
                <a:sysClr val="windowText" lastClr="000000"/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zero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000000000000022" l="0.70000000000000018" r="0.70000000000000018" t="0.75000000000000022" header="0.3000000000000001" footer="0.3000000000000001"/>
    <c:pageSetup/>
  </c:printSettings>
</c:chartSpace>
</file>

<file path=xl/charts/chart10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fr-BE"/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1" i="0" u="none" strike="noStrike" kern="1200" spc="0" baseline="0">
                <a:solidFill>
                  <a:sysClr val="windowText" lastClr="000000"/>
                </a:solidFill>
                <a:latin typeface="+mj-lt"/>
                <a:ea typeface="+mn-ea"/>
                <a:cs typeface="+mn-cs"/>
              </a:defRPr>
            </a:pPr>
            <a:r>
              <a:rPr lang="fr-FR" b="1">
                <a:solidFill>
                  <a:sysClr val="windowText" lastClr="000000"/>
                </a:solidFill>
                <a:latin typeface="+mj-lt"/>
              </a:rPr>
              <a:t>Fréquence des parties de Julien</a:t>
            </a:r>
          </a:p>
        </c:rich>
      </c:tx>
      <c:layout/>
      <c:spPr>
        <a:noFill/>
        <a:ln>
          <a:noFill/>
        </a:ln>
        <a:effectLst/>
      </c:spPr>
    </c:title>
    <c:view3D>
      <c:depthPercent val="100"/>
      <c:rAngAx val="1"/>
    </c:view3D>
    <c:floor>
      <c:spPr>
        <a:noFill/>
        <a:ln>
          <a:noFill/>
        </a:ln>
        <a:effectLst/>
        <a:sp3d/>
      </c:spPr>
    </c:floor>
    <c:sideWall>
      <c:spPr>
        <a:noFill/>
        <a:ln>
          <a:noFill/>
        </a:ln>
        <a:effectLst/>
        <a:sp3d/>
      </c:spPr>
    </c:sideWall>
    <c:backWall>
      <c:spPr>
        <a:noFill/>
        <a:ln>
          <a:noFill/>
        </a:ln>
        <a:effectLst/>
        <a:sp3d/>
      </c:spPr>
    </c:backWall>
    <c:plotArea>
      <c:layout/>
      <c:bar3DChart>
        <c:barDir val="col"/>
        <c:grouping val="clustered"/>
        <c:ser>
          <c:idx val="0"/>
          <c:order val="0"/>
          <c:spPr>
            <a:solidFill>
              <a:srgbClr val="00FF00"/>
            </a:solidFill>
            <a:ln>
              <a:solidFill>
                <a:srgbClr val="00B050"/>
              </a:solidFill>
            </a:ln>
            <a:effectLst/>
            <a:sp3d>
              <a:contourClr>
                <a:srgbClr val="00B050"/>
              </a:contourClr>
            </a:sp3d>
          </c:spPr>
          <c:cat>
            <c:numRef>
              <c:f>Julien!$A$25:$A$34</c:f>
              <c:numCache>
                <c:formatCode>mmm\-yy</c:formatCode>
                <c:ptCount val="10"/>
                <c:pt idx="0">
                  <c:v>42248</c:v>
                </c:pt>
                <c:pt idx="1">
                  <c:v>42278</c:v>
                </c:pt>
                <c:pt idx="2">
                  <c:v>42309</c:v>
                </c:pt>
                <c:pt idx="3">
                  <c:v>42339</c:v>
                </c:pt>
                <c:pt idx="4">
                  <c:v>42370</c:v>
                </c:pt>
                <c:pt idx="5">
                  <c:v>42401</c:v>
                </c:pt>
                <c:pt idx="6">
                  <c:v>42430</c:v>
                </c:pt>
                <c:pt idx="7">
                  <c:v>42461</c:v>
                </c:pt>
                <c:pt idx="8">
                  <c:v>42491</c:v>
                </c:pt>
                <c:pt idx="9">
                  <c:v>42522</c:v>
                </c:pt>
              </c:numCache>
            </c:numRef>
          </c:cat>
          <c:val>
            <c:numRef>
              <c:f>Julien!$B$25:$B$34</c:f>
              <c:numCache>
                <c:formatCode>General</c:formatCode>
                <c:ptCount val="10"/>
                <c:pt idx="0">
                  <c:v>2</c:v>
                </c:pt>
                <c:pt idx="1">
                  <c:v>2</c:v>
                </c:pt>
                <c:pt idx="2">
                  <c:v>1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</c:numCache>
            </c:numRef>
          </c:val>
        </c:ser>
        <c:shape val="box"/>
        <c:axId val="95758592"/>
        <c:axId val="95760384"/>
        <c:axId val="0"/>
      </c:bar3DChart>
      <c:dateAx>
        <c:axId val="95758592"/>
        <c:scaling>
          <c:orientation val="minMax"/>
        </c:scaling>
        <c:axPos val="b"/>
        <c:numFmt formatCode="mmm\-yy" sourceLinked="1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95760384"/>
        <c:crosses val="autoZero"/>
        <c:auto val="1"/>
        <c:lblOffset val="100"/>
        <c:baseTimeUnit val="months"/>
      </c:dateAx>
      <c:valAx>
        <c:axId val="95760384"/>
        <c:scaling>
          <c:orientation val="minMax"/>
          <c:max val="7"/>
        </c:scaling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95758592"/>
        <c:crosses val="autoZero"/>
        <c:crossBetween val="between"/>
        <c:majorUnit val="1"/>
      </c:valAx>
      <c:spPr>
        <a:noFill/>
        <a:ln>
          <a:noFill/>
        </a:ln>
        <a:effectLst/>
      </c:spPr>
    </c:plotArea>
    <c:plotVisOnly val="1"/>
    <c:dispBlanksAs val="gap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000000000000022" l="0.70000000000000018" r="0.70000000000000018" t="0.75000000000000022" header="0.3000000000000001" footer="0.3000000000000001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5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6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7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86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62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ln w="19050">
        <a:solidFill>
          <a:schemeClr val="lt1"/>
        </a:solidFill>
      </a:ln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ln w="25400">
        <a:solidFill>
          <a:schemeClr val="lt1"/>
        </a:solidFill>
      </a:ln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262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ln w="19050">
        <a:solidFill>
          <a:schemeClr val="lt1"/>
        </a:solidFill>
      </a:ln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ln w="25400">
        <a:solidFill>
          <a:schemeClr val="lt1"/>
        </a:solidFill>
      </a:ln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4.xml><?xml version="1.0" encoding="utf-8"?>
<cs:chartStyle xmlns:cs="http://schemas.microsoft.com/office/drawing/2012/chartStyle" xmlns:a="http://schemas.openxmlformats.org/drawingml/2006/main" id="286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5.xml><?xml version="1.0" encoding="utf-8"?>
<cs:chartStyle xmlns:cs="http://schemas.microsoft.com/office/drawing/2012/chartStyle" xmlns:a="http://schemas.openxmlformats.org/drawingml/2006/main" id="262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ln w="19050">
        <a:solidFill>
          <a:schemeClr val="lt1"/>
        </a:solidFill>
      </a:ln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ln w="25400">
        <a:solidFill>
          <a:schemeClr val="lt1"/>
        </a:solidFill>
      </a:ln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6.xml><?xml version="1.0" encoding="utf-8"?>
<cs:chartStyle xmlns:cs="http://schemas.microsoft.com/office/drawing/2012/chartStyle" xmlns:a="http://schemas.openxmlformats.org/drawingml/2006/main" id="262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ln w="19050">
        <a:solidFill>
          <a:schemeClr val="lt1"/>
        </a:solidFill>
      </a:ln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ln w="25400">
        <a:solidFill>
          <a:schemeClr val="lt1"/>
        </a:solidFill>
      </a:ln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7.xml><?xml version="1.0" encoding="utf-8"?>
<cs:chartStyle xmlns:cs="http://schemas.microsoft.com/office/drawing/2012/chartStyle" xmlns:a="http://schemas.openxmlformats.org/drawingml/2006/main" id="286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chart" Target="../charts/chart4.xml"/><Relationship Id="rId2" Type="http://schemas.openxmlformats.org/officeDocument/2006/relationships/chart" Target="../charts/chart3.xml"/><Relationship Id="rId1" Type="http://schemas.openxmlformats.org/officeDocument/2006/relationships/chart" Target="../charts/chart2.xml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chart" Target="../charts/chart7.xml"/><Relationship Id="rId2" Type="http://schemas.openxmlformats.org/officeDocument/2006/relationships/chart" Target="../charts/chart6.xml"/><Relationship Id="rId1" Type="http://schemas.openxmlformats.org/officeDocument/2006/relationships/chart" Target="../charts/chart5.xml"/></Relationships>
</file>

<file path=xl/drawings/_rels/drawing4.xml.rels><?xml version="1.0" encoding="UTF-8" standalone="yes"?>
<Relationships xmlns="http://schemas.openxmlformats.org/package/2006/relationships"><Relationship Id="rId3" Type="http://schemas.openxmlformats.org/officeDocument/2006/relationships/chart" Target="../charts/chart10.xml"/><Relationship Id="rId2" Type="http://schemas.openxmlformats.org/officeDocument/2006/relationships/chart" Target="../charts/chart9.xml"/><Relationship Id="rId1" Type="http://schemas.openxmlformats.org/officeDocument/2006/relationships/chart" Target="../charts/chart8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742949</xdr:colOff>
      <xdr:row>0</xdr:row>
      <xdr:rowOff>123825</xdr:rowOff>
    </xdr:from>
    <xdr:to>
      <xdr:col>12</xdr:col>
      <xdr:colOff>523874</xdr:colOff>
      <xdr:row>19</xdr:row>
      <xdr:rowOff>85725</xdr:rowOff>
    </xdr:to>
    <xdr:graphicFrame macro="">
      <xdr:nvGraphicFramePr>
        <xdr:cNvPr id="2" name="Graphique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104774</xdr:colOff>
      <xdr:row>1</xdr:row>
      <xdr:rowOff>57150</xdr:rowOff>
    </xdr:from>
    <xdr:to>
      <xdr:col>10</xdr:col>
      <xdr:colOff>104775</xdr:colOff>
      <xdr:row>21</xdr:row>
      <xdr:rowOff>19050</xdr:rowOff>
    </xdr:to>
    <xdr:graphicFrame macro="">
      <xdr:nvGraphicFramePr>
        <xdr:cNvPr id="2" name="Graphique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10</xdr:col>
      <xdr:colOff>114300</xdr:colOff>
      <xdr:row>1</xdr:row>
      <xdr:rowOff>66675</xdr:rowOff>
    </xdr:from>
    <xdr:to>
      <xdr:col>14</xdr:col>
      <xdr:colOff>723900</xdr:colOff>
      <xdr:row>21</xdr:row>
      <xdr:rowOff>9525</xdr:rowOff>
    </xdr:to>
    <xdr:graphicFrame macro="">
      <xdr:nvGraphicFramePr>
        <xdr:cNvPr id="3" name="Graphique 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2</xdr:col>
      <xdr:colOff>228600</xdr:colOff>
      <xdr:row>23</xdr:row>
      <xdr:rowOff>38100</xdr:rowOff>
    </xdr:from>
    <xdr:to>
      <xdr:col>9</xdr:col>
      <xdr:colOff>742950</xdr:colOff>
      <xdr:row>36</xdr:row>
      <xdr:rowOff>38100</xdr:rowOff>
    </xdr:to>
    <xdr:graphicFrame macro="">
      <xdr:nvGraphicFramePr>
        <xdr:cNvPr id="4" name="Graphique 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104774</xdr:colOff>
      <xdr:row>0</xdr:row>
      <xdr:rowOff>57150</xdr:rowOff>
    </xdr:from>
    <xdr:to>
      <xdr:col>10</xdr:col>
      <xdr:colOff>104775</xdr:colOff>
      <xdr:row>20</xdr:row>
      <xdr:rowOff>19050</xdr:rowOff>
    </xdr:to>
    <xdr:graphicFrame macro="">
      <xdr:nvGraphicFramePr>
        <xdr:cNvPr id="2" name="Graphique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10</xdr:col>
      <xdr:colOff>114300</xdr:colOff>
      <xdr:row>0</xdr:row>
      <xdr:rowOff>66675</xdr:rowOff>
    </xdr:from>
    <xdr:to>
      <xdr:col>14</xdr:col>
      <xdr:colOff>723900</xdr:colOff>
      <xdr:row>20</xdr:row>
      <xdr:rowOff>9525</xdr:rowOff>
    </xdr:to>
    <xdr:graphicFrame macro="">
      <xdr:nvGraphicFramePr>
        <xdr:cNvPr id="3" name="Graphique 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2</xdr:col>
      <xdr:colOff>228600</xdr:colOff>
      <xdr:row>22</xdr:row>
      <xdr:rowOff>38100</xdr:rowOff>
    </xdr:from>
    <xdr:to>
      <xdr:col>9</xdr:col>
      <xdr:colOff>742950</xdr:colOff>
      <xdr:row>35</xdr:row>
      <xdr:rowOff>38100</xdr:rowOff>
    </xdr:to>
    <xdr:graphicFrame macro="">
      <xdr:nvGraphicFramePr>
        <xdr:cNvPr id="4" name="Graphique 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104774</xdr:colOff>
      <xdr:row>0</xdr:row>
      <xdr:rowOff>57150</xdr:rowOff>
    </xdr:from>
    <xdr:to>
      <xdr:col>10</xdr:col>
      <xdr:colOff>104775</xdr:colOff>
      <xdr:row>21</xdr:row>
      <xdr:rowOff>19050</xdr:rowOff>
    </xdr:to>
    <xdr:graphicFrame macro="">
      <xdr:nvGraphicFramePr>
        <xdr:cNvPr id="2" name="Graphique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10</xdr:col>
      <xdr:colOff>114300</xdr:colOff>
      <xdr:row>0</xdr:row>
      <xdr:rowOff>66675</xdr:rowOff>
    </xdr:from>
    <xdr:to>
      <xdr:col>14</xdr:col>
      <xdr:colOff>723900</xdr:colOff>
      <xdr:row>21</xdr:row>
      <xdr:rowOff>9525</xdr:rowOff>
    </xdr:to>
    <xdr:graphicFrame macro="">
      <xdr:nvGraphicFramePr>
        <xdr:cNvPr id="3" name="Graphique 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2</xdr:col>
      <xdr:colOff>228600</xdr:colOff>
      <xdr:row>23</xdr:row>
      <xdr:rowOff>38100</xdr:rowOff>
    </xdr:from>
    <xdr:to>
      <xdr:col>9</xdr:col>
      <xdr:colOff>742950</xdr:colOff>
      <xdr:row>34</xdr:row>
      <xdr:rowOff>42862</xdr:rowOff>
    </xdr:to>
    <xdr:graphicFrame macro="">
      <xdr:nvGraphicFramePr>
        <xdr:cNvPr id="4" name="Graphique 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I250"/>
  <sheetViews>
    <sheetView workbookViewId="0">
      <pane ySplit="1" topLeftCell="A2" activePane="bottomLeft" state="frozen"/>
      <selection pane="bottomLeft" activeCell="E2" sqref="E2:E29"/>
    </sheetView>
  </sheetViews>
  <sheetFormatPr baseColWidth="10" defaultColWidth="9.140625" defaultRowHeight="15"/>
  <cols>
    <col min="1" max="1" width="11.5703125" customWidth="1"/>
    <col min="2" max="2" width="25.85546875" customWidth="1"/>
    <col min="3" max="3" width="18.7109375" customWidth="1"/>
    <col min="4" max="4" width="12.85546875" customWidth="1"/>
    <col min="5" max="5" width="27.42578125" customWidth="1"/>
    <col min="6" max="6" width="18.140625" customWidth="1"/>
    <col min="7" max="7" width="10.28515625" style="39" customWidth="1"/>
    <col min="8" max="8" width="2" customWidth="1"/>
    <col min="9" max="9" width="18.5703125" customWidth="1"/>
  </cols>
  <sheetData>
    <row r="1" spans="1:9" ht="33" customHeight="1" thickBot="1">
      <c r="A1" s="24" t="s">
        <v>0</v>
      </c>
      <c r="B1" s="25" t="s">
        <v>1</v>
      </c>
      <c r="C1" s="26" t="s">
        <v>40</v>
      </c>
      <c r="D1" s="26" t="s">
        <v>8</v>
      </c>
      <c r="E1" s="25" t="s">
        <v>2</v>
      </c>
      <c r="F1" s="27" t="s">
        <v>3</v>
      </c>
      <c r="G1" s="30" t="s">
        <v>32</v>
      </c>
    </row>
    <row r="2" spans="1:9" ht="15.75" thickBot="1">
      <c r="A2" s="22">
        <v>42251</v>
      </c>
      <c r="B2" s="23" t="s">
        <v>4</v>
      </c>
      <c r="C2" s="23" t="s">
        <v>5</v>
      </c>
      <c r="D2" s="23">
        <v>2</v>
      </c>
      <c r="E2" s="59" t="s">
        <v>46</v>
      </c>
      <c r="F2" s="23" t="s">
        <v>55</v>
      </c>
      <c r="G2" s="36" t="s">
        <v>33</v>
      </c>
    </row>
    <row r="3" spans="1:9" ht="15" customHeight="1">
      <c r="A3" s="3">
        <v>42255</v>
      </c>
      <c r="B3" s="2" t="s">
        <v>6</v>
      </c>
      <c r="C3" s="21">
        <v>4.1666666666666664E-2</v>
      </c>
      <c r="D3" s="2">
        <v>3</v>
      </c>
      <c r="E3" s="38" t="s">
        <v>47</v>
      </c>
      <c r="F3" s="2" t="s">
        <v>55</v>
      </c>
      <c r="G3" s="37" t="s">
        <v>33</v>
      </c>
      <c r="I3" s="40" t="s">
        <v>35</v>
      </c>
    </row>
    <row r="4" spans="1:9" ht="15" customHeight="1" thickBot="1">
      <c r="A4" s="3">
        <v>42260</v>
      </c>
      <c r="B4" s="2" t="s">
        <v>7</v>
      </c>
      <c r="C4" s="21">
        <v>8.3333333333333329E-2</v>
      </c>
      <c r="D4" s="2">
        <v>2</v>
      </c>
      <c r="E4" s="38" t="s">
        <v>48</v>
      </c>
      <c r="F4" s="2" t="s">
        <v>55</v>
      </c>
      <c r="G4" s="37" t="s">
        <v>33</v>
      </c>
      <c r="I4" s="41" t="s">
        <v>36</v>
      </c>
    </row>
    <row r="5" spans="1:9">
      <c r="A5" s="3">
        <v>42272</v>
      </c>
      <c r="B5" s="2" t="s">
        <v>9</v>
      </c>
      <c r="C5" s="21">
        <v>3.8194444444444441E-2</v>
      </c>
      <c r="D5" s="2">
        <v>2</v>
      </c>
      <c r="E5" s="59" t="s">
        <v>46</v>
      </c>
      <c r="F5" s="2" t="s">
        <v>55</v>
      </c>
      <c r="G5" s="37" t="s">
        <v>33</v>
      </c>
    </row>
    <row r="6" spans="1:9">
      <c r="A6" s="3">
        <v>42274</v>
      </c>
      <c r="B6" s="2" t="s">
        <v>6</v>
      </c>
      <c r="C6" s="21">
        <v>2.7777777777777776E-2</v>
      </c>
      <c r="D6" s="2">
        <v>3</v>
      </c>
      <c r="E6" s="38" t="s">
        <v>49</v>
      </c>
      <c r="F6" s="2" t="s">
        <v>55</v>
      </c>
      <c r="G6" s="37" t="s">
        <v>33</v>
      </c>
    </row>
    <row r="7" spans="1:9">
      <c r="A7" s="3">
        <v>42275</v>
      </c>
      <c r="B7" s="2" t="s">
        <v>6</v>
      </c>
      <c r="C7" s="21">
        <v>2.4305555555555556E-2</v>
      </c>
      <c r="D7" s="2">
        <v>2</v>
      </c>
      <c r="E7" s="59" t="s">
        <v>46</v>
      </c>
      <c r="F7" s="2" t="s">
        <v>10</v>
      </c>
      <c r="G7" s="37" t="s">
        <v>33</v>
      </c>
    </row>
    <row r="8" spans="1:9" ht="15.75" thickBot="1">
      <c r="A8" s="54">
        <v>42275</v>
      </c>
      <c r="B8" s="55" t="s">
        <v>6</v>
      </c>
      <c r="C8" s="56">
        <v>2.0833333333333332E-2</v>
      </c>
      <c r="D8" s="55">
        <v>2</v>
      </c>
      <c r="E8" s="60" t="s">
        <v>46</v>
      </c>
      <c r="F8" s="55" t="s">
        <v>56</v>
      </c>
      <c r="G8" s="57" t="s">
        <v>33</v>
      </c>
    </row>
    <row r="9" spans="1:9">
      <c r="A9" s="22">
        <v>42280</v>
      </c>
      <c r="B9" s="23" t="s">
        <v>4</v>
      </c>
      <c r="C9" s="52">
        <v>7.2916666666666671E-2</v>
      </c>
      <c r="D9" s="23">
        <v>2</v>
      </c>
      <c r="E9" s="59" t="s">
        <v>46</v>
      </c>
      <c r="F9" s="23" t="s">
        <v>56</v>
      </c>
      <c r="G9" s="53" t="s">
        <v>33</v>
      </c>
    </row>
    <row r="10" spans="1:9">
      <c r="A10" s="3">
        <v>42280</v>
      </c>
      <c r="B10" s="2" t="s">
        <v>9</v>
      </c>
      <c r="C10" s="21">
        <v>3.125E-2</v>
      </c>
      <c r="D10" s="2">
        <v>2</v>
      </c>
      <c r="E10" s="59" t="s">
        <v>46</v>
      </c>
      <c r="F10" s="2" t="s">
        <v>56</v>
      </c>
      <c r="G10" s="37" t="s">
        <v>33</v>
      </c>
    </row>
    <row r="11" spans="1:9">
      <c r="A11" s="3">
        <v>42280</v>
      </c>
      <c r="B11" s="2" t="s">
        <v>9</v>
      </c>
      <c r="C11" s="21">
        <v>3.125E-2</v>
      </c>
      <c r="D11" s="2">
        <v>2</v>
      </c>
      <c r="E11" s="59" t="s">
        <v>46</v>
      </c>
      <c r="F11" s="2" t="s">
        <v>55</v>
      </c>
      <c r="G11" s="37" t="s">
        <v>33</v>
      </c>
    </row>
    <row r="12" spans="1:9">
      <c r="A12" s="3">
        <v>42292</v>
      </c>
      <c r="B12" s="2" t="s">
        <v>9</v>
      </c>
      <c r="C12" s="21">
        <v>4.1666666666666664E-2</v>
      </c>
      <c r="D12" s="2">
        <v>2</v>
      </c>
      <c r="E12" s="38" t="s">
        <v>50</v>
      </c>
      <c r="F12" s="2" t="s">
        <v>55</v>
      </c>
      <c r="G12" s="37" t="s">
        <v>33</v>
      </c>
    </row>
    <row r="13" spans="1:9">
      <c r="A13" s="3">
        <v>42292</v>
      </c>
      <c r="B13" s="2" t="s">
        <v>6</v>
      </c>
      <c r="C13" s="21">
        <v>3.4722222222222224E-2</v>
      </c>
      <c r="D13" s="2">
        <v>2</v>
      </c>
      <c r="E13" s="38" t="s">
        <v>50</v>
      </c>
      <c r="F13" s="2" t="s">
        <v>55</v>
      </c>
      <c r="G13" s="37" t="s">
        <v>33</v>
      </c>
    </row>
    <row r="14" spans="1:9">
      <c r="A14" s="3">
        <v>42292</v>
      </c>
      <c r="B14" s="2" t="s">
        <v>12</v>
      </c>
      <c r="C14" s="21">
        <v>7.2916666666666671E-2</v>
      </c>
      <c r="D14" s="2">
        <v>2</v>
      </c>
      <c r="E14" s="38" t="s">
        <v>50</v>
      </c>
      <c r="F14" s="2" t="s">
        <v>55</v>
      </c>
      <c r="G14" s="37" t="s">
        <v>33</v>
      </c>
    </row>
    <row r="15" spans="1:9">
      <c r="A15" s="3">
        <v>42296</v>
      </c>
      <c r="B15" s="2" t="s">
        <v>9</v>
      </c>
      <c r="C15" s="21">
        <v>5.2083333333333336E-2</v>
      </c>
      <c r="D15" s="2">
        <v>3</v>
      </c>
      <c r="E15" s="38" t="s">
        <v>54</v>
      </c>
      <c r="F15" s="2" t="s">
        <v>25</v>
      </c>
      <c r="G15" s="37" t="s">
        <v>33</v>
      </c>
    </row>
    <row r="16" spans="1:9">
      <c r="A16" s="3">
        <v>42296</v>
      </c>
      <c r="B16" s="42" t="s">
        <v>41</v>
      </c>
      <c r="C16" s="21">
        <v>6.25E-2</v>
      </c>
      <c r="D16" s="2">
        <v>3</v>
      </c>
      <c r="E16" s="38" t="s">
        <v>54</v>
      </c>
      <c r="F16" s="2" t="s">
        <v>55</v>
      </c>
      <c r="G16" s="37" t="s">
        <v>33</v>
      </c>
    </row>
    <row r="17" spans="1:7">
      <c r="A17" s="3">
        <v>42298</v>
      </c>
      <c r="B17" s="2" t="s">
        <v>28</v>
      </c>
      <c r="C17" s="21">
        <v>4.1666666666666664E-2</v>
      </c>
      <c r="D17" s="2">
        <v>2</v>
      </c>
      <c r="E17" s="59" t="s">
        <v>46</v>
      </c>
      <c r="F17" s="2" t="s">
        <v>55</v>
      </c>
      <c r="G17" s="37" t="s">
        <v>33</v>
      </c>
    </row>
    <row r="18" spans="1:7">
      <c r="A18" s="3">
        <v>42303</v>
      </c>
      <c r="B18" s="42" t="s">
        <v>42</v>
      </c>
      <c r="C18" s="21">
        <v>6.25E-2</v>
      </c>
      <c r="D18" s="2">
        <v>2</v>
      </c>
      <c r="E18" s="38" t="s">
        <v>50</v>
      </c>
      <c r="F18" s="2" t="s">
        <v>26</v>
      </c>
      <c r="G18" s="37" t="s">
        <v>33</v>
      </c>
    </row>
    <row r="19" spans="1:7">
      <c r="A19" s="3">
        <v>42303</v>
      </c>
      <c r="B19" s="42" t="s">
        <v>42</v>
      </c>
      <c r="C19" s="21">
        <v>4.1666666666666664E-2</v>
      </c>
      <c r="D19" s="2">
        <v>2</v>
      </c>
      <c r="E19" s="38" t="s">
        <v>50</v>
      </c>
      <c r="F19" s="2" t="s">
        <v>26</v>
      </c>
      <c r="G19" s="37" t="s">
        <v>33</v>
      </c>
    </row>
    <row r="20" spans="1:7">
      <c r="A20" s="3">
        <v>42303</v>
      </c>
      <c r="B20" s="2" t="s">
        <v>28</v>
      </c>
      <c r="C20" s="21">
        <v>2.7777777777777776E-2</v>
      </c>
      <c r="D20" s="2">
        <v>2</v>
      </c>
      <c r="E20" s="38" t="s">
        <v>50</v>
      </c>
      <c r="F20" s="2" t="s">
        <v>55</v>
      </c>
      <c r="G20" s="37" t="s">
        <v>33</v>
      </c>
    </row>
    <row r="21" spans="1:7" ht="18.75" customHeight="1" thickBot="1">
      <c r="A21" s="54">
        <v>42303</v>
      </c>
      <c r="B21" s="58" t="s">
        <v>43</v>
      </c>
      <c r="C21" s="56">
        <v>4.1666666666666664E-2</v>
      </c>
      <c r="D21" s="55">
        <v>2</v>
      </c>
      <c r="E21" s="60" t="s">
        <v>50</v>
      </c>
      <c r="F21" s="55" t="s">
        <v>55</v>
      </c>
      <c r="G21" s="57" t="s">
        <v>33</v>
      </c>
    </row>
    <row r="22" spans="1:7">
      <c r="A22" s="22">
        <v>42309</v>
      </c>
      <c r="B22" s="23" t="s">
        <v>29</v>
      </c>
      <c r="C22" s="52">
        <v>0.13541666666666666</v>
      </c>
      <c r="D22" s="23">
        <v>2</v>
      </c>
      <c r="E22" s="59" t="s">
        <v>46</v>
      </c>
      <c r="F22" s="23" t="s">
        <v>56</v>
      </c>
      <c r="G22" s="53" t="s">
        <v>33</v>
      </c>
    </row>
    <row r="23" spans="1:7">
      <c r="A23" s="3">
        <v>42324</v>
      </c>
      <c r="B23" s="2" t="s">
        <v>9</v>
      </c>
      <c r="C23" s="21">
        <v>6.25E-2</v>
      </c>
      <c r="D23" s="2">
        <v>4</v>
      </c>
      <c r="E23" s="38" t="s">
        <v>51</v>
      </c>
      <c r="F23" s="2" t="s">
        <v>55</v>
      </c>
      <c r="G23" s="37" t="s">
        <v>33</v>
      </c>
    </row>
    <row r="24" spans="1:7">
      <c r="A24" s="3">
        <v>42324</v>
      </c>
      <c r="B24" s="2" t="s">
        <v>30</v>
      </c>
      <c r="C24" s="21">
        <v>9.375E-2</v>
      </c>
      <c r="D24" s="2">
        <v>2</v>
      </c>
      <c r="E24" s="38" t="s">
        <v>50</v>
      </c>
      <c r="F24" s="2" t="s">
        <v>55</v>
      </c>
      <c r="G24" s="37" t="s">
        <v>33</v>
      </c>
    </row>
    <row r="25" spans="1:7" ht="15.75" thickBot="1">
      <c r="A25" s="54">
        <v>42329</v>
      </c>
      <c r="B25" s="55" t="s">
        <v>15</v>
      </c>
      <c r="C25" s="56">
        <v>0.16666666666666666</v>
      </c>
      <c r="D25" s="55">
        <v>3</v>
      </c>
      <c r="E25" s="60" t="s">
        <v>52</v>
      </c>
      <c r="F25" s="55" t="s">
        <v>31</v>
      </c>
      <c r="G25" s="57" t="s">
        <v>34</v>
      </c>
    </row>
    <row r="26" spans="1:7">
      <c r="A26" s="22">
        <v>42348</v>
      </c>
      <c r="B26" s="23" t="s">
        <v>6</v>
      </c>
      <c r="C26" s="52">
        <v>2.0833333333333332E-2</v>
      </c>
      <c r="D26" s="23">
        <v>2</v>
      </c>
      <c r="E26" s="59" t="s">
        <v>53</v>
      </c>
      <c r="F26" s="2" t="s">
        <v>55</v>
      </c>
      <c r="G26" s="59" t="s">
        <v>33</v>
      </c>
    </row>
    <row r="27" spans="1:7" ht="15.75" thickBot="1">
      <c r="A27" s="54">
        <v>42348</v>
      </c>
      <c r="B27" s="55" t="s">
        <v>18</v>
      </c>
      <c r="C27" s="56">
        <v>3.8194444444444441E-2</v>
      </c>
      <c r="D27" s="55">
        <v>2</v>
      </c>
      <c r="E27" s="60" t="s">
        <v>53</v>
      </c>
      <c r="F27" s="55" t="s">
        <v>55</v>
      </c>
      <c r="G27" s="60" t="s">
        <v>33</v>
      </c>
    </row>
    <row r="28" spans="1:7">
      <c r="A28" s="22">
        <v>42373</v>
      </c>
      <c r="B28" s="23" t="s">
        <v>45</v>
      </c>
      <c r="C28" s="52">
        <v>2.7777777777777776E-2</v>
      </c>
      <c r="D28" s="23">
        <v>2</v>
      </c>
      <c r="E28" s="59" t="s">
        <v>46</v>
      </c>
      <c r="F28" s="23" t="s">
        <v>55</v>
      </c>
      <c r="G28" s="59" t="s">
        <v>33</v>
      </c>
    </row>
    <row r="29" spans="1:7">
      <c r="A29" s="3">
        <v>42374</v>
      </c>
      <c r="B29" s="23" t="s">
        <v>45</v>
      </c>
      <c r="C29" s="21">
        <v>3.4722222222222224E-2</v>
      </c>
      <c r="D29" s="2">
        <v>2</v>
      </c>
      <c r="E29" s="59" t="s">
        <v>46</v>
      </c>
      <c r="F29" s="2" t="s">
        <v>55</v>
      </c>
      <c r="G29" s="38" t="s">
        <v>33</v>
      </c>
    </row>
    <row r="30" spans="1:7">
      <c r="A30" s="3"/>
      <c r="B30" s="2"/>
      <c r="C30" s="21"/>
      <c r="D30" s="2"/>
      <c r="E30" s="38"/>
      <c r="F30" s="2"/>
      <c r="G30" s="38"/>
    </row>
    <row r="31" spans="1:7">
      <c r="A31" s="3"/>
      <c r="B31" s="2"/>
      <c r="C31" s="21"/>
      <c r="D31" s="2"/>
      <c r="E31" s="38"/>
      <c r="F31" s="2"/>
      <c r="G31" s="38"/>
    </row>
    <row r="32" spans="1:7">
      <c r="A32" s="3"/>
      <c r="B32" s="2"/>
      <c r="C32" s="21"/>
      <c r="D32" s="2"/>
      <c r="E32" s="38"/>
      <c r="F32" s="2"/>
      <c r="G32" s="38"/>
    </row>
    <row r="33" spans="1:7">
      <c r="A33" s="3"/>
      <c r="B33" s="2"/>
      <c r="C33" s="21"/>
      <c r="D33" s="2"/>
      <c r="E33" s="38"/>
      <c r="F33" s="2"/>
      <c r="G33" s="38"/>
    </row>
    <row r="34" spans="1:7">
      <c r="A34" s="3"/>
      <c r="B34" s="2"/>
      <c r="C34" s="21"/>
      <c r="D34" s="2"/>
      <c r="E34" s="38"/>
      <c r="F34" s="2"/>
      <c r="G34" s="38"/>
    </row>
    <row r="35" spans="1:7">
      <c r="A35" s="3"/>
      <c r="B35" s="2"/>
      <c r="C35" s="21"/>
      <c r="D35" s="2"/>
      <c r="E35" s="38"/>
      <c r="F35" s="2"/>
      <c r="G35" s="38"/>
    </row>
    <row r="36" spans="1:7">
      <c r="A36" s="3"/>
      <c r="B36" s="2"/>
      <c r="C36" s="21"/>
      <c r="D36" s="2"/>
      <c r="E36" s="38"/>
      <c r="F36" s="2"/>
      <c r="G36" s="38"/>
    </row>
    <row r="37" spans="1:7">
      <c r="A37" s="3"/>
      <c r="B37" s="2"/>
      <c r="C37" s="21"/>
      <c r="D37" s="2"/>
      <c r="E37" s="38"/>
      <c r="F37" s="2"/>
      <c r="G37" s="38"/>
    </row>
    <row r="38" spans="1:7">
      <c r="A38" s="3"/>
      <c r="B38" s="2"/>
      <c r="C38" s="21"/>
      <c r="D38" s="2"/>
      <c r="E38" s="38"/>
      <c r="F38" s="2"/>
      <c r="G38" s="38"/>
    </row>
    <row r="39" spans="1:7">
      <c r="A39" s="3"/>
      <c r="B39" s="2"/>
      <c r="C39" s="21"/>
      <c r="D39" s="2"/>
      <c r="E39" s="38"/>
      <c r="F39" s="2"/>
      <c r="G39" s="38"/>
    </row>
    <row r="40" spans="1:7">
      <c r="A40" s="3"/>
      <c r="B40" s="2"/>
      <c r="C40" s="21"/>
      <c r="D40" s="2"/>
      <c r="E40" s="38"/>
      <c r="F40" s="2"/>
      <c r="G40" s="38"/>
    </row>
    <row r="41" spans="1:7">
      <c r="A41" s="3"/>
      <c r="B41" s="2"/>
      <c r="C41" s="21"/>
      <c r="D41" s="2"/>
      <c r="E41" s="38"/>
      <c r="F41" s="2"/>
      <c r="G41" s="38"/>
    </row>
    <row r="42" spans="1:7">
      <c r="A42" s="3"/>
      <c r="B42" s="2"/>
      <c r="C42" s="21"/>
      <c r="D42" s="2"/>
      <c r="E42" s="38"/>
      <c r="F42" s="2"/>
      <c r="G42" s="38"/>
    </row>
    <row r="43" spans="1:7">
      <c r="A43" s="3"/>
      <c r="B43" s="2"/>
      <c r="C43" s="21"/>
      <c r="D43" s="2"/>
      <c r="E43" s="38"/>
      <c r="F43" s="2"/>
      <c r="G43" s="38"/>
    </row>
    <row r="44" spans="1:7">
      <c r="A44" s="3"/>
      <c r="B44" s="2"/>
      <c r="C44" s="21"/>
      <c r="D44" s="2"/>
      <c r="E44" s="38"/>
      <c r="F44" s="2"/>
      <c r="G44" s="38"/>
    </row>
    <row r="45" spans="1:7">
      <c r="A45" s="3"/>
      <c r="B45" s="2"/>
      <c r="C45" s="21"/>
      <c r="D45" s="2"/>
      <c r="E45" s="38"/>
      <c r="F45" s="2"/>
      <c r="G45" s="38"/>
    </row>
    <row r="46" spans="1:7">
      <c r="A46" s="3"/>
      <c r="B46" s="2"/>
      <c r="C46" s="21"/>
      <c r="D46" s="2"/>
      <c r="E46" s="38"/>
      <c r="F46" s="2"/>
      <c r="G46" s="38"/>
    </row>
    <row r="47" spans="1:7">
      <c r="A47" s="3"/>
      <c r="B47" s="2"/>
      <c r="C47" s="21"/>
      <c r="D47" s="2"/>
      <c r="E47" s="38"/>
      <c r="F47" s="2"/>
      <c r="G47" s="38"/>
    </row>
    <row r="48" spans="1:7">
      <c r="A48" s="3"/>
      <c r="B48" s="2"/>
      <c r="C48" s="21"/>
      <c r="D48" s="2"/>
      <c r="E48" s="38"/>
      <c r="F48" s="2"/>
      <c r="G48" s="38"/>
    </row>
    <row r="49" spans="1:7">
      <c r="A49" s="3"/>
      <c r="B49" s="2"/>
      <c r="C49" s="21"/>
      <c r="D49" s="2"/>
      <c r="E49" s="38"/>
      <c r="F49" s="2"/>
      <c r="G49" s="38"/>
    </row>
    <row r="50" spans="1:7">
      <c r="A50" s="3"/>
      <c r="B50" s="2"/>
      <c r="C50" s="21"/>
      <c r="D50" s="2"/>
      <c r="E50" s="38"/>
      <c r="F50" s="2"/>
      <c r="G50" s="38"/>
    </row>
    <row r="51" spans="1:7">
      <c r="A51" s="3"/>
      <c r="B51" s="2"/>
      <c r="C51" s="21"/>
      <c r="D51" s="2"/>
      <c r="E51" s="38"/>
      <c r="F51" s="2"/>
      <c r="G51" s="38"/>
    </row>
    <row r="52" spans="1:7">
      <c r="A52" s="3"/>
      <c r="B52" s="2"/>
      <c r="C52" s="21"/>
      <c r="D52" s="2"/>
      <c r="E52" s="38"/>
      <c r="F52" s="2"/>
      <c r="G52" s="38"/>
    </row>
    <row r="53" spans="1:7">
      <c r="A53" s="3"/>
      <c r="B53" s="2"/>
      <c r="C53" s="21"/>
      <c r="D53" s="2"/>
      <c r="E53" s="38"/>
      <c r="F53" s="2"/>
      <c r="G53" s="38"/>
    </row>
    <row r="54" spans="1:7">
      <c r="A54" s="3"/>
      <c r="B54" s="2"/>
      <c r="C54" s="21"/>
      <c r="D54" s="2"/>
      <c r="E54" s="38"/>
      <c r="F54" s="2"/>
      <c r="G54" s="38"/>
    </row>
    <row r="55" spans="1:7">
      <c r="A55" s="3"/>
      <c r="B55" s="2"/>
      <c r="C55" s="21"/>
      <c r="D55" s="2"/>
      <c r="E55" s="38"/>
      <c r="F55" s="2"/>
      <c r="G55" s="38"/>
    </row>
    <row r="56" spans="1:7">
      <c r="A56" s="3"/>
      <c r="B56" s="2"/>
      <c r="C56" s="21"/>
      <c r="D56" s="2"/>
      <c r="E56" s="38"/>
      <c r="F56" s="2"/>
      <c r="G56" s="38"/>
    </row>
    <row r="57" spans="1:7">
      <c r="A57" s="3"/>
      <c r="B57" s="2"/>
      <c r="C57" s="21"/>
      <c r="D57" s="2"/>
      <c r="E57" s="38"/>
      <c r="F57" s="2"/>
      <c r="G57" s="38"/>
    </row>
    <row r="58" spans="1:7">
      <c r="A58" s="3"/>
      <c r="B58" s="2"/>
      <c r="C58" s="21"/>
      <c r="D58" s="2"/>
      <c r="E58" s="38"/>
      <c r="F58" s="2"/>
      <c r="G58" s="38"/>
    </row>
    <row r="59" spans="1:7">
      <c r="A59" s="3"/>
      <c r="B59" s="2"/>
      <c r="C59" s="21"/>
      <c r="D59" s="2"/>
      <c r="E59" s="38"/>
      <c r="F59" s="2"/>
      <c r="G59" s="38"/>
    </row>
    <row r="60" spans="1:7">
      <c r="A60" s="3"/>
      <c r="B60" s="2"/>
      <c r="C60" s="21"/>
      <c r="D60" s="2"/>
      <c r="E60" s="38"/>
      <c r="F60" s="2"/>
      <c r="G60" s="38"/>
    </row>
    <row r="61" spans="1:7">
      <c r="A61" s="3"/>
      <c r="B61" s="2"/>
      <c r="C61" s="21"/>
      <c r="D61" s="2"/>
      <c r="E61" s="38"/>
      <c r="F61" s="2"/>
      <c r="G61" s="38"/>
    </row>
    <row r="62" spans="1:7">
      <c r="A62" s="3"/>
      <c r="B62" s="2"/>
      <c r="C62" s="21"/>
      <c r="D62" s="2"/>
      <c r="E62" s="38"/>
      <c r="F62" s="2"/>
      <c r="G62" s="38"/>
    </row>
    <row r="63" spans="1:7">
      <c r="A63" s="3"/>
      <c r="B63" s="2"/>
      <c r="C63" s="21"/>
      <c r="D63" s="2"/>
      <c r="E63" s="38"/>
      <c r="F63" s="2"/>
      <c r="G63" s="38"/>
    </row>
    <row r="64" spans="1:7">
      <c r="A64" s="3"/>
      <c r="B64" s="2"/>
      <c r="C64" s="21"/>
      <c r="D64" s="2"/>
      <c r="E64" s="38"/>
      <c r="F64" s="2"/>
      <c r="G64" s="38"/>
    </row>
    <row r="65" spans="1:7">
      <c r="A65" s="3"/>
      <c r="B65" s="2"/>
      <c r="C65" s="21"/>
      <c r="D65" s="2"/>
      <c r="E65" s="38"/>
      <c r="F65" s="2"/>
      <c r="G65" s="38"/>
    </row>
    <row r="66" spans="1:7">
      <c r="A66" s="3"/>
      <c r="B66" s="2"/>
      <c r="C66" s="21"/>
      <c r="D66" s="2"/>
      <c r="E66" s="38"/>
      <c r="F66" s="2"/>
      <c r="G66" s="38"/>
    </row>
    <row r="67" spans="1:7">
      <c r="A67" s="3"/>
      <c r="B67" s="2"/>
      <c r="C67" s="21"/>
      <c r="D67" s="2"/>
      <c r="E67" s="38"/>
      <c r="F67" s="2"/>
      <c r="G67" s="38"/>
    </row>
    <row r="68" spans="1:7">
      <c r="A68" s="3"/>
      <c r="B68" s="2"/>
      <c r="C68" s="21"/>
      <c r="D68" s="2"/>
      <c r="E68" s="38"/>
      <c r="F68" s="2"/>
      <c r="G68" s="38"/>
    </row>
    <row r="69" spans="1:7">
      <c r="A69" s="3"/>
      <c r="B69" s="2"/>
      <c r="C69" s="21"/>
      <c r="D69" s="2"/>
      <c r="E69" s="38"/>
      <c r="F69" s="2"/>
      <c r="G69" s="38"/>
    </row>
    <row r="70" spans="1:7">
      <c r="A70" s="3"/>
      <c r="B70" s="2"/>
      <c r="C70" s="21"/>
      <c r="D70" s="2"/>
      <c r="E70" s="38"/>
      <c r="F70" s="2"/>
      <c r="G70" s="38"/>
    </row>
    <row r="71" spans="1:7">
      <c r="A71" s="3"/>
      <c r="B71" s="2"/>
      <c r="C71" s="21"/>
      <c r="D71" s="2"/>
      <c r="E71" s="38"/>
      <c r="F71" s="2"/>
      <c r="G71" s="38"/>
    </row>
    <row r="72" spans="1:7">
      <c r="A72" s="3"/>
      <c r="B72" s="2"/>
      <c r="C72" s="21"/>
      <c r="D72" s="2"/>
      <c r="E72" s="38"/>
      <c r="F72" s="2"/>
      <c r="G72" s="38"/>
    </row>
    <row r="73" spans="1:7">
      <c r="A73" s="3"/>
      <c r="B73" s="2"/>
      <c r="C73" s="21"/>
      <c r="D73" s="2"/>
      <c r="E73" s="38"/>
      <c r="F73" s="2"/>
      <c r="G73" s="38"/>
    </row>
    <row r="74" spans="1:7">
      <c r="A74" s="3"/>
      <c r="B74" s="2"/>
      <c r="C74" s="21"/>
      <c r="D74" s="2"/>
      <c r="E74" s="38"/>
      <c r="F74" s="2"/>
      <c r="G74" s="38"/>
    </row>
    <row r="75" spans="1:7">
      <c r="A75" s="3"/>
      <c r="B75" s="2"/>
      <c r="C75" s="21"/>
      <c r="D75" s="2"/>
      <c r="E75" s="38"/>
      <c r="F75" s="2"/>
      <c r="G75" s="38"/>
    </row>
    <row r="76" spans="1:7">
      <c r="A76" s="3"/>
      <c r="B76" s="2"/>
      <c r="C76" s="21"/>
      <c r="D76" s="2"/>
      <c r="E76" s="38"/>
      <c r="F76" s="2"/>
      <c r="G76" s="38"/>
    </row>
    <row r="77" spans="1:7">
      <c r="A77" s="3"/>
      <c r="B77" s="2"/>
      <c r="C77" s="21"/>
      <c r="D77" s="2"/>
      <c r="E77" s="38"/>
      <c r="F77" s="2"/>
      <c r="G77" s="38"/>
    </row>
    <row r="78" spans="1:7">
      <c r="A78" s="3"/>
      <c r="B78" s="2"/>
      <c r="C78" s="21"/>
      <c r="D78" s="2"/>
      <c r="E78" s="38"/>
      <c r="F78" s="2"/>
      <c r="G78" s="38"/>
    </row>
    <row r="79" spans="1:7">
      <c r="A79" s="3"/>
      <c r="B79" s="2"/>
      <c r="C79" s="21"/>
      <c r="D79" s="2"/>
      <c r="E79" s="38"/>
      <c r="F79" s="2"/>
      <c r="G79" s="38"/>
    </row>
    <row r="80" spans="1:7">
      <c r="A80" s="3"/>
      <c r="B80" s="2"/>
      <c r="C80" s="21"/>
      <c r="D80" s="2"/>
      <c r="E80" s="38"/>
      <c r="F80" s="2"/>
      <c r="G80" s="38"/>
    </row>
    <row r="81" spans="1:7">
      <c r="A81" s="3"/>
      <c r="B81" s="2"/>
      <c r="C81" s="21"/>
      <c r="D81" s="2"/>
      <c r="E81" s="38"/>
      <c r="F81" s="2"/>
      <c r="G81" s="38"/>
    </row>
    <row r="82" spans="1:7">
      <c r="A82" s="3"/>
      <c r="B82" s="2"/>
      <c r="C82" s="21"/>
      <c r="D82" s="2"/>
      <c r="E82" s="38"/>
      <c r="F82" s="2"/>
      <c r="G82" s="38"/>
    </row>
    <row r="83" spans="1:7">
      <c r="A83" s="3"/>
      <c r="B83" s="2"/>
      <c r="C83" s="21"/>
      <c r="D83" s="2"/>
      <c r="E83" s="38"/>
      <c r="F83" s="2"/>
      <c r="G83" s="38"/>
    </row>
    <row r="84" spans="1:7">
      <c r="A84" s="3"/>
      <c r="B84" s="2"/>
      <c r="C84" s="21"/>
      <c r="D84" s="2"/>
      <c r="E84" s="38"/>
      <c r="F84" s="2"/>
      <c r="G84" s="38"/>
    </row>
    <row r="85" spans="1:7">
      <c r="A85" s="3"/>
      <c r="B85" s="2"/>
      <c r="C85" s="21"/>
      <c r="D85" s="2"/>
      <c r="E85" s="38"/>
      <c r="F85" s="2"/>
      <c r="G85" s="38"/>
    </row>
    <row r="86" spans="1:7">
      <c r="A86" s="3"/>
      <c r="B86" s="2"/>
      <c r="C86" s="21"/>
      <c r="D86" s="2"/>
      <c r="E86" s="38"/>
      <c r="F86" s="2"/>
      <c r="G86" s="38"/>
    </row>
    <row r="87" spans="1:7">
      <c r="A87" s="3"/>
      <c r="B87" s="2"/>
      <c r="C87" s="21"/>
      <c r="D87" s="2"/>
      <c r="E87" s="38"/>
      <c r="F87" s="2"/>
      <c r="G87" s="38"/>
    </row>
    <row r="88" spans="1:7">
      <c r="A88" s="3"/>
      <c r="B88" s="2"/>
      <c r="C88" s="21"/>
      <c r="D88" s="2"/>
      <c r="E88" s="38"/>
      <c r="F88" s="2"/>
      <c r="G88" s="38"/>
    </row>
    <row r="89" spans="1:7">
      <c r="A89" s="3"/>
      <c r="B89" s="2"/>
      <c r="C89" s="21"/>
      <c r="D89" s="2"/>
      <c r="E89" s="38"/>
      <c r="F89" s="2"/>
      <c r="G89" s="38"/>
    </row>
    <row r="90" spans="1:7">
      <c r="A90" s="3"/>
      <c r="B90" s="2"/>
      <c r="C90" s="21"/>
      <c r="D90" s="2"/>
      <c r="E90" s="38"/>
      <c r="F90" s="2"/>
      <c r="G90" s="38"/>
    </row>
    <row r="91" spans="1:7">
      <c r="A91" s="3"/>
      <c r="B91" s="2"/>
      <c r="C91" s="21"/>
      <c r="D91" s="2"/>
      <c r="E91" s="38"/>
      <c r="F91" s="2"/>
      <c r="G91" s="38"/>
    </row>
    <row r="92" spans="1:7">
      <c r="A92" s="3"/>
      <c r="B92" s="2"/>
      <c r="C92" s="21"/>
      <c r="D92" s="2"/>
      <c r="E92" s="38"/>
      <c r="F92" s="2"/>
      <c r="G92" s="38"/>
    </row>
    <row r="93" spans="1:7">
      <c r="A93" s="3"/>
      <c r="B93" s="2"/>
      <c r="C93" s="21"/>
      <c r="D93" s="2"/>
      <c r="E93" s="38"/>
      <c r="F93" s="2"/>
      <c r="G93" s="38"/>
    </row>
    <row r="94" spans="1:7">
      <c r="A94" s="3"/>
      <c r="B94" s="2"/>
      <c r="C94" s="21"/>
      <c r="D94" s="2"/>
      <c r="E94" s="38"/>
      <c r="F94" s="2"/>
      <c r="G94" s="38"/>
    </row>
    <row r="95" spans="1:7">
      <c r="A95" s="3"/>
      <c r="B95" s="2"/>
      <c r="C95" s="21"/>
      <c r="D95" s="2"/>
      <c r="E95" s="38"/>
      <c r="F95" s="2"/>
      <c r="G95" s="38"/>
    </row>
    <row r="96" spans="1:7">
      <c r="A96" s="3"/>
      <c r="B96" s="2"/>
      <c r="C96" s="21"/>
      <c r="D96" s="2"/>
      <c r="E96" s="38"/>
      <c r="F96" s="2"/>
      <c r="G96" s="38"/>
    </row>
    <row r="97" spans="1:7">
      <c r="A97" s="3"/>
      <c r="B97" s="2"/>
      <c r="C97" s="21"/>
      <c r="D97" s="2"/>
      <c r="E97" s="38"/>
      <c r="F97" s="2"/>
      <c r="G97" s="38"/>
    </row>
    <row r="98" spans="1:7">
      <c r="A98" s="3"/>
      <c r="B98" s="2"/>
      <c r="C98" s="21"/>
      <c r="D98" s="2"/>
      <c r="E98" s="38"/>
      <c r="F98" s="2"/>
      <c r="G98" s="38"/>
    </row>
    <row r="99" spans="1:7">
      <c r="A99" s="3"/>
      <c r="B99" s="2"/>
      <c r="C99" s="21"/>
      <c r="D99" s="2"/>
      <c r="E99" s="38"/>
      <c r="F99" s="2"/>
      <c r="G99" s="38"/>
    </row>
    <row r="100" spans="1:7">
      <c r="A100" s="3"/>
      <c r="B100" s="2"/>
      <c r="C100" s="21"/>
      <c r="D100" s="2"/>
      <c r="E100" s="38"/>
      <c r="F100" s="2"/>
      <c r="G100" s="38"/>
    </row>
    <row r="101" spans="1:7">
      <c r="A101" s="3"/>
      <c r="B101" s="2"/>
      <c r="C101" s="21"/>
      <c r="D101" s="2"/>
      <c r="E101" s="38"/>
      <c r="F101" s="2"/>
      <c r="G101" s="38"/>
    </row>
    <row r="102" spans="1:7">
      <c r="A102" s="3"/>
      <c r="B102" s="2"/>
      <c r="C102" s="21"/>
      <c r="D102" s="2"/>
      <c r="E102" s="38"/>
      <c r="F102" s="2"/>
      <c r="G102" s="38"/>
    </row>
    <row r="103" spans="1:7">
      <c r="A103" s="3"/>
      <c r="B103" s="2"/>
      <c r="C103" s="21"/>
      <c r="D103" s="2"/>
      <c r="E103" s="38"/>
      <c r="F103" s="2"/>
      <c r="G103" s="38"/>
    </row>
    <row r="104" spans="1:7">
      <c r="A104" s="3"/>
      <c r="B104" s="2"/>
      <c r="C104" s="21"/>
      <c r="D104" s="2"/>
      <c r="E104" s="38"/>
      <c r="F104" s="2"/>
      <c r="G104" s="38"/>
    </row>
    <row r="105" spans="1:7">
      <c r="A105" s="3"/>
      <c r="B105" s="2"/>
      <c r="C105" s="21"/>
      <c r="D105" s="2"/>
      <c r="E105" s="38"/>
      <c r="F105" s="2"/>
      <c r="G105" s="38"/>
    </row>
    <row r="106" spans="1:7">
      <c r="A106" s="3"/>
      <c r="B106" s="2"/>
      <c r="C106" s="21"/>
      <c r="D106" s="2"/>
      <c r="E106" s="38"/>
      <c r="F106" s="2"/>
      <c r="G106" s="38"/>
    </row>
    <row r="107" spans="1:7">
      <c r="A107" s="3"/>
      <c r="B107" s="2"/>
      <c r="C107" s="21"/>
      <c r="D107" s="2"/>
      <c r="E107" s="38"/>
      <c r="F107" s="2"/>
      <c r="G107" s="38"/>
    </row>
    <row r="108" spans="1:7">
      <c r="A108" s="3"/>
      <c r="B108" s="2"/>
      <c r="C108" s="21"/>
      <c r="D108" s="2"/>
      <c r="E108" s="38"/>
      <c r="F108" s="2"/>
      <c r="G108" s="38"/>
    </row>
    <row r="109" spans="1:7">
      <c r="A109" s="3"/>
      <c r="B109" s="2"/>
      <c r="C109" s="21"/>
      <c r="D109" s="2"/>
      <c r="E109" s="38"/>
      <c r="F109" s="2"/>
      <c r="G109" s="38"/>
    </row>
    <row r="110" spans="1:7">
      <c r="A110" s="3"/>
      <c r="B110" s="2"/>
      <c r="C110" s="21"/>
      <c r="D110" s="2"/>
      <c r="E110" s="38"/>
      <c r="F110" s="2"/>
      <c r="G110" s="38"/>
    </row>
    <row r="111" spans="1:7">
      <c r="A111" s="3"/>
      <c r="B111" s="2"/>
      <c r="C111" s="21"/>
      <c r="D111" s="2"/>
      <c r="E111" s="38"/>
      <c r="F111" s="2"/>
      <c r="G111" s="38"/>
    </row>
    <row r="112" spans="1:7">
      <c r="A112" s="3"/>
      <c r="B112" s="2"/>
      <c r="C112" s="21"/>
      <c r="D112" s="2"/>
      <c r="E112" s="38"/>
      <c r="F112" s="2"/>
      <c r="G112" s="38"/>
    </row>
    <row r="113" spans="1:7">
      <c r="A113" s="3"/>
      <c r="B113" s="2"/>
      <c r="C113" s="21"/>
      <c r="D113" s="2"/>
      <c r="E113" s="38"/>
      <c r="F113" s="2"/>
      <c r="G113" s="38"/>
    </row>
    <row r="114" spans="1:7">
      <c r="A114" s="3"/>
      <c r="B114" s="2"/>
      <c r="C114" s="21"/>
      <c r="D114" s="2"/>
      <c r="E114" s="38"/>
      <c r="F114" s="2"/>
      <c r="G114" s="38"/>
    </row>
    <row r="115" spans="1:7">
      <c r="A115" s="3"/>
      <c r="B115" s="2"/>
      <c r="C115" s="21"/>
      <c r="D115" s="2"/>
      <c r="E115" s="38"/>
      <c r="F115" s="2"/>
      <c r="G115" s="38"/>
    </row>
    <row r="116" spans="1:7">
      <c r="A116" s="3"/>
      <c r="B116" s="2"/>
      <c r="C116" s="21"/>
      <c r="D116" s="2"/>
      <c r="E116" s="38"/>
      <c r="F116" s="2"/>
      <c r="G116" s="38"/>
    </row>
    <row r="117" spans="1:7">
      <c r="A117" s="3"/>
      <c r="B117" s="2"/>
      <c r="C117" s="21"/>
      <c r="D117" s="2"/>
      <c r="E117" s="38"/>
      <c r="F117" s="2"/>
      <c r="G117" s="38"/>
    </row>
    <row r="118" spans="1:7">
      <c r="A118" s="3"/>
      <c r="B118" s="2"/>
      <c r="C118" s="21"/>
      <c r="D118" s="2"/>
      <c r="E118" s="38"/>
      <c r="F118" s="2"/>
      <c r="G118" s="38"/>
    </row>
    <row r="119" spans="1:7">
      <c r="A119" s="3"/>
      <c r="B119" s="2"/>
      <c r="C119" s="21"/>
      <c r="D119" s="2"/>
      <c r="E119" s="38"/>
      <c r="F119" s="2"/>
      <c r="G119" s="38"/>
    </row>
    <row r="120" spans="1:7">
      <c r="A120" s="3"/>
      <c r="B120" s="2"/>
      <c r="C120" s="21"/>
      <c r="D120" s="2"/>
      <c r="E120" s="38"/>
      <c r="F120" s="2"/>
      <c r="G120" s="38"/>
    </row>
    <row r="121" spans="1:7">
      <c r="A121" s="3"/>
      <c r="B121" s="2"/>
      <c r="C121" s="21"/>
      <c r="D121" s="2"/>
      <c r="E121" s="38"/>
      <c r="F121" s="2"/>
      <c r="G121" s="38"/>
    </row>
    <row r="122" spans="1:7">
      <c r="A122" s="3"/>
      <c r="B122" s="2"/>
      <c r="C122" s="21"/>
      <c r="D122" s="2"/>
      <c r="E122" s="38"/>
      <c r="F122" s="2"/>
      <c r="G122" s="38"/>
    </row>
    <row r="123" spans="1:7">
      <c r="A123" s="3"/>
      <c r="B123" s="2"/>
      <c r="C123" s="21"/>
      <c r="D123" s="2"/>
      <c r="E123" s="38"/>
      <c r="F123" s="2"/>
      <c r="G123" s="38"/>
    </row>
    <row r="124" spans="1:7">
      <c r="A124" s="3"/>
      <c r="B124" s="2"/>
      <c r="C124" s="21"/>
      <c r="D124" s="2"/>
      <c r="E124" s="38"/>
      <c r="F124" s="2"/>
      <c r="G124" s="38"/>
    </row>
    <row r="125" spans="1:7">
      <c r="A125" s="3"/>
      <c r="B125" s="2"/>
      <c r="C125" s="21"/>
      <c r="D125" s="2"/>
      <c r="E125" s="38"/>
      <c r="F125" s="2"/>
      <c r="G125" s="38"/>
    </row>
    <row r="126" spans="1:7">
      <c r="A126" s="3"/>
      <c r="B126" s="2"/>
      <c r="C126" s="21"/>
      <c r="D126" s="2"/>
      <c r="E126" s="38"/>
      <c r="F126" s="2"/>
      <c r="G126" s="38"/>
    </row>
    <row r="127" spans="1:7">
      <c r="A127" s="3"/>
      <c r="B127" s="2"/>
      <c r="C127" s="21"/>
      <c r="D127" s="2"/>
      <c r="E127" s="38"/>
      <c r="F127" s="2"/>
      <c r="G127" s="38"/>
    </row>
    <row r="128" spans="1:7">
      <c r="A128" s="3"/>
      <c r="B128" s="2"/>
      <c r="C128" s="21"/>
      <c r="D128" s="2"/>
      <c r="E128" s="38"/>
      <c r="F128" s="2"/>
      <c r="G128" s="38"/>
    </row>
    <row r="129" spans="1:7">
      <c r="A129" s="3"/>
      <c r="B129" s="2"/>
      <c r="C129" s="21"/>
      <c r="D129" s="2"/>
      <c r="E129" s="38"/>
      <c r="F129" s="2"/>
      <c r="G129" s="38"/>
    </row>
    <row r="130" spans="1:7">
      <c r="A130" s="3"/>
      <c r="B130" s="2"/>
      <c r="C130" s="21"/>
      <c r="D130" s="2"/>
      <c r="E130" s="38"/>
      <c r="F130" s="2"/>
      <c r="G130" s="38"/>
    </row>
    <row r="131" spans="1:7">
      <c r="A131" s="3"/>
      <c r="B131" s="2"/>
      <c r="C131" s="21"/>
      <c r="D131" s="2"/>
      <c r="E131" s="38"/>
      <c r="F131" s="2"/>
      <c r="G131" s="38"/>
    </row>
    <row r="132" spans="1:7">
      <c r="A132" s="3"/>
      <c r="B132" s="2"/>
      <c r="C132" s="21"/>
      <c r="D132" s="2"/>
      <c r="E132" s="38"/>
      <c r="F132" s="2"/>
      <c r="G132" s="38"/>
    </row>
    <row r="133" spans="1:7">
      <c r="A133" s="3"/>
      <c r="B133" s="2"/>
      <c r="C133" s="21"/>
      <c r="D133" s="2"/>
      <c r="E133" s="38"/>
      <c r="F133" s="2"/>
      <c r="G133" s="38"/>
    </row>
    <row r="134" spans="1:7">
      <c r="A134" s="3"/>
      <c r="B134" s="2"/>
      <c r="C134" s="21"/>
      <c r="D134" s="2"/>
      <c r="E134" s="38"/>
      <c r="F134" s="2"/>
      <c r="G134" s="38"/>
    </row>
    <row r="135" spans="1:7">
      <c r="A135" s="3"/>
      <c r="B135" s="2"/>
      <c r="C135" s="21"/>
      <c r="D135" s="2"/>
      <c r="E135" s="38"/>
      <c r="F135" s="2"/>
      <c r="G135" s="38"/>
    </row>
    <row r="136" spans="1:7">
      <c r="A136" s="3"/>
      <c r="B136" s="2"/>
      <c r="C136" s="21"/>
      <c r="D136" s="2"/>
      <c r="E136" s="38"/>
      <c r="F136" s="2"/>
      <c r="G136" s="38"/>
    </row>
    <row r="137" spans="1:7">
      <c r="A137" s="3"/>
      <c r="B137" s="2"/>
      <c r="C137" s="21"/>
      <c r="D137" s="2"/>
      <c r="E137" s="38"/>
      <c r="F137" s="2"/>
      <c r="G137" s="38"/>
    </row>
    <row r="138" spans="1:7">
      <c r="A138" s="3"/>
      <c r="B138" s="2"/>
      <c r="C138" s="21"/>
      <c r="D138" s="2"/>
      <c r="E138" s="38"/>
      <c r="F138" s="2"/>
      <c r="G138" s="38"/>
    </row>
    <row r="139" spans="1:7">
      <c r="A139" s="3"/>
      <c r="B139" s="2"/>
      <c r="C139" s="21"/>
      <c r="D139" s="2"/>
      <c r="E139" s="38"/>
      <c r="F139" s="2"/>
      <c r="G139" s="38"/>
    </row>
    <row r="140" spans="1:7">
      <c r="A140" s="3"/>
      <c r="B140" s="2"/>
      <c r="C140" s="21"/>
      <c r="D140" s="2"/>
      <c r="E140" s="38"/>
      <c r="F140" s="2"/>
      <c r="G140" s="38"/>
    </row>
    <row r="141" spans="1:7">
      <c r="A141" s="3"/>
      <c r="B141" s="2"/>
      <c r="C141" s="21"/>
      <c r="D141" s="2"/>
      <c r="E141" s="38"/>
      <c r="F141" s="2"/>
      <c r="G141" s="38"/>
    </row>
    <row r="142" spans="1:7">
      <c r="A142" s="3"/>
      <c r="B142" s="2"/>
      <c r="C142" s="21"/>
      <c r="D142" s="2"/>
      <c r="E142" s="38"/>
      <c r="F142" s="2"/>
      <c r="G142" s="38"/>
    </row>
    <row r="143" spans="1:7">
      <c r="A143" s="3"/>
      <c r="B143" s="2"/>
      <c r="C143" s="21"/>
      <c r="D143" s="2"/>
      <c r="E143" s="38"/>
      <c r="F143" s="2"/>
      <c r="G143" s="38"/>
    </row>
    <row r="144" spans="1:7">
      <c r="A144" s="3"/>
      <c r="B144" s="2"/>
      <c r="C144" s="21"/>
      <c r="D144" s="2"/>
      <c r="E144" s="38"/>
      <c r="F144" s="2"/>
      <c r="G144" s="38"/>
    </row>
    <row r="145" spans="1:7">
      <c r="A145" s="3"/>
      <c r="B145" s="2"/>
      <c r="C145" s="21"/>
      <c r="D145" s="2"/>
      <c r="E145" s="38"/>
      <c r="F145" s="2"/>
      <c r="G145" s="38"/>
    </row>
    <row r="146" spans="1:7">
      <c r="A146" s="3"/>
      <c r="B146" s="2"/>
      <c r="C146" s="21"/>
      <c r="D146" s="2"/>
      <c r="E146" s="38"/>
      <c r="F146" s="2"/>
      <c r="G146" s="38"/>
    </row>
    <row r="147" spans="1:7">
      <c r="A147" s="3"/>
      <c r="B147" s="2"/>
      <c r="C147" s="21"/>
      <c r="D147" s="2"/>
      <c r="E147" s="38"/>
      <c r="F147" s="2"/>
      <c r="G147" s="38"/>
    </row>
    <row r="148" spans="1:7">
      <c r="A148" s="3"/>
      <c r="B148" s="2"/>
      <c r="C148" s="21"/>
      <c r="D148" s="2"/>
      <c r="E148" s="38"/>
      <c r="F148" s="2"/>
      <c r="G148" s="38"/>
    </row>
    <row r="149" spans="1:7">
      <c r="A149" s="3"/>
      <c r="B149" s="2"/>
      <c r="C149" s="21"/>
      <c r="D149" s="2"/>
      <c r="E149" s="38"/>
      <c r="F149" s="2"/>
      <c r="G149" s="38"/>
    </row>
    <row r="150" spans="1:7">
      <c r="A150" s="3"/>
      <c r="B150" s="2"/>
      <c r="C150" s="21"/>
      <c r="D150" s="2"/>
      <c r="E150" s="38"/>
      <c r="F150" s="2"/>
      <c r="G150" s="38"/>
    </row>
    <row r="151" spans="1:7">
      <c r="A151" s="3"/>
      <c r="B151" s="2"/>
      <c r="C151" s="21"/>
      <c r="D151" s="2"/>
      <c r="E151" s="38"/>
      <c r="F151" s="2"/>
      <c r="G151" s="38"/>
    </row>
    <row r="152" spans="1:7">
      <c r="A152" s="3"/>
      <c r="B152" s="2"/>
      <c r="C152" s="21"/>
      <c r="D152" s="2"/>
      <c r="E152" s="38"/>
      <c r="F152" s="2"/>
      <c r="G152" s="38"/>
    </row>
    <row r="153" spans="1:7">
      <c r="A153" s="3"/>
      <c r="B153" s="2"/>
      <c r="C153" s="21"/>
      <c r="D153" s="2"/>
      <c r="E153" s="38"/>
      <c r="F153" s="2"/>
      <c r="G153" s="38"/>
    </row>
    <row r="154" spans="1:7">
      <c r="A154" s="3"/>
      <c r="B154" s="2"/>
      <c r="C154" s="21"/>
      <c r="D154" s="2"/>
      <c r="E154" s="38"/>
      <c r="F154" s="2"/>
      <c r="G154" s="38"/>
    </row>
    <row r="155" spans="1:7">
      <c r="A155" s="3"/>
      <c r="B155" s="2"/>
      <c r="C155" s="21"/>
      <c r="D155" s="2"/>
      <c r="E155" s="38"/>
      <c r="F155" s="2"/>
      <c r="G155" s="38"/>
    </row>
    <row r="156" spans="1:7">
      <c r="A156" s="3"/>
      <c r="B156" s="2"/>
      <c r="C156" s="21"/>
      <c r="D156" s="2"/>
      <c r="E156" s="38"/>
      <c r="F156" s="2"/>
      <c r="G156" s="38"/>
    </row>
    <row r="157" spans="1:7">
      <c r="A157" s="3"/>
      <c r="B157" s="2"/>
      <c r="C157" s="21"/>
      <c r="D157" s="2"/>
      <c r="E157" s="38"/>
      <c r="F157" s="2"/>
      <c r="G157" s="38"/>
    </row>
    <row r="158" spans="1:7">
      <c r="A158" s="3"/>
      <c r="B158" s="2"/>
      <c r="C158" s="21"/>
      <c r="D158" s="2"/>
      <c r="E158" s="38"/>
      <c r="F158" s="2"/>
      <c r="G158" s="38"/>
    </row>
    <row r="159" spans="1:7">
      <c r="A159" s="3"/>
      <c r="B159" s="2"/>
      <c r="C159" s="21"/>
      <c r="D159" s="2"/>
      <c r="E159" s="38"/>
      <c r="F159" s="2"/>
      <c r="G159" s="38"/>
    </row>
    <row r="160" spans="1:7">
      <c r="A160" s="3"/>
      <c r="B160" s="2"/>
      <c r="C160" s="21"/>
      <c r="D160" s="2"/>
      <c r="E160" s="38"/>
      <c r="F160" s="2"/>
      <c r="G160" s="38"/>
    </row>
    <row r="161" spans="1:7">
      <c r="A161" s="3"/>
      <c r="B161" s="2"/>
      <c r="C161" s="21"/>
      <c r="D161" s="2"/>
      <c r="E161" s="38"/>
      <c r="F161" s="2"/>
      <c r="G161" s="38"/>
    </row>
    <row r="162" spans="1:7">
      <c r="A162" s="3"/>
      <c r="B162" s="2"/>
      <c r="C162" s="21"/>
      <c r="D162" s="2"/>
      <c r="E162" s="38"/>
      <c r="F162" s="2"/>
      <c r="G162" s="38"/>
    </row>
    <row r="163" spans="1:7">
      <c r="A163" s="3"/>
      <c r="B163" s="2"/>
      <c r="C163" s="21"/>
      <c r="D163" s="2"/>
      <c r="E163" s="38"/>
      <c r="F163" s="2"/>
      <c r="G163" s="38"/>
    </row>
    <row r="164" spans="1:7">
      <c r="A164" s="3"/>
      <c r="B164" s="2"/>
      <c r="C164" s="21"/>
      <c r="D164" s="2"/>
      <c r="E164" s="38"/>
      <c r="F164" s="2"/>
      <c r="G164" s="38"/>
    </row>
    <row r="165" spans="1:7">
      <c r="A165" s="3"/>
      <c r="B165" s="2"/>
      <c r="C165" s="21"/>
      <c r="D165" s="2"/>
      <c r="E165" s="38"/>
      <c r="F165" s="2"/>
      <c r="G165" s="38"/>
    </row>
    <row r="166" spans="1:7">
      <c r="A166" s="3"/>
      <c r="B166" s="2"/>
      <c r="C166" s="21"/>
      <c r="D166" s="2"/>
      <c r="E166" s="38"/>
      <c r="F166" s="2"/>
      <c r="G166" s="38"/>
    </row>
    <row r="167" spans="1:7">
      <c r="A167" s="3"/>
      <c r="B167" s="2"/>
      <c r="C167" s="21"/>
      <c r="D167" s="2"/>
      <c r="E167" s="38"/>
      <c r="F167" s="2"/>
      <c r="G167" s="38"/>
    </row>
    <row r="168" spans="1:7">
      <c r="A168" s="3"/>
      <c r="B168" s="2"/>
      <c r="C168" s="21"/>
      <c r="D168" s="2"/>
      <c r="E168" s="38"/>
      <c r="F168" s="2"/>
      <c r="G168" s="38"/>
    </row>
    <row r="169" spans="1:7">
      <c r="A169" s="3"/>
      <c r="B169" s="2"/>
      <c r="C169" s="21"/>
      <c r="D169" s="2"/>
      <c r="E169" s="38"/>
      <c r="F169" s="2"/>
      <c r="G169" s="38"/>
    </row>
    <row r="170" spans="1:7">
      <c r="A170" s="3"/>
      <c r="B170" s="2"/>
      <c r="C170" s="21"/>
      <c r="D170" s="2"/>
      <c r="E170" s="38"/>
      <c r="F170" s="2"/>
      <c r="G170" s="38"/>
    </row>
    <row r="171" spans="1:7">
      <c r="A171" s="3"/>
      <c r="B171" s="2"/>
      <c r="C171" s="21"/>
      <c r="D171" s="2"/>
      <c r="E171" s="38"/>
      <c r="F171" s="2"/>
      <c r="G171" s="38"/>
    </row>
    <row r="172" spans="1:7">
      <c r="A172" s="3"/>
      <c r="B172" s="2"/>
      <c r="C172" s="21"/>
      <c r="D172" s="2"/>
      <c r="E172" s="38"/>
      <c r="F172" s="2"/>
      <c r="G172" s="38"/>
    </row>
    <row r="173" spans="1:7">
      <c r="A173" s="3"/>
      <c r="B173" s="2"/>
      <c r="C173" s="21"/>
      <c r="D173" s="2"/>
      <c r="E173" s="38"/>
      <c r="F173" s="2"/>
      <c r="G173" s="38"/>
    </row>
    <row r="174" spans="1:7">
      <c r="A174" s="3"/>
      <c r="B174" s="2"/>
      <c r="C174" s="21"/>
      <c r="D174" s="2"/>
      <c r="E174" s="38"/>
      <c r="F174" s="2"/>
      <c r="G174" s="38"/>
    </row>
    <row r="175" spans="1:7">
      <c r="A175" s="3"/>
      <c r="B175" s="2"/>
      <c r="C175" s="21"/>
      <c r="D175" s="2"/>
      <c r="E175" s="38"/>
      <c r="F175" s="2"/>
      <c r="G175" s="38"/>
    </row>
    <row r="176" spans="1:7">
      <c r="A176" s="3"/>
      <c r="B176" s="2"/>
      <c r="C176" s="21"/>
      <c r="D176" s="2"/>
      <c r="E176" s="38"/>
      <c r="F176" s="2"/>
      <c r="G176" s="38"/>
    </row>
    <row r="177" spans="1:7">
      <c r="A177" s="3"/>
      <c r="B177" s="2"/>
      <c r="C177" s="21"/>
      <c r="D177" s="2"/>
      <c r="E177" s="38"/>
      <c r="F177" s="2"/>
      <c r="G177" s="38"/>
    </row>
    <row r="178" spans="1:7">
      <c r="A178" s="3"/>
      <c r="B178" s="2"/>
      <c r="C178" s="21"/>
      <c r="D178" s="2"/>
      <c r="E178" s="38"/>
      <c r="F178" s="2"/>
      <c r="G178" s="38"/>
    </row>
    <row r="179" spans="1:7">
      <c r="A179" s="3"/>
      <c r="B179" s="2"/>
      <c r="C179" s="21"/>
      <c r="D179" s="2"/>
      <c r="E179" s="38"/>
      <c r="F179" s="2"/>
      <c r="G179" s="38"/>
    </row>
    <row r="180" spans="1:7">
      <c r="A180" s="3"/>
      <c r="B180" s="2"/>
      <c r="C180" s="21"/>
      <c r="D180" s="2"/>
      <c r="E180" s="38"/>
      <c r="F180" s="2"/>
      <c r="G180" s="38"/>
    </row>
    <row r="181" spans="1:7">
      <c r="A181" s="3"/>
      <c r="B181" s="2"/>
      <c r="C181" s="21"/>
      <c r="D181" s="2"/>
      <c r="E181" s="38"/>
      <c r="F181" s="2"/>
      <c r="G181" s="38"/>
    </row>
    <row r="182" spans="1:7">
      <c r="A182" s="3"/>
      <c r="B182" s="2"/>
      <c r="C182" s="21"/>
      <c r="D182" s="2"/>
      <c r="E182" s="38"/>
      <c r="F182" s="2"/>
      <c r="G182" s="38"/>
    </row>
    <row r="183" spans="1:7">
      <c r="A183" s="3"/>
      <c r="B183" s="2"/>
      <c r="C183" s="21"/>
      <c r="D183" s="2"/>
      <c r="E183" s="38"/>
      <c r="F183" s="2"/>
      <c r="G183" s="38"/>
    </row>
    <row r="184" spans="1:7">
      <c r="A184" s="3"/>
      <c r="B184" s="2"/>
      <c r="C184" s="21"/>
      <c r="D184" s="2"/>
      <c r="E184" s="38"/>
      <c r="F184" s="2"/>
      <c r="G184" s="38"/>
    </row>
    <row r="185" spans="1:7">
      <c r="A185" s="3"/>
      <c r="B185" s="2"/>
      <c r="C185" s="21"/>
      <c r="D185" s="2"/>
      <c r="E185" s="38"/>
      <c r="F185" s="2"/>
      <c r="G185" s="38"/>
    </row>
    <row r="186" spans="1:7">
      <c r="A186" s="3"/>
      <c r="B186" s="2"/>
      <c r="C186" s="21"/>
      <c r="D186" s="2"/>
      <c r="E186" s="38"/>
      <c r="F186" s="2"/>
      <c r="G186" s="38"/>
    </row>
    <row r="187" spans="1:7">
      <c r="A187" s="3"/>
      <c r="B187" s="2"/>
      <c r="C187" s="21"/>
      <c r="D187" s="2"/>
      <c r="E187" s="38"/>
      <c r="F187" s="2"/>
      <c r="G187" s="38"/>
    </row>
    <row r="188" spans="1:7">
      <c r="A188" s="3"/>
      <c r="B188" s="2"/>
      <c r="C188" s="21"/>
      <c r="D188" s="2"/>
      <c r="E188" s="38"/>
      <c r="F188" s="2"/>
      <c r="G188" s="38"/>
    </row>
    <row r="189" spans="1:7">
      <c r="A189" s="3"/>
      <c r="B189" s="2"/>
      <c r="C189" s="21"/>
      <c r="D189" s="2"/>
      <c r="E189" s="38"/>
      <c r="F189" s="2"/>
      <c r="G189" s="38"/>
    </row>
    <row r="190" spans="1:7">
      <c r="A190" s="3"/>
      <c r="B190" s="2"/>
      <c r="C190" s="21"/>
      <c r="D190" s="2"/>
      <c r="E190" s="38"/>
      <c r="F190" s="2"/>
      <c r="G190" s="38"/>
    </row>
    <row r="191" spans="1:7">
      <c r="A191" s="3"/>
      <c r="B191" s="2"/>
      <c r="C191" s="21"/>
      <c r="D191" s="2"/>
      <c r="E191" s="38"/>
      <c r="F191" s="2"/>
      <c r="G191" s="38"/>
    </row>
    <row r="192" spans="1:7">
      <c r="A192" s="3"/>
      <c r="B192" s="2"/>
      <c r="C192" s="21"/>
      <c r="D192" s="2"/>
      <c r="E192" s="38"/>
      <c r="F192" s="2"/>
      <c r="G192" s="38"/>
    </row>
    <row r="193" spans="1:7">
      <c r="A193" s="3"/>
      <c r="B193" s="2"/>
      <c r="C193" s="21"/>
      <c r="D193" s="2"/>
      <c r="E193" s="38"/>
      <c r="F193" s="2"/>
      <c r="G193" s="38"/>
    </row>
    <row r="194" spans="1:7">
      <c r="A194" s="3"/>
      <c r="B194" s="2"/>
      <c r="C194" s="21"/>
      <c r="D194" s="2"/>
      <c r="E194" s="38"/>
      <c r="F194" s="2"/>
      <c r="G194" s="38"/>
    </row>
    <row r="195" spans="1:7">
      <c r="A195" s="3"/>
      <c r="B195" s="2"/>
      <c r="C195" s="21"/>
      <c r="D195" s="2"/>
      <c r="E195" s="38"/>
      <c r="F195" s="2"/>
      <c r="G195" s="38"/>
    </row>
    <row r="196" spans="1:7">
      <c r="A196" s="3"/>
      <c r="B196" s="2"/>
      <c r="C196" s="21"/>
      <c r="D196" s="2"/>
      <c r="E196" s="38"/>
      <c r="F196" s="2"/>
      <c r="G196" s="38"/>
    </row>
    <row r="197" spans="1:7">
      <c r="A197" s="3"/>
      <c r="B197" s="2"/>
      <c r="C197" s="21"/>
      <c r="D197" s="2"/>
      <c r="E197" s="38"/>
      <c r="F197" s="2"/>
      <c r="G197" s="38"/>
    </row>
    <row r="198" spans="1:7">
      <c r="A198" s="3"/>
      <c r="B198" s="2"/>
      <c r="C198" s="21"/>
      <c r="D198" s="2"/>
      <c r="E198" s="38"/>
      <c r="F198" s="2"/>
      <c r="G198" s="38"/>
    </row>
    <row r="199" spans="1:7">
      <c r="A199" s="3"/>
      <c r="B199" s="2"/>
      <c r="C199" s="21"/>
      <c r="D199" s="2"/>
      <c r="E199" s="38"/>
      <c r="F199" s="2"/>
      <c r="G199" s="38"/>
    </row>
    <row r="200" spans="1:7">
      <c r="A200" s="3"/>
      <c r="B200" s="2"/>
      <c r="C200" s="21"/>
      <c r="D200" s="2"/>
      <c r="E200" s="38"/>
      <c r="F200" s="2"/>
      <c r="G200" s="38"/>
    </row>
    <row r="201" spans="1:7">
      <c r="A201" s="3"/>
      <c r="B201" s="2"/>
      <c r="C201" s="21"/>
      <c r="D201" s="2"/>
      <c r="E201" s="38"/>
      <c r="F201" s="2"/>
      <c r="G201" s="38"/>
    </row>
    <row r="202" spans="1:7">
      <c r="A202" s="3"/>
      <c r="B202" s="2"/>
      <c r="C202" s="21"/>
      <c r="D202" s="2"/>
      <c r="E202" s="38"/>
      <c r="F202" s="2"/>
      <c r="G202" s="38"/>
    </row>
    <row r="203" spans="1:7">
      <c r="A203" s="3"/>
      <c r="B203" s="2"/>
      <c r="C203" s="21"/>
      <c r="D203" s="2"/>
      <c r="E203" s="38"/>
      <c r="F203" s="2"/>
      <c r="G203" s="38"/>
    </row>
    <row r="204" spans="1:7">
      <c r="A204" s="3"/>
      <c r="B204" s="2"/>
      <c r="C204" s="21"/>
      <c r="D204" s="2"/>
      <c r="E204" s="38"/>
      <c r="F204" s="2"/>
      <c r="G204" s="38"/>
    </row>
    <row r="205" spans="1:7">
      <c r="A205" s="3"/>
      <c r="B205" s="2"/>
      <c r="C205" s="21"/>
      <c r="D205" s="2"/>
      <c r="E205" s="38"/>
      <c r="F205" s="2"/>
      <c r="G205" s="38"/>
    </row>
    <row r="206" spans="1:7">
      <c r="A206" s="3"/>
      <c r="B206" s="2"/>
      <c r="C206" s="21"/>
      <c r="D206" s="2"/>
      <c r="E206" s="38"/>
      <c r="F206" s="2"/>
      <c r="G206" s="38"/>
    </row>
    <row r="207" spans="1:7">
      <c r="A207" s="3"/>
      <c r="B207" s="2"/>
      <c r="C207" s="21"/>
      <c r="D207" s="2"/>
      <c r="E207" s="38"/>
      <c r="F207" s="2"/>
      <c r="G207" s="38"/>
    </row>
    <row r="208" spans="1:7">
      <c r="A208" s="3"/>
      <c r="B208" s="2"/>
      <c r="C208" s="21"/>
      <c r="D208" s="2"/>
      <c r="E208" s="38"/>
      <c r="F208" s="2"/>
      <c r="G208" s="38"/>
    </row>
    <row r="209" spans="1:7">
      <c r="A209" s="3"/>
      <c r="B209" s="2"/>
      <c r="C209" s="21"/>
      <c r="D209" s="2"/>
      <c r="E209" s="38"/>
      <c r="F209" s="2"/>
      <c r="G209" s="38"/>
    </row>
    <row r="210" spans="1:7">
      <c r="A210" s="3"/>
      <c r="B210" s="2"/>
      <c r="C210" s="21"/>
      <c r="D210" s="2"/>
      <c r="E210" s="38"/>
      <c r="F210" s="2"/>
      <c r="G210" s="38"/>
    </row>
    <row r="211" spans="1:7">
      <c r="A211" s="3"/>
      <c r="B211" s="2"/>
      <c r="C211" s="21"/>
      <c r="D211" s="2"/>
      <c r="E211" s="38"/>
      <c r="F211" s="2"/>
      <c r="G211" s="38"/>
    </row>
    <row r="212" spans="1:7">
      <c r="A212" s="3"/>
      <c r="B212" s="2"/>
      <c r="C212" s="21"/>
      <c r="D212" s="2"/>
      <c r="E212" s="38"/>
      <c r="F212" s="2"/>
      <c r="G212" s="38"/>
    </row>
    <row r="213" spans="1:7">
      <c r="A213" s="3"/>
      <c r="B213" s="2"/>
      <c r="C213" s="21"/>
      <c r="D213" s="2"/>
      <c r="E213" s="38"/>
      <c r="F213" s="2"/>
      <c r="G213" s="38"/>
    </row>
    <row r="214" spans="1:7">
      <c r="A214" s="3"/>
      <c r="B214" s="2"/>
      <c r="C214" s="21"/>
      <c r="D214" s="2"/>
      <c r="E214" s="38"/>
      <c r="F214" s="2"/>
      <c r="G214" s="38"/>
    </row>
    <row r="215" spans="1:7">
      <c r="A215" s="3"/>
      <c r="B215" s="2"/>
      <c r="C215" s="21"/>
      <c r="D215" s="2"/>
      <c r="E215" s="38"/>
      <c r="F215" s="2"/>
      <c r="G215" s="38"/>
    </row>
    <row r="216" spans="1:7">
      <c r="A216" s="3"/>
      <c r="B216" s="2"/>
      <c r="C216" s="21"/>
      <c r="D216" s="2"/>
      <c r="E216" s="38"/>
      <c r="F216" s="2"/>
      <c r="G216" s="38"/>
    </row>
    <row r="217" spans="1:7">
      <c r="A217" s="3"/>
      <c r="B217" s="2"/>
      <c r="C217" s="21"/>
      <c r="D217" s="2"/>
      <c r="E217" s="38"/>
      <c r="F217" s="2"/>
      <c r="G217" s="38"/>
    </row>
    <row r="218" spans="1:7">
      <c r="A218" s="3"/>
      <c r="B218" s="2"/>
      <c r="C218" s="21"/>
      <c r="D218" s="2"/>
      <c r="E218" s="38"/>
      <c r="F218" s="2"/>
      <c r="G218" s="38"/>
    </row>
    <row r="219" spans="1:7">
      <c r="A219" s="3"/>
      <c r="B219" s="2"/>
      <c r="C219" s="21"/>
      <c r="D219" s="2"/>
      <c r="E219" s="38"/>
      <c r="F219" s="2"/>
      <c r="G219" s="38"/>
    </row>
    <row r="220" spans="1:7">
      <c r="A220" s="3"/>
      <c r="B220" s="2"/>
      <c r="C220" s="21"/>
      <c r="D220" s="2"/>
      <c r="E220" s="38"/>
      <c r="F220" s="2"/>
      <c r="G220" s="38"/>
    </row>
    <row r="221" spans="1:7">
      <c r="A221" s="3"/>
      <c r="B221" s="2"/>
      <c r="C221" s="21"/>
      <c r="D221" s="2"/>
      <c r="E221" s="38"/>
      <c r="F221" s="2"/>
      <c r="G221" s="38"/>
    </row>
    <row r="222" spans="1:7">
      <c r="A222" s="3"/>
      <c r="B222" s="2"/>
      <c r="C222" s="21"/>
      <c r="D222" s="2"/>
      <c r="E222" s="38"/>
      <c r="F222" s="2"/>
      <c r="G222" s="38"/>
    </row>
    <row r="223" spans="1:7">
      <c r="A223" s="3"/>
      <c r="B223" s="2"/>
      <c r="C223" s="21"/>
      <c r="D223" s="2"/>
      <c r="E223" s="38"/>
      <c r="F223" s="2"/>
      <c r="G223" s="38"/>
    </row>
    <row r="224" spans="1:7">
      <c r="A224" s="3"/>
      <c r="B224" s="2"/>
      <c r="C224" s="21"/>
      <c r="D224" s="2"/>
      <c r="E224" s="38"/>
      <c r="F224" s="2"/>
      <c r="G224" s="38"/>
    </row>
    <row r="225" spans="1:7">
      <c r="A225" s="3"/>
      <c r="B225" s="2"/>
      <c r="C225" s="21"/>
      <c r="D225" s="2"/>
      <c r="E225" s="38"/>
      <c r="F225" s="2"/>
      <c r="G225" s="38"/>
    </row>
    <row r="226" spans="1:7">
      <c r="A226" s="3"/>
      <c r="B226" s="2"/>
      <c r="C226" s="21"/>
      <c r="D226" s="2"/>
      <c r="E226" s="38"/>
      <c r="F226" s="2"/>
      <c r="G226" s="38"/>
    </row>
    <row r="227" spans="1:7">
      <c r="A227" s="3"/>
      <c r="B227" s="2"/>
      <c r="C227" s="21"/>
      <c r="D227" s="2"/>
      <c r="E227" s="38"/>
      <c r="F227" s="2"/>
      <c r="G227" s="38"/>
    </row>
    <row r="228" spans="1:7">
      <c r="A228" s="3"/>
      <c r="B228" s="2"/>
      <c r="C228" s="21"/>
      <c r="D228" s="2"/>
      <c r="E228" s="38"/>
      <c r="F228" s="2"/>
      <c r="G228" s="38"/>
    </row>
    <row r="229" spans="1:7">
      <c r="A229" s="3"/>
      <c r="B229" s="2"/>
      <c r="C229" s="21"/>
      <c r="D229" s="2"/>
      <c r="E229" s="38"/>
      <c r="F229" s="2"/>
      <c r="G229" s="38"/>
    </row>
    <row r="230" spans="1:7">
      <c r="A230" s="3"/>
      <c r="B230" s="2"/>
      <c r="C230" s="21"/>
      <c r="D230" s="2"/>
      <c r="E230" s="38"/>
      <c r="F230" s="2"/>
      <c r="G230" s="38"/>
    </row>
    <row r="231" spans="1:7">
      <c r="A231" s="3"/>
      <c r="B231" s="2"/>
      <c r="C231" s="21"/>
      <c r="D231" s="2"/>
      <c r="E231" s="38"/>
      <c r="F231" s="2"/>
      <c r="G231" s="38"/>
    </row>
    <row r="232" spans="1:7">
      <c r="A232" s="3"/>
      <c r="B232" s="2"/>
      <c r="C232" s="21"/>
      <c r="D232" s="2"/>
      <c r="E232" s="38"/>
      <c r="F232" s="2"/>
      <c r="G232" s="38"/>
    </row>
    <row r="233" spans="1:7">
      <c r="A233" s="3"/>
      <c r="B233" s="2"/>
      <c r="C233" s="21"/>
      <c r="D233" s="2"/>
      <c r="E233" s="38"/>
      <c r="F233" s="2"/>
      <c r="G233" s="38"/>
    </row>
    <row r="234" spans="1:7">
      <c r="A234" s="3"/>
      <c r="B234" s="2"/>
      <c r="C234" s="21"/>
      <c r="D234" s="2"/>
      <c r="E234" s="38"/>
      <c r="F234" s="2"/>
      <c r="G234" s="38"/>
    </row>
    <row r="235" spans="1:7">
      <c r="A235" s="3"/>
      <c r="B235" s="2"/>
      <c r="C235" s="21"/>
      <c r="D235" s="2"/>
      <c r="E235" s="38"/>
      <c r="F235" s="2"/>
      <c r="G235" s="38"/>
    </row>
    <row r="236" spans="1:7">
      <c r="A236" s="3"/>
      <c r="B236" s="2"/>
      <c r="C236" s="21"/>
      <c r="D236" s="2"/>
      <c r="E236" s="38"/>
      <c r="F236" s="2"/>
      <c r="G236" s="38"/>
    </row>
    <row r="237" spans="1:7">
      <c r="A237" s="3"/>
      <c r="B237" s="2"/>
      <c r="C237" s="21"/>
      <c r="D237" s="2"/>
      <c r="E237" s="38"/>
      <c r="F237" s="2"/>
      <c r="G237" s="38"/>
    </row>
    <row r="238" spans="1:7">
      <c r="A238" s="3"/>
      <c r="B238" s="2"/>
      <c r="C238" s="21"/>
      <c r="D238" s="2"/>
      <c r="E238" s="38"/>
      <c r="F238" s="2"/>
      <c r="G238" s="38"/>
    </row>
    <row r="239" spans="1:7">
      <c r="A239" s="3"/>
      <c r="B239" s="2"/>
      <c r="C239" s="21"/>
      <c r="D239" s="2"/>
      <c r="E239" s="38"/>
      <c r="F239" s="2"/>
      <c r="G239" s="38"/>
    </row>
    <row r="240" spans="1:7">
      <c r="A240" s="3"/>
      <c r="B240" s="2"/>
      <c r="C240" s="21"/>
      <c r="D240" s="2"/>
      <c r="E240" s="38"/>
      <c r="F240" s="2"/>
      <c r="G240" s="38"/>
    </row>
    <row r="241" spans="1:7">
      <c r="A241" s="3"/>
      <c r="B241" s="2"/>
      <c r="C241" s="21"/>
      <c r="D241" s="2"/>
      <c r="E241" s="38"/>
      <c r="F241" s="2"/>
      <c r="G241" s="38"/>
    </row>
    <row r="242" spans="1:7">
      <c r="A242" s="3"/>
      <c r="B242" s="2"/>
      <c r="C242" s="21"/>
      <c r="D242" s="2"/>
      <c r="E242" s="38"/>
      <c r="F242" s="2"/>
      <c r="G242" s="38"/>
    </row>
    <row r="243" spans="1:7">
      <c r="A243" s="3"/>
      <c r="B243" s="2"/>
      <c r="C243" s="21"/>
      <c r="D243" s="2"/>
      <c r="E243" s="38"/>
      <c r="F243" s="2"/>
      <c r="G243" s="38"/>
    </row>
    <row r="244" spans="1:7">
      <c r="A244" s="3"/>
      <c r="B244" s="2"/>
      <c r="C244" s="21"/>
      <c r="D244" s="2"/>
      <c r="E244" s="38"/>
      <c r="F244" s="2"/>
      <c r="G244" s="38"/>
    </row>
    <row r="245" spans="1:7">
      <c r="A245" s="3"/>
      <c r="B245" s="2"/>
      <c r="C245" s="21"/>
      <c r="D245" s="2"/>
      <c r="E245" s="38"/>
      <c r="F245" s="2"/>
      <c r="G245" s="38"/>
    </row>
    <row r="246" spans="1:7">
      <c r="A246" s="3"/>
      <c r="B246" s="2"/>
      <c r="C246" s="21"/>
      <c r="D246" s="2"/>
      <c r="E246" s="38"/>
      <c r="F246" s="2"/>
      <c r="G246" s="38"/>
    </row>
    <row r="247" spans="1:7">
      <c r="A247" s="3"/>
      <c r="B247" s="2"/>
      <c r="C247" s="21"/>
      <c r="D247" s="2"/>
      <c r="E247" s="38"/>
      <c r="F247" s="2"/>
      <c r="G247" s="38"/>
    </row>
    <row r="248" spans="1:7">
      <c r="A248" s="3"/>
      <c r="B248" s="2"/>
      <c r="C248" s="21"/>
      <c r="D248" s="2"/>
      <c r="E248" s="38"/>
      <c r="F248" s="2"/>
      <c r="G248" s="38"/>
    </row>
    <row r="249" spans="1:7">
      <c r="A249" s="3"/>
      <c r="B249" s="2"/>
      <c r="C249" s="21"/>
      <c r="D249" s="2"/>
      <c r="E249" s="38"/>
      <c r="F249" s="2"/>
      <c r="G249" s="38"/>
    </row>
    <row r="250" spans="1:7">
      <c r="C250" s="35"/>
      <c r="E250" s="61"/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B120"/>
  <sheetViews>
    <sheetView workbookViewId="0">
      <selection activeCell="B2" sqref="B2:B11"/>
    </sheetView>
  </sheetViews>
  <sheetFormatPr baseColWidth="10" defaultRowHeight="15"/>
  <cols>
    <col min="1" max="1" width="14.7109375" style="18" customWidth="1"/>
    <col min="2" max="2" width="15.140625" style="18" customWidth="1"/>
  </cols>
  <sheetData>
    <row r="1" spans="1:2">
      <c r="A1" s="1" t="s">
        <v>20</v>
      </c>
      <c r="B1" s="1" t="s">
        <v>21</v>
      </c>
    </row>
    <row r="2" spans="1:2">
      <c r="A2" s="19">
        <v>42248</v>
      </c>
      <c r="B2" s="4">
        <f>SUMPRODUCT((YEAR(Stats!$A$2:A229)=YEAR(A2))*(MONTH(Stats!$A$2:A229)=MONTH(A2))*1)</f>
        <v>7</v>
      </c>
    </row>
    <row r="3" spans="1:2">
      <c r="A3" s="19">
        <v>42278</v>
      </c>
      <c r="B3" s="4">
        <f>SUMPRODUCT((YEAR(Stats!$A$2:A230)=YEAR(A3))*(MONTH(Stats!$A$2:A230)=MONTH(A3))*1)</f>
        <v>13</v>
      </c>
    </row>
    <row r="4" spans="1:2">
      <c r="A4" s="19">
        <v>42309</v>
      </c>
      <c r="B4" s="4">
        <f>SUMPRODUCT((YEAR(Stats!$A$2:A231)=YEAR(A4))*(MONTH(Stats!$A$2:A231)=MONTH(A4))*1)</f>
        <v>4</v>
      </c>
    </row>
    <row r="5" spans="1:2">
      <c r="A5" s="19">
        <v>42339</v>
      </c>
      <c r="B5" s="4">
        <f>SUMPRODUCT((YEAR(Stats!$A$2:A232)=YEAR(A5))*(MONTH(Stats!$A$2:A232)=MONTH(A5))*1)</f>
        <v>2</v>
      </c>
    </row>
    <row r="6" spans="1:2">
      <c r="A6" s="19">
        <v>42370</v>
      </c>
      <c r="B6" s="4">
        <f>SUMPRODUCT((YEAR(Stats!$A$2:A233)=YEAR(A6))*(MONTH(Stats!$A$2:A233)=MONTH(A6))*1)</f>
        <v>2</v>
      </c>
    </row>
    <row r="7" spans="1:2">
      <c r="A7" s="19">
        <v>42401</v>
      </c>
      <c r="B7" s="4">
        <f>SUMPRODUCT((YEAR(Stats!$A$2:A234)=YEAR(A7))*(MONTH(Stats!$A$2:A234)=MONTH(A7))*1)</f>
        <v>0</v>
      </c>
    </row>
    <row r="8" spans="1:2">
      <c r="A8" s="19">
        <v>42430</v>
      </c>
      <c r="B8" s="4">
        <f>SUMPRODUCT((YEAR(Stats!$A$2:A235)=YEAR(A8))*(MONTH(Stats!$A$2:A235)=MONTH(A8))*1)</f>
        <v>0</v>
      </c>
    </row>
    <row r="9" spans="1:2">
      <c r="A9" s="19">
        <v>42461</v>
      </c>
      <c r="B9" s="4">
        <f>SUMPRODUCT((YEAR(Stats!$A$2:A236)=YEAR(A9))*(MONTH(Stats!$A$2:A236)=MONTH(A9))*1)</f>
        <v>0</v>
      </c>
    </row>
    <row r="10" spans="1:2">
      <c r="A10" s="19">
        <v>42491</v>
      </c>
      <c r="B10" s="4">
        <f>SUMPRODUCT((YEAR(Stats!$A$2:A237)=YEAR(A10))*(MONTH(Stats!$A$2:A237)=MONTH(A10))*1)</f>
        <v>0</v>
      </c>
    </row>
    <row r="11" spans="1:2">
      <c r="A11" s="19">
        <v>42522</v>
      </c>
      <c r="B11" s="4">
        <f>SUMPRODUCT((YEAR(Stats!$A$2:A238)=YEAR(A11))*(MONTH(Stats!$A$2:A238)=MONTH(A11))*1)</f>
        <v>0</v>
      </c>
    </row>
    <row r="12" spans="1:2">
      <c r="A12" s="4"/>
      <c r="B12" s="4"/>
    </row>
    <row r="13" spans="1:2">
      <c r="A13" s="4"/>
      <c r="B13" s="4"/>
    </row>
    <row r="14" spans="1:2">
      <c r="A14" s="4"/>
      <c r="B14" s="4"/>
    </row>
    <row r="15" spans="1:2">
      <c r="A15" s="4"/>
      <c r="B15" s="4"/>
    </row>
    <row r="16" spans="1:2">
      <c r="A16" s="4"/>
      <c r="B16" s="4"/>
    </row>
    <row r="17" spans="1:2">
      <c r="A17" s="4"/>
      <c r="B17" s="4"/>
    </row>
    <row r="18" spans="1:2">
      <c r="A18" s="4"/>
      <c r="B18" s="4"/>
    </row>
    <row r="19" spans="1:2">
      <c r="A19" s="4"/>
      <c r="B19" s="4"/>
    </row>
    <row r="20" spans="1:2">
      <c r="A20" s="4"/>
      <c r="B20" s="4"/>
    </row>
    <row r="21" spans="1:2">
      <c r="A21" s="4"/>
      <c r="B21" s="4"/>
    </row>
    <row r="22" spans="1:2">
      <c r="A22" s="4"/>
      <c r="B22" s="4"/>
    </row>
    <row r="23" spans="1:2">
      <c r="A23" s="4"/>
      <c r="B23" s="4"/>
    </row>
    <row r="24" spans="1:2">
      <c r="A24" s="4"/>
      <c r="B24" s="4"/>
    </row>
    <row r="25" spans="1:2">
      <c r="A25" s="4"/>
      <c r="B25" s="4"/>
    </row>
    <row r="26" spans="1:2">
      <c r="A26" s="4"/>
      <c r="B26" s="4"/>
    </row>
    <row r="27" spans="1:2">
      <c r="A27" s="4"/>
      <c r="B27" s="4"/>
    </row>
    <row r="28" spans="1:2">
      <c r="A28" s="4"/>
      <c r="B28" s="4"/>
    </row>
    <row r="29" spans="1:2">
      <c r="A29" s="4"/>
      <c r="B29" s="4"/>
    </row>
    <row r="30" spans="1:2">
      <c r="A30" s="4"/>
      <c r="B30" s="4"/>
    </row>
    <row r="31" spans="1:2">
      <c r="A31" s="4"/>
      <c r="B31" s="4"/>
    </row>
    <row r="32" spans="1:2">
      <c r="A32" s="4"/>
      <c r="B32" s="4"/>
    </row>
    <row r="33" spans="1:2">
      <c r="A33" s="4"/>
      <c r="B33" s="4"/>
    </row>
    <row r="34" spans="1:2">
      <c r="A34" s="4"/>
      <c r="B34" s="4"/>
    </row>
    <row r="35" spans="1:2">
      <c r="A35" s="4"/>
      <c r="B35" s="4"/>
    </row>
    <row r="36" spans="1:2">
      <c r="A36" s="4"/>
      <c r="B36" s="4"/>
    </row>
    <row r="37" spans="1:2">
      <c r="A37" s="4"/>
      <c r="B37" s="4"/>
    </row>
    <row r="38" spans="1:2">
      <c r="A38" s="4"/>
      <c r="B38" s="4"/>
    </row>
    <row r="39" spans="1:2">
      <c r="A39" s="4"/>
      <c r="B39" s="4"/>
    </row>
    <row r="40" spans="1:2">
      <c r="A40" s="4"/>
      <c r="B40" s="4"/>
    </row>
    <row r="41" spans="1:2">
      <c r="A41" s="4"/>
      <c r="B41" s="4"/>
    </row>
    <row r="42" spans="1:2">
      <c r="A42" s="4"/>
      <c r="B42" s="4"/>
    </row>
    <row r="43" spans="1:2">
      <c r="A43" s="4"/>
      <c r="B43" s="4"/>
    </row>
    <row r="44" spans="1:2">
      <c r="A44" s="4"/>
      <c r="B44" s="4"/>
    </row>
    <row r="45" spans="1:2">
      <c r="A45" s="4"/>
      <c r="B45" s="4"/>
    </row>
    <row r="46" spans="1:2">
      <c r="A46" s="4"/>
      <c r="B46" s="4"/>
    </row>
    <row r="47" spans="1:2">
      <c r="A47" s="4"/>
      <c r="B47" s="4"/>
    </row>
    <row r="48" spans="1:2">
      <c r="A48" s="4"/>
      <c r="B48" s="4"/>
    </row>
    <row r="49" spans="1:2">
      <c r="A49" s="4"/>
      <c r="B49" s="4"/>
    </row>
    <row r="50" spans="1:2">
      <c r="A50" s="4"/>
      <c r="B50" s="4"/>
    </row>
    <row r="51" spans="1:2">
      <c r="A51" s="4"/>
      <c r="B51" s="4"/>
    </row>
    <row r="52" spans="1:2">
      <c r="A52" s="4"/>
      <c r="B52" s="4"/>
    </row>
    <row r="53" spans="1:2">
      <c r="A53" s="4"/>
      <c r="B53" s="4"/>
    </row>
    <row r="54" spans="1:2">
      <c r="A54" s="4"/>
      <c r="B54" s="4"/>
    </row>
    <row r="55" spans="1:2">
      <c r="A55" s="4"/>
      <c r="B55" s="4"/>
    </row>
    <row r="56" spans="1:2">
      <c r="A56" s="4"/>
      <c r="B56" s="4"/>
    </row>
    <row r="57" spans="1:2">
      <c r="A57" s="4"/>
      <c r="B57" s="4"/>
    </row>
    <row r="58" spans="1:2">
      <c r="A58" s="4"/>
      <c r="B58" s="4"/>
    </row>
    <row r="59" spans="1:2">
      <c r="A59" s="4"/>
      <c r="B59" s="4"/>
    </row>
    <row r="60" spans="1:2">
      <c r="A60" s="4"/>
      <c r="B60" s="4"/>
    </row>
    <row r="61" spans="1:2">
      <c r="A61" s="4"/>
      <c r="B61" s="4"/>
    </row>
    <row r="62" spans="1:2">
      <c r="A62" s="4"/>
      <c r="B62" s="4"/>
    </row>
    <row r="63" spans="1:2">
      <c r="A63" s="4"/>
      <c r="B63" s="4"/>
    </row>
    <row r="64" spans="1:2">
      <c r="A64" s="4"/>
      <c r="B64" s="4"/>
    </row>
    <row r="65" spans="1:2">
      <c r="A65" s="4"/>
      <c r="B65" s="4"/>
    </row>
    <row r="66" spans="1:2">
      <c r="A66" s="4"/>
      <c r="B66" s="4"/>
    </row>
    <row r="67" spans="1:2">
      <c r="A67" s="4"/>
      <c r="B67" s="4"/>
    </row>
    <row r="68" spans="1:2">
      <c r="A68" s="4"/>
      <c r="B68" s="4"/>
    </row>
    <row r="69" spans="1:2">
      <c r="A69" s="4"/>
      <c r="B69" s="4"/>
    </row>
    <row r="70" spans="1:2">
      <c r="A70" s="4"/>
      <c r="B70" s="4"/>
    </row>
    <row r="71" spans="1:2">
      <c r="A71" s="4"/>
      <c r="B71" s="4"/>
    </row>
    <row r="72" spans="1:2">
      <c r="A72" s="4"/>
      <c r="B72" s="4"/>
    </row>
    <row r="73" spans="1:2">
      <c r="A73" s="4"/>
      <c r="B73" s="4"/>
    </row>
    <row r="74" spans="1:2">
      <c r="A74" s="4"/>
      <c r="B74" s="4"/>
    </row>
    <row r="75" spans="1:2">
      <c r="A75" s="4"/>
      <c r="B75" s="4"/>
    </row>
    <row r="76" spans="1:2">
      <c r="A76" s="4"/>
      <c r="B76" s="4"/>
    </row>
    <row r="77" spans="1:2">
      <c r="A77" s="4"/>
      <c r="B77" s="4"/>
    </row>
    <row r="78" spans="1:2">
      <c r="A78" s="4"/>
      <c r="B78" s="4"/>
    </row>
    <row r="79" spans="1:2">
      <c r="A79" s="4"/>
      <c r="B79" s="4"/>
    </row>
    <row r="80" spans="1:2">
      <c r="A80" s="4"/>
      <c r="B80" s="4"/>
    </row>
    <row r="81" spans="1:2">
      <c r="A81" s="4"/>
      <c r="B81" s="4"/>
    </row>
    <row r="82" spans="1:2">
      <c r="A82" s="4"/>
      <c r="B82" s="4"/>
    </row>
    <row r="83" spans="1:2">
      <c r="A83" s="4"/>
      <c r="B83" s="4"/>
    </row>
    <row r="84" spans="1:2">
      <c r="A84" s="4"/>
      <c r="B84" s="4"/>
    </row>
    <row r="85" spans="1:2">
      <c r="A85" s="4"/>
      <c r="B85" s="4"/>
    </row>
    <row r="86" spans="1:2">
      <c r="A86" s="4"/>
      <c r="B86" s="4"/>
    </row>
    <row r="87" spans="1:2">
      <c r="A87" s="4"/>
      <c r="B87" s="4"/>
    </row>
    <row r="88" spans="1:2">
      <c r="A88" s="4"/>
      <c r="B88" s="4"/>
    </row>
    <row r="89" spans="1:2">
      <c r="A89" s="4"/>
      <c r="B89" s="4"/>
    </row>
    <row r="90" spans="1:2">
      <c r="A90" s="4"/>
      <c r="B90" s="4"/>
    </row>
    <row r="91" spans="1:2">
      <c r="A91" s="4"/>
      <c r="B91" s="4"/>
    </row>
    <row r="92" spans="1:2">
      <c r="A92" s="4"/>
      <c r="B92" s="4"/>
    </row>
    <row r="93" spans="1:2">
      <c r="A93" s="4"/>
      <c r="B93" s="4"/>
    </row>
    <row r="94" spans="1:2">
      <c r="A94" s="4"/>
      <c r="B94" s="4"/>
    </row>
    <row r="95" spans="1:2">
      <c r="A95" s="4"/>
      <c r="B95" s="4"/>
    </row>
    <row r="96" spans="1:2">
      <c r="A96" s="4"/>
      <c r="B96" s="4"/>
    </row>
    <row r="97" spans="1:2">
      <c r="A97" s="4"/>
      <c r="B97" s="4"/>
    </row>
    <row r="98" spans="1:2">
      <c r="A98" s="4"/>
      <c r="B98" s="4"/>
    </row>
    <row r="99" spans="1:2">
      <c r="A99" s="4"/>
      <c r="B99" s="4"/>
    </row>
    <row r="100" spans="1:2">
      <c r="A100" s="4"/>
      <c r="B100" s="4"/>
    </row>
    <row r="101" spans="1:2">
      <c r="A101" s="4"/>
      <c r="B101" s="4"/>
    </row>
    <row r="102" spans="1:2">
      <c r="A102" s="4"/>
      <c r="B102" s="4"/>
    </row>
    <row r="103" spans="1:2">
      <c r="A103" s="4"/>
      <c r="B103" s="4"/>
    </row>
    <row r="104" spans="1:2">
      <c r="A104" s="4"/>
      <c r="B104" s="4"/>
    </row>
    <row r="105" spans="1:2">
      <c r="A105" s="4"/>
      <c r="B105" s="4"/>
    </row>
    <row r="106" spans="1:2">
      <c r="A106" s="4"/>
      <c r="B106" s="4"/>
    </row>
    <row r="107" spans="1:2">
      <c r="A107" s="4"/>
      <c r="B107" s="4"/>
    </row>
    <row r="108" spans="1:2">
      <c r="A108" s="4"/>
      <c r="B108" s="4"/>
    </row>
    <row r="109" spans="1:2">
      <c r="A109" s="4"/>
      <c r="B109" s="4"/>
    </row>
    <row r="110" spans="1:2">
      <c r="A110" s="4"/>
      <c r="B110" s="4"/>
    </row>
    <row r="111" spans="1:2">
      <c r="A111" s="4"/>
      <c r="B111" s="4"/>
    </row>
    <row r="112" spans="1:2">
      <c r="A112" s="4"/>
      <c r="B112" s="4"/>
    </row>
    <row r="113" spans="1:2">
      <c r="A113" s="4"/>
      <c r="B113" s="4"/>
    </row>
    <row r="114" spans="1:2">
      <c r="A114" s="4"/>
      <c r="B114" s="4"/>
    </row>
    <row r="115" spans="1:2">
      <c r="A115" s="4"/>
      <c r="B115" s="4"/>
    </row>
    <row r="116" spans="1:2">
      <c r="A116" s="4"/>
      <c r="B116" s="4"/>
    </row>
    <row r="117" spans="1:2">
      <c r="A117" s="4"/>
      <c r="B117" s="4"/>
    </row>
    <row r="118" spans="1:2">
      <c r="A118" s="4"/>
      <c r="B118" s="4"/>
    </row>
    <row r="119" spans="1:2">
      <c r="A119" s="4"/>
      <c r="B119" s="4"/>
    </row>
    <row r="120" spans="1:2">
      <c r="A120" s="4"/>
      <c r="B120" s="4"/>
    </row>
  </sheetData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>
  <sheetPr>
    <tabColor theme="3"/>
  </sheetPr>
  <dimension ref="A1:AA43"/>
  <sheetViews>
    <sheetView tabSelected="1" workbookViewId="0">
      <selection activeCell="B1" sqref="B1"/>
    </sheetView>
  </sheetViews>
  <sheetFormatPr baseColWidth="10" defaultRowHeight="15"/>
  <cols>
    <col min="1" max="1" width="21.28515625" customWidth="1"/>
    <col min="2" max="2" width="13.42578125" customWidth="1"/>
    <col min="27" max="27" width="22.5703125" customWidth="1"/>
  </cols>
  <sheetData>
    <row r="1" spans="1:27" ht="15.75" thickBot="1">
      <c r="A1" s="69" t="s">
        <v>57</v>
      </c>
      <c r="B1" s="70" t="s">
        <v>26</v>
      </c>
      <c r="AA1" t="str">
        <f>"Répartition des jeux pratiqués par "&amp;B1</f>
        <v>Répartition des jeux pratiqués par Eri</v>
      </c>
    </row>
    <row r="2" spans="1:27" s="44" customFormat="1" ht="42.75">
      <c r="A2" s="68" t="s">
        <v>1</v>
      </c>
      <c r="B2" s="68" t="s">
        <v>37</v>
      </c>
      <c r="C2" s="31" t="s">
        <v>38</v>
      </c>
      <c r="D2" s="31" t="s">
        <v>27</v>
      </c>
      <c r="E2" s="31" t="s">
        <v>22</v>
      </c>
      <c r="AA2" t="str">
        <f>"Fréquence des parties de : "&amp;B1</f>
        <v>Fréquence des parties de : Eri</v>
      </c>
    </row>
    <row r="3" spans="1:27" ht="18.75" customHeight="1">
      <c r="A3" s="5" t="s">
        <v>4</v>
      </c>
      <c r="B3" s="43">
        <f>COUNTIFS(Stats!E$2:$E$240,"*"&amp;Nom&amp;"*",Stats!B$2:$B$240,$A3)</f>
        <v>0</v>
      </c>
      <c r="C3" s="43">
        <f>COUNTIFS(Stats!$F$2:$F$240,Nom,Stats!$B$2:$B$240,$A3)</f>
        <v>0</v>
      </c>
      <c r="D3" s="29">
        <f>IF(B3=0,0,C3/B3)</f>
        <v>0</v>
      </c>
      <c r="E3" s="47">
        <f>SUMIFS(Stats!$C$3:$C$250,Stats!$E$3:$E$250,"*Eri*",Stats!$B$3:$B$250,"Gueules Noires")</f>
        <v>0</v>
      </c>
    </row>
    <row r="4" spans="1:27">
      <c r="A4" s="6" t="s">
        <v>6</v>
      </c>
      <c r="B4" s="43">
        <f>COUNTIFS(Stats!E$2:$E$240,"*"&amp;Nom&amp;"*",Stats!B$2:$B$240,$A4)</f>
        <v>1</v>
      </c>
      <c r="C4" s="43">
        <f>COUNTIFS(Stats!$F$2:$F$240,Nom,Stats!$B$2:$B$240,$A4)</f>
        <v>0</v>
      </c>
      <c r="D4" s="29">
        <f t="shared" ref="D4:D21" si="0">IF(B4=0,0,C4/B4)</f>
        <v>0</v>
      </c>
      <c r="E4" s="47">
        <f>SUMIFS(Stats!$C$3:$C$250,Stats!$E$3:$E$250,"*Eri*",Stats!$B$3:$B$250,"Splendor")</f>
        <v>3.4722222222222224E-2</v>
      </c>
    </row>
    <row r="5" spans="1:27">
      <c r="A5" s="8" t="s">
        <v>9</v>
      </c>
      <c r="B5" s="43">
        <f>COUNTIFS(Stats!E$2:$E$240,"*"&amp;Nom&amp;"*",Stats!B$2:$B$240,$A5)</f>
        <v>3</v>
      </c>
      <c r="C5" s="43">
        <f>COUNTIFS(Stats!$F$2:$F$240,Nom,Stats!$B$2:$B$240,$A5)</f>
        <v>0</v>
      </c>
      <c r="D5" s="29">
        <f t="shared" si="0"/>
        <v>0</v>
      </c>
      <c r="E5" s="47">
        <f>SUMIFS(Stats!$C$3:$C$250,Stats!$E$3:$E$250,"*Eri*",Stats!$B$3:$B$250,"Abyss")</f>
        <v>0.15625</v>
      </c>
    </row>
    <row r="6" spans="1:27" ht="18.75" customHeight="1">
      <c r="A6" s="33" t="s">
        <v>11</v>
      </c>
      <c r="B6" s="43">
        <f>COUNTIFS(Stats!E$2:$E$240,"*"&amp;Nom&amp;"*",Stats!B$2:$B$240,$A6)</f>
        <v>0</v>
      </c>
      <c r="C6" s="43">
        <f>COUNTIFS(Stats!$F$2:$F$240,Nom,Stats!$B$2:$B$240,$A6)</f>
        <v>0</v>
      </c>
      <c r="D6" s="29">
        <f t="shared" si="0"/>
        <v>0</v>
      </c>
      <c r="E6" s="47">
        <f>SUMIFS(Stats!$C$3:$C$250,Stats!$E$3:$E$250,"*Eri*",Stats!$B$3:$B$250,"Seigneur des Anneaux")</f>
        <v>0</v>
      </c>
    </row>
    <row r="7" spans="1:27">
      <c r="A7" s="9" t="s">
        <v>12</v>
      </c>
      <c r="B7" s="43">
        <f>COUNTIFS(Stats!E$2:$E$240,"*"&amp;Nom&amp;"*",Stats!B$2:$B$240,$A7)</f>
        <v>1</v>
      </c>
      <c r="C7" s="43">
        <f>COUNTIFS(Stats!$F$2:$F$240,Nom,Stats!$B$2:$B$240,$A7)</f>
        <v>0</v>
      </c>
      <c r="D7" s="29">
        <f t="shared" si="0"/>
        <v>0</v>
      </c>
      <c r="E7" s="47">
        <f>SUMIFS(Stats!$C$3:$C$250,Stats!$E$3:$E$250,"*Eri*",Stats!$B$3:$B$250,"Agricola")</f>
        <v>7.2916666666666671E-2</v>
      </c>
    </row>
    <row r="8" spans="1:27" ht="18.75" customHeight="1">
      <c r="A8" s="14" t="s">
        <v>23</v>
      </c>
      <c r="B8" s="43">
        <f>COUNTIFS(Stats!E$2:$E$240,"*"&amp;Nom&amp;"*",Stats!B$2:$B$240,$A8)</f>
        <v>0</v>
      </c>
      <c r="C8" s="43">
        <f>COUNTIFS(Stats!$F$2:$F$240,Nom,Stats!$B$2:$B$240,$A8)</f>
        <v>0</v>
      </c>
      <c r="D8" s="29">
        <f t="shared" si="0"/>
        <v>0</v>
      </c>
      <c r="E8" s="47">
        <f>SUMIFS(Stats!$C$3:$C$250,Stats!$E$3:$E$250,"*Eri*",Stats!$B$3:$B$250,"Dungeon Petz")</f>
        <v>0</v>
      </c>
    </row>
    <row r="9" spans="1:27" ht="18.75" customHeight="1">
      <c r="A9" s="10" t="s">
        <v>30</v>
      </c>
      <c r="B9" s="43">
        <f>COUNTIFS(Stats!E$2:$E$240,"*"&amp;Nom&amp;"*",Stats!B$2:$B$240,$A9)</f>
        <v>1</v>
      </c>
      <c r="C9" s="43">
        <f>COUNTIFS(Stats!$F$2:$F$240,Nom,Stats!$B$2:$B$240,$A9)</f>
        <v>0</v>
      </c>
      <c r="D9" s="29">
        <f t="shared" si="0"/>
        <v>0</v>
      </c>
      <c r="E9" s="47">
        <f>SUMIFS(Stats!$C$3:$C$250,Stats!$E$3:$E$250,"*Eri*",Stats!$B$3:$B$250,"Terres d'Arle")</f>
        <v>9.375E-2</v>
      </c>
    </row>
    <row r="10" spans="1:27" ht="15.75" thickBot="1">
      <c r="A10" s="11" t="s">
        <v>13</v>
      </c>
      <c r="B10" s="43">
        <f>COUNTIFS(Stats!E$2:$E$240,"*"&amp;Nom&amp;"*",Stats!B$2:$B$240,$A10)</f>
        <v>0</v>
      </c>
      <c r="C10" s="43">
        <f>COUNTIFS(Stats!$F$2:$F$240,Nom,Stats!$B$2:$B$240,$A10)</f>
        <v>0</v>
      </c>
      <c r="D10" s="29">
        <f t="shared" si="0"/>
        <v>0</v>
      </c>
      <c r="E10" s="47">
        <f>SUMIFS(Stats!$C$3:$C$250,Stats!$E$3:$E$250,"*Eri*",Stats!$B$3:$B$250,"Egizia")</f>
        <v>0</v>
      </c>
    </row>
    <row r="11" spans="1:27" ht="18.75" customHeight="1">
      <c r="A11" s="16" t="s">
        <v>14</v>
      </c>
      <c r="B11" s="43">
        <f>COUNTIFS(Stats!E$2:$E$240,"*"&amp;Nom&amp;"*",Stats!B$2:$B$240,$A11)</f>
        <v>0</v>
      </c>
      <c r="C11" s="43">
        <f>COUNTIFS(Stats!$F$2:$F$240,Nom,Stats!$B$2:$B$240,$A11)</f>
        <v>0</v>
      </c>
      <c r="D11" s="29">
        <f t="shared" si="0"/>
        <v>0</v>
      </c>
      <c r="E11" s="47">
        <f>SUMIFS(Stats!$C$3:$C$250,Stats!$E$3:$E$250,"*Eri*",Stats!$B$3:$B$250,"Les Piliers de la Terre")</f>
        <v>0</v>
      </c>
      <c r="AA11" s="67" t="s">
        <v>59</v>
      </c>
    </row>
    <row r="12" spans="1:27" ht="18.75" customHeight="1">
      <c r="A12" s="2" t="s">
        <v>15</v>
      </c>
      <c r="B12" s="43">
        <f>COUNTIFS(Stats!E$2:$E$240,"*"&amp;Nom&amp;"*",Stats!B$2:$B$240,$A12)</f>
        <v>0</v>
      </c>
      <c r="C12" s="43">
        <f>COUNTIFS(Stats!$F$2:$F$240,Nom,Stats!$B$2:$B$240,$A12)</f>
        <v>0</v>
      </c>
      <c r="D12" s="29">
        <f t="shared" si="0"/>
        <v>0</v>
      </c>
      <c r="E12" s="47">
        <f>SUMIFS(Stats!$C$3:$C$250,Stats!$E$3:$E$250,"*Eri*",Stats!$B$3:$B$250,"Sherlock Holmes")</f>
        <v>0</v>
      </c>
      <c r="AA12" s="64" t="s">
        <v>60</v>
      </c>
    </row>
    <row r="13" spans="1:27" ht="18.75" customHeight="1">
      <c r="A13" s="15" t="s">
        <v>16</v>
      </c>
      <c r="B13" s="43">
        <f>COUNTIFS(Stats!E$2:$E$240,"*"&amp;Nom&amp;"*",Stats!B$2:$B$240,$A13)</f>
        <v>0</v>
      </c>
      <c r="C13" s="43">
        <f>COUNTIFS(Stats!$F$2:$F$240,Nom,Stats!$B$2:$B$240,$A13)</f>
        <v>0</v>
      </c>
      <c r="D13" s="29">
        <f t="shared" si="0"/>
        <v>0</v>
      </c>
      <c r="E13" s="47">
        <f>SUMIFS(Stats!$C$3:$C$250,Stats!$E$3:$E$250,"*Eri*",Stats!$B$3:$B$250,"Civilizations")</f>
        <v>0</v>
      </c>
      <c r="AA13" s="64" t="s">
        <v>26</v>
      </c>
    </row>
    <row r="14" spans="1:27" ht="18.75" customHeight="1">
      <c r="A14" s="13" t="s">
        <v>17</v>
      </c>
      <c r="B14" s="43">
        <f>COUNTIFS(Stats!E$2:$E$240,"*"&amp;Nom&amp;"*",Stats!B$2:$B$240,$A14)</f>
        <v>0</v>
      </c>
      <c r="C14" s="43">
        <f>COUNTIFS(Stats!$F$2:$F$240,Nom,Stats!$B$2:$B$240,$A14)</f>
        <v>0</v>
      </c>
      <c r="D14" s="29">
        <f t="shared" si="0"/>
        <v>0</v>
      </c>
      <c r="E14" s="47">
        <f>SUMIFS(Stats!$C$3:$C$250,Stats!$E$3:$E$250,"*Eri*",Stats!$B$3:$B$250,"Horreur à Arkham")</f>
        <v>0</v>
      </c>
      <c r="AA14" s="64" t="s">
        <v>56</v>
      </c>
    </row>
    <row r="15" spans="1:27" ht="18.75" customHeight="1">
      <c r="A15" s="12" t="s">
        <v>18</v>
      </c>
      <c r="B15" s="43">
        <f>COUNTIFS(Stats!E$2:$E$240,"*"&amp;Nom&amp;"*",Stats!B$2:$B$240,$A15)</f>
        <v>0</v>
      </c>
      <c r="C15" s="43">
        <f>COUNTIFS(Stats!$F$2:$F$240,Nom,Stats!$B$2:$B$240,$A15)</f>
        <v>0</v>
      </c>
      <c r="D15" s="29">
        <f t="shared" si="0"/>
        <v>0</v>
      </c>
      <c r="E15" s="47">
        <f>SUMIFS(Stats!$C$3:$C$250,Stats!$E$3:$E$250,"*Eri*",Stats!$B$3:$B$250,"Les Princes de Catane")</f>
        <v>0</v>
      </c>
      <c r="AA15" s="64" t="s">
        <v>25</v>
      </c>
    </row>
    <row r="16" spans="1:27">
      <c r="A16" s="17" t="s">
        <v>19</v>
      </c>
      <c r="B16" s="43">
        <f>COUNTIFS(Stats!E$2:$E$240,"*"&amp;Nom&amp;"*",Stats!B$2:$B$240,$A16)</f>
        <v>0</v>
      </c>
      <c r="C16" s="43">
        <f>COUNTIFS(Stats!$F$2:$F$240,Nom,Stats!$B$2:$B$240,$A16)</f>
        <v>0</v>
      </c>
      <c r="D16" s="29">
        <f t="shared" si="0"/>
        <v>0</v>
      </c>
      <c r="E16" s="47">
        <f>SUMIFS(Stats!$C$3:$C$250,Stats!$E$3:$E$250,"*Eri*",Stats!$B$3:$B$250,"Andor")</f>
        <v>0</v>
      </c>
      <c r="AA16" s="64"/>
    </row>
    <row r="17" spans="1:27">
      <c r="A17" s="20" t="s">
        <v>24</v>
      </c>
      <c r="B17" s="43">
        <f>COUNTIFS(Stats!E$2:$E$240,"*"&amp;Nom&amp;"*",Stats!B$2:$B$240,$A17)</f>
        <v>0</v>
      </c>
      <c r="C17" s="43">
        <f>COUNTIFS(Stats!$F$2:$F$240,Nom,Stats!$B$2:$B$240,$A17)</f>
        <v>0</v>
      </c>
      <c r="D17" s="29">
        <f t="shared" si="0"/>
        <v>0</v>
      </c>
      <c r="E17" s="47">
        <f>SUMIFS(Stats!$C$3:$C$250,Stats!$E$3:$E$250,"*Eri*",Stats!$B$3:$B$250,"Tournay")</f>
        <v>0</v>
      </c>
      <c r="AA17" s="64"/>
    </row>
    <row r="18" spans="1:27">
      <c r="A18" s="28" t="s">
        <v>28</v>
      </c>
      <c r="B18" s="43">
        <f>COUNTIFS(Stats!E$2:$E$240,"*"&amp;Nom&amp;"*",Stats!B$2:$B$240,$A18)</f>
        <v>1</v>
      </c>
      <c r="C18" s="43">
        <f>COUNTIFS(Stats!$F$2:$F$240,Nom,Stats!$B$2:$B$240,$A18)</f>
        <v>0</v>
      </c>
      <c r="D18" s="29">
        <f t="shared" si="0"/>
        <v>0</v>
      </c>
      <c r="E18" s="47">
        <f>SUMIFS(Stats!$C$3:$C$250,Stats!$E$3:$E$250,"*Eri*",Stats!$B$3:$B$250,"Viceroy")</f>
        <v>2.7777777777777776E-2</v>
      </c>
      <c r="AA18" s="64"/>
    </row>
    <row r="19" spans="1:27">
      <c r="A19" s="34" t="s">
        <v>29</v>
      </c>
      <c r="B19" s="43">
        <f>COUNTIFS(Stats!E$2:$E$240,"*"&amp;Nom&amp;"*",Stats!B$2:$B$240,$A19)</f>
        <v>0</v>
      </c>
      <c r="C19" s="43">
        <f>COUNTIFS(Stats!$F$2:$F$240,Nom,Stats!$B$2:$B$240,$A19)</f>
        <v>0</v>
      </c>
      <c r="D19" s="29">
        <f t="shared" si="0"/>
        <v>0</v>
      </c>
      <c r="E19" s="47">
        <f>SUMIFS(Stats!$C$3:$C$250,Stats!$E$3:$E$250,"*Eri*",Stats!$B$3:$B$250,"Dominant Species")</f>
        <v>0</v>
      </c>
      <c r="AA19" s="64"/>
    </row>
    <row r="20" spans="1:27" ht="18.75" customHeight="1">
      <c r="A20" s="62" t="s">
        <v>58</v>
      </c>
      <c r="B20" s="32">
        <f>COUNTIF(Stats!E$2:$E257,"*"&amp;Nom&amp;"*")-SUM(B3:B19)</f>
        <v>4</v>
      </c>
      <c r="C20" s="32">
        <f>COUNTIF(Stats!$F$2:F240,Nom)-SUM(C3:C19)</f>
        <v>2</v>
      </c>
      <c r="D20" s="29">
        <f t="shared" si="0"/>
        <v>0.5</v>
      </c>
      <c r="E20" s="47">
        <f>SUMIFS(Stats!$C$3:$C$250,Stats!$E$3:$E$250,"*Eri*",Stats!$B$3:$B$250,"*Eri*")</f>
        <v>0.20833333333333331</v>
      </c>
      <c r="AA20" s="64"/>
    </row>
    <row r="21" spans="1:27" s="45" customFormat="1">
      <c r="A21" s="1" t="s">
        <v>39</v>
      </c>
      <c r="B21" s="1">
        <f>SUM(B3:B20)</f>
        <v>11</v>
      </c>
      <c r="C21" s="1">
        <f>SUM(C3:C20)</f>
        <v>2</v>
      </c>
      <c r="D21" s="46">
        <f t="shared" si="0"/>
        <v>0.18181818181818182</v>
      </c>
      <c r="E21" s="48">
        <f>SUM(E3:E20)</f>
        <v>0.59375</v>
      </c>
      <c r="AA21" s="64"/>
    </row>
    <row r="22" spans="1:27">
      <c r="E22" s="49"/>
      <c r="AA22" s="64"/>
    </row>
    <row r="23" spans="1:27">
      <c r="AA23" s="64"/>
    </row>
    <row r="24" spans="1:27">
      <c r="A24" s="1" t="s">
        <v>20</v>
      </c>
      <c r="B24" s="1" t="s">
        <v>21</v>
      </c>
      <c r="AA24" s="64"/>
    </row>
    <row r="25" spans="1:27">
      <c r="A25" s="19">
        <v>42248</v>
      </c>
      <c r="B25" s="51">
        <f>COUNTIFS(Stats!E$2:$E$240,"*"&amp;Nom&amp;"*",Stats!$A$2:$A$240,"&gt;="&amp;DATE(YEAR(A25),MONTH(A25),1),Stats!$A$2:$A$240,"&lt;="&amp;DATE(YEAR(A25),MONTH(A25)+1,0))</f>
        <v>0</v>
      </c>
      <c r="AA25" s="64"/>
    </row>
    <row r="26" spans="1:27">
      <c r="A26" s="19">
        <v>42278</v>
      </c>
      <c r="B26" s="51">
        <f>COUNTIFS(Stats!E$2:$E$240,"*"&amp;Nom&amp;"*",Stats!$A$2:$A$240,"&gt;="&amp;DATE(YEAR(A26),MONTH(A26),1),Stats!$A$2:$A$240,"&lt;="&amp;DATE(YEAR(A26),MONTH(A26)+1,0))</f>
        <v>9</v>
      </c>
      <c r="AA26" s="65"/>
    </row>
    <row r="27" spans="1:27">
      <c r="A27" s="19">
        <v>42309</v>
      </c>
      <c r="B27" s="51">
        <f>COUNTIFS(Stats!E$2:$E$240,"*"&amp;Nom&amp;"*",Stats!$A$2:$A$240,"&gt;="&amp;DATE(YEAR(A27),MONTH(A27),1),Stats!$A$2:$A$240,"&lt;="&amp;DATE(YEAR(A27),MONTH(A27)+1,0))</f>
        <v>2</v>
      </c>
      <c r="AA27" s="64"/>
    </row>
    <row r="28" spans="1:27">
      <c r="A28" s="19">
        <v>42339</v>
      </c>
      <c r="B28" s="51">
        <f>COUNTIFS(Stats!E$2:$E$240,"*"&amp;Nom&amp;"*",Stats!$A$2:$A$240,"&gt;="&amp;DATE(YEAR(A28),MONTH(A28),1),Stats!$A$2:$A$240,"&lt;="&amp;DATE(YEAR(A28),MONTH(A28)+1,0))</f>
        <v>0</v>
      </c>
      <c r="AA28" s="64"/>
    </row>
    <row r="29" spans="1:27">
      <c r="A29" s="19">
        <v>42370</v>
      </c>
      <c r="B29" s="51">
        <f>COUNTIFS(Stats!E$2:$E$240,"*"&amp;Nom&amp;"*",Stats!$A$2:$A$240,"&gt;="&amp;DATE(YEAR(A29),MONTH(A29),1),Stats!$A$2:$A$240,"&lt;="&amp;DATE(YEAR(A29),MONTH(A29)+1,0))</f>
        <v>0</v>
      </c>
      <c r="AA29" s="64"/>
    </row>
    <row r="30" spans="1:27">
      <c r="A30" s="19">
        <v>42401</v>
      </c>
      <c r="B30" s="51">
        <f>COUNTIFS(Stats!E$2:$E$240,"*"&amp;Nom&amp;"*",Stats!$A$2:$A$240,"&gt;="&amp;DATE(YEAR(A30),MONTH(A30),1),Stats!$A$2:$A$240,"&lt;="&amp;DATE(YEAR(A30),MONTH(A30)+1,0))</f>
        <v>0</v>
      </c>
      <c r="AA30" s="64"/>
    </row>
    <row r="31" spans="1:27">
      <c r="A31" s="19">
        <v>42430</v>
      </c>
      <c r="B31" s="51">
        <f>COUNTIFS(Stats!E$2:$E$240,"*"&amp;Nom&amp;"*",Stats!$A$2:$A$240,"&gt;="&amp;DATE(YEAR(A31),MONTH(A31),1),Stats!$A$2:$A$240,"&lt;="&amp;DATE(YEAR(A31),MONTH(A31)+1,0))</f>
        <v>0</v>
      </c>
      <c r="AA31" s="64"/>
    </row>
    <row r="32" spans="1:27">
      <c r="A32" s="19">
        <v>42461</v>
      </c>
      <c r="B32" s="51">
        <f>COUNTIFS(Stats!E$2:$E$240,"*"&amp;Nom&amp;"*",Stats!$A$2:$A$240,"&gt;="&amp;DATE(YEAR(A32),MONTH(A32),1),Stats!$A$2:$A$240,"&lt;="&amp;DATE(YEAR(A32),MONTH(A32)+1,0))</f>
        <v>0</v>
      </c>
      <c r="AA32" s="64"/>
    </row>
    <row r="33" spans="1:27">
      <c r="A33" s="19">
        <v>42491</v>
      </c>
      <c r="B33" s="51">
        <f>COUNTIFS(Stats!E$2:$E$240,"*"&amp;Nom&amp;"*",Stats!$A$2:$A$240,"&gt;="&amp;DATE(YEAR(A33),MONTH(A33),1),Stats!$A$2:$A$240,"&lt;="&amp;DATE(YEAR(A33),MONTH(A33)+1,0))</f>
        <v>0</v>
      </c>
      <c r="AA33" s="64"/>
    </row>
    <row r="34" spans="1:27">
      <c r="A34" s="19">
        <v>42522</v>
      </c>
      <c r="B34" s="51">
        <f>COUNTIFS(Stats!E$2:$E$240,"*"&amp;Nom&amp;"*",Stats!$A$2:$A$240,"&gt;="&amp;DATE(YEAR(A34),MONTH(A34),1),Stats!$A$2:$A$240,"&lt;="&amp;DATE(YEAR(A34),MONTH(A34)+1,0))</f>
        <v>0</v>
      </c>
      <c r="AA34" s="64"/>
    </row>
    <row r="35" spans="1:27">
      <c r="A35" s="4"/>
      <c r="B35" s="4"/>
      <c r="AA35" s="64"/>
    </row>
    <row r="36" spans="1:27">
      <c r="A36" s="4"/>
      <c r="B36" s="51">
        <f>SUM(B25:B35)</f>
        <v>11</v>
      </c>
      <c r="AA36" s="64"/>
    </row>
    <row r="37" spans="1:27">
      <c r="A37" s="4"/>
      <c r="B37" s="4"/>
      <c r="AA37" s="64"/>
    </row>
    <row r="38" spans="1:27" ht="15.75" thickBot="1">
      <c r="A38" s="4"/>
      <c r="B38" s="4"/>
      <c r="D38" s="50"/>
      <c r="AA38" s="66"/>
    </row>
    <row r="39" spans="1:27">
      <c r="A39" s="4"/>
      <c r="B39" s="4"/>
      <c r="AA39" s="63"/>
    </row>
    <row r="40" spans="1:27">
      <c r="A40" s="4"/>
      <c r="B40" s="4"/>
      <c r="AA40" s="63"/>
    </row>
    <row r="41" spans="1:27">
      <c r="A41" s="4"/>
      <c r="B41" s="4"/>
    </row>
    <row r="42" spans="1:27">
      <c r="A42" s="4"/>
      <c r="B42" s="4"/>
    </row>
    <row r="43" spans="1:27">
      <c r="A43" s="4"/>
      <c r="B43" s="4"/>
    </row>
  </sheetData>
  <sortState ref="AA11:AA15">
    <sortCondition ref="AA11"/>
  </sortState>
  <dataValidations count="1">
    <dataValidation type="list" allowBlank="1" showInputMessage="1" showErrorMessage="1" sqref="B1">
      <formula1>Joueurs</formula1>
    </dataValidation>
  </dataValidations>
  <pageMargins left="0.7" right="0.7" top="0.75" bottom="0.75" header="0.3" footer="0.3"/>
  <pageSetup paperSize="9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>
  <sheetPr>
    <tabColor theme="3"/>
  </sheetPr>
  <dimension ref="A1:E42"/>
  <sheetViews>
    <sheetView workbookViewId="0">
      <selection activeCell="B2" sqref="B2"/>
    </sheetView>
  </sheetViews>
  <sheetFormatPr baseColWidth="10" defaultRowHeight="15"/>
  <cols>
    <col min="1" max="1" width="21.28515625" customWidth="1"/>
    <col min="2" max="2" width="13.42578125" customWidth="1"/>
  </cols>
  <sheetData>
    <row r="1" spans="1:5" s="44" customFormat="1" ht="42.75">
      <c r="A1" s="31" t="s">
        <v>1</v>
      </c>
      <c r="B1" s="31" t="s">
        <v>37</v>
      </c>
      <c r="C1" s="31" t="s">
        <v>38</v>
      </c>
      <c r="D1" s="31" t="s">
        <v>27</v>
      </c>
      <c r="E1" s="31" t="s">
        <v>22</v>
      </c>
    </row>
    <row r="2" spans="1:5" ht="18.75" customHeight="1">
      <c r="A2" s="5" t="s">
        <v>4</v>
      </c>
      <c r="B2" s="43">
        <f>COUNTIFS(Stats!D$2:$E240,"*Eri*",Stats!A$2:$B240,"Gueules Noires")</f>
        <v>0</v>
      </c>
      <c r="C2" s="43">
        <f>COUNTIFS(Stats!$F$2:G240,"Eri",Stats!$B$2:C240,"Gueules Noires")</f>
        <v>0</v>
      </c>
      <c r="D2" s="29" t="e">
        <f>C2/B2</f>
        <v>#DIV/0!</v>
      </c>
      <c r="E2" s="47">
        <f>SUMIFS(Stats!$C$3:$C$250,Stats!$E$3:$E$250,"*Eri*",Stats!$B$3:$B$250,"Gueules Noires")</f>
        <v>0</v>
      </c>
    </row>
    <row r="3" spans="1:5">
      <c r="A3" s="6" t="s">
        <v>6</v>
      </c>
      <c r="B3" s="32">
        <f>COUNTIFS(Stats!D$2:$E241,"*Eri*",Stats!A$2:$B241,"Splendor")</f>
        <v>1</v>
      </c>
      <c r="C3" s="32">
        <f>COUNTIFS(Stats!$F$2:G241,"Eri",Stats!$B$2:C241,"Splendor")</f>
        <v>0</v>
      </c>
      <c r="D3" s="29">
        <f t="shared" ref="D3:D20" si="0">C3/B3</f>
        <v>0</v>
      </c>
      <c r="E3" s="47">
        <f>SUMIFS(Stats!$C$3:$C$250,Stats!$E$3:$E$250,"*Eri*",Stats!$B$3:$B$250,"Splendor")</f>
        <v>3.4722222222222224E-2</v>
      </c>
    </row>
    <row r="4" spans="1:5">
      <c r="A4" s="8" t="s">
        <v>9</v>
      </c>
      <c r="B4" s="32">
        <f>COUNTIFS(Stats!D$2:$E243,"*Eri*",Stats!A$2:$B243,"Abyss")</f>
        <v>3</v>
      </c>
      <c r="C4" s="32">
        <f>COUNTIFS(Stats!$F$2:G243,"Eri",Stats!$B$2:C243,"Abyss")</f>
        <v>0</v>
      </c>
      <c r="D4" s="29">
        <f t="shared" si="0"/>
        <v>0</v>
      </c>
      <c r="E4" s="47">
        <f>SUMIFS(Stats!$C$3:$C$250,Stats!$E$3:$E$250,"*Eri*",Stats!$B$3:$B$250,"Abyss")</f>
        <v>0.15625</v>
      </c>
    </row>
    <row r="5" spans="1:5" ht="18.75" customHeight="1">
      <c r="A5" s="33" t="s">
        <v>11</v>
      </c>
      <c r="B5" s="32">
        <f>COUNTIFS(Stats!D$2:$E244,"*Eri*",Stats!A$2:$B244,"Seigneur des Anneaux")</f>
        <v>0</v>
      </c>
      <c r="C5" s="32">
        <f>COUNTIFS(Stats!$F$2:G244,"Eri",Stats!$B$2:C244,"Seigneur des Anneaux")</f>
        <v>0</v>
      </c>
      <c r="D5" s="29" t="e">
        <f t="shared" si="0"/>
        <v>#DIV/0!</v>
      </c>
      <c r="E5" s="47">
        <f>SUMIFS(Stats!$C$3:$C$250,Stats!$E$3:$E$250,"*Eri*",Stats!$B$3:$B$250,"Seigneur des Anneaux")</f>
        <v>0</v>
      </c>
    </row>
    <row r="6" spans="1:5">
      <c r="A6" s="9" t="s">
        <v>12</v>
      </c>
      <c r="B6" s="32">
        <f>COUNTIFS(Stats!D$2:$E245,"*Eri*",Stats!A$2:$B245,"Agricola")</f>
        <v>1</v>
      </c>
      <c r="C6" s="32">
        <f>COUNTIFS(Stats!$F$2:G245,"Eri",Stats!$B$2:C245,"Agricola")</f>
        <v>0</v>
      </c>
      <c r="D6" s="29">
        <f t="shared" si="0"/>
        <v>0</v>
      </c>
      <c r="E6" s="47">
        <f>SUMIFS(Stats!$C$3:$C$250,Stats!$E$3:$E$250,"*Eri*",Stats!$B$3:$B$250,"Agricola")</f>
        <v>7.2916666666666671E-2</v>
      </c>
    </row>
    <row r="7" spans="1:5" ht="18.75" customHeight="1">
      <c r="A7" s="14" t="s">
        <v>23</v>
      </c>
      <c r="B7" s="32">
        <f>COUNTIFS(Stats!D$2:$E246,"*Eri*",Stats!A$2:$B246,"Dungeon Petz")</f>
        <v>0</v>
      </c>
      <c r="C7" s="32">
        <f>COUNTIFS(Stats!$F$2:G246,"Eri",Stats!$B$2:C246,"Dungeon Petz")</f>
        <v>0</v>
      </c>
      <c r="D7" s="29" t="e">
        <f t="shared" si="0"/>
        <v>#DIV/0!</v>
      </c>
      <c r="E7" s="47">
        <f>SUMIFS(Stats!$C$3:$C$250,Stats!$E$3:$E$250,"*Eri*",Stats!$B$3:$B$250,"Dungeon Petz")</f>
        <v>0</v>
      </c>
    </row>
    <row r="8" spans="1:5" ht="18.75" customHeight="1">
      <c r="A8" s="10" t="s">
        <v>30</v>
      </c>
      <c r="B8" s="32">
        <f>COUNTIFS(Stats!D$2:$E247,"*Eri*",Stats!A$2:$B247,"Terres d'Arle")</f>
        <v>1</v>
      </c>
      <c r="C8" s="32">
        <f>COUNTIFS(Stats!$F$2:G247,"Eri",Stats!$B$2:C247,"Terres d'Arle")</f>
        <v>0</v>
      </c>
      <c r="D8" s="29">
        <f t="shared" si="0"/>
        <v>0</v>
      </c>
      <c r="E8" s="47">
        <f>SUMIFS(Stats!$C$3:$C$250,Stats!$E$3:$E$250,"*Eri*",Stats!$B$3:$B$250,"Terres d'Arle")</f>
        <v>9.375E-2</v>
      </c>
    </row>
    <row r="9" spans="1:5">
      <c r="A9" s="11" t="s">
        <v>13</v>
      </c>
      <c r="B9" s="32">
        <f>COUNTIFS(Stats!D$2:$E248,"*Eri*",Stats!A$2:$B248,"Egizia")</f>
        <v>0</v>
      </c>
      <c r="C9" s="32">
        <f>COUNTIFS(Stats!$F$2:G248,"Eri",Stats!$B$2:C248,"Egizia")</f>
        <v>0</v>
      </c>
      <c r="D9" s="29" t="e">
        <f t="shared" si="0"/>
        <v>#DIV/0!</v>
      </c>
      <c r="E9" s="47">
        <f>SUMIFS(Stats!$C$3:$C$250,Stats!$E$3:$E$250,"*Eri*",Stats!$B$3:$B$250,"Egizia")</f>
        <v>0</v>
      </c>
    </row>
    <row r="10" spans="1:5" ht="18.75" customHeight="1">
      <c r="A10" s="16" t="s">
        <v>14</v>
      </c>
      <c r="B10" s="32">
        <f>COUNTIFS(Stats!D$2:$E249,"*Eri*",Stats!A$2:$B249,"Les Piliers de la Terre")</f>
        <v>0</v>
      </c>
      <c r="C10" s="32">
        <f>COUNTIFS(Stats!$F$2:G249,"Eri",Stats!$B$2:C249,"Les Piliers de la Terre")</f>
        <v>0</v>
      </c>
      <c r="D10" s="29" t="e">
        <f t="shared" si="0"/>
        <v>#DIV/0!</v>
      </c>
      <c r="E10" s="47">
        <f>SUMIFS(Stats!$C$3:$C$250,Stats!$E$3:$E$250,"*Eri*",Stats!$B$3:$B$250,"Les Piliers de la Terre")</f>
        <v>0</v>
      </c>
    </row>
    <row r="11" spans="1:5" ht="18.75" customHeight="1">
      <c r="A11" s="2" t="s">
        <v>15</v>
      </c>
      <c r="B11" s="32">
        <f>COUNTIFS(Stats!D$2:$E250,"*Eri*",Stats!A$2:$B250,"Sherlock Holmes")</f>
        <v>0</v>
      </c>
      <c r="C11" s="32">
        <f>COUNTIFS(Stats!$F$2:G250,"Victoire*",Stats!D$2:$E250,"*Eri*",Stats!$B$2:C250,"Sherlock Holmes")</f>
        <v>0</v>
      </c>
      <c r="D11" s="29" t="e">
        <f t="shared" si="0"/>
        <v>#DIV/0!</v>
      </c>
      <c r="E11" s="47">
        <f>SUMIFS(Stats!$C$3:$C$250,Stats!$E$3:$E$250,"*Eri*",Stats!$B$3:$B$250,"Sherlock Holmes")</f>
        <v>0</v>
      </c>
    </row>
    <row r="12" spans="1:5" ht="18.75" customHeight="1">
      <c r="A12" s="15" t="s">
        <v>16</v>
      </c>
      <c r="B12" s="32">
        <f>COUNTIFS(Stats!D$2:$E251,"*Eri*",Stats!A$2:$B251,"Civilizations")</f>
        <v>0</v>
      </c>
      <c r="C12" s="32">
        <f>COUNTIFS(Stats!$F$2:G251,"Eri",Stats!$B$2:C251,"Civilizations")</f>
        <v>0</v>
      </c>
      <c r="D12" s="29" t="e">
        <f t="shared" si="0"/>
        <v>#DIV/0!</v>
      </c>
      <c r="E12" s="47">
        <f>SUMIFS(Stats!$C$3:$C$250,Stats!$E$3:$E$250,"*Eri*",Stats!$B$3:$B$250,"Civilizations")</f>
        <v>0</v>
      </c>
    </row>
    <row r="13" spans="1:5" ht="18.75" customHeight="1">
      <c r="A13" s="13" t="s">
        <v>17</v>
      </c>
      <c r="B13" s="32">
        <f>COUNTIFS(Stats!D$2:$E252,"*Eri*",Stats!A$2:$B252,"Horreur à Arkham")</f>
        <v>0</v>
      </c>
      <c r="C13" s="32">
        <f>COUNTIFS(Stats!$F$2:G252,"Eri",Stats!$B$2:C252,"Horreur à Arkham")</f>
        <v>0</v>
      </c>
      <c r="D13" s="29" t="e">
        <f t="shared" si="0"/>
        <v>#DIV/0!</v>
      </c>
      <c r="E13" s="47">
        <f>SUMIFS(Stats!$C$3:$C$250,Stats!$E$3:$E$250,"*Eri*",Stats!$B$3:$B$250,"Horreur à Arkham")</f>
        <v>0</v>
      </c>
    </row>
    <row r="14" spans="1:5" ht="18.75" customHeight="1">
      <c r="A14" s="12" t="s">
        <v>18</v>
      </c>
      <c r="B14" s="32">
        <f>COUNTIFS(Stats!D$2:$E253,"*Eri*",Stats!A$2:$B253,"Les Princes de Catane")</f>
        <v>0</v>
      </c>
      <c r="C14" s="32">
        <f>COUNTIFS(Stats!$F$2:G253,"Eri",Stats!$B$2:C253,"Les Princes de Catane")</f>
        <v>0</v>
      </c>
      <c r="D14" s="29" t="e">
        <f t="shared" si="0"/>
        <v>#DIV/0!</v>
      </c>
      <c r="E14" s="47">
        <f>SUMIFS(Stats!$C$3:$C$250,Stats!$E$3:$E$250,"*Eri*",Stats!$B$3:$B$250,"Les Princes de Catane")</f>
        <v>0</v>
      </c>
    </row>
    <row r="15" spans="1:5">
      <c r="A15" s="17" t="s">
        <v>19</v>
      </c>
      <c r="B15" s="32">
        <f>COUNTIFS(Stats!D$2:$E254,"*Eri*",Stats!A$2:$B254,"Andor")</f>
        <v>0</v>
      </c>
      <c r="C15" s="32">
        <f>COUNTIFS(Stats!$F$2:G254,"Eri",Stats!$B$2:C254,"Andor")</f>
        <v>0</v>
      </c>
      <c r="D15" s="29" t="e">
        <f t="shared" si="0"/>
        <v>#DIV/0!</v>
      </c>
      <c r="E15" s="47">
        <f>SUMIFS(Stats!$C$3:$C$250,Stats!$E$3:$E$250,"*Eri*",Stats!$B$3:$B$250,"Andor")</f>
        <v>0</v>
      </c>
    </row>
    <row r="16" spans="1:5">
      <c r="A16" s="20" t="s">
        <v>24</v>
      </c>
      <c r="B16" s="32">
        <f>COUNTIFS(Stats!D$2:$E255,"*Eri*",Stats!A$2:$B255,"Tournay")</f>
        <v>0</v>
      </c>
      <c r="C16" s="32">
        <f>COUNTIFS(Stats!$F$2:G255,"Eri",Stats!$B$2:C255,"Tournay")</f>
        <v>0</v>
      </c>
      <c r="D16" s="29" t="e">
        <f t="shared" si="0"/>
        <v>#DIV/0!</v>
      </c>
      <c r="E16" s="47">
        <f>SUMIFS(Stats!$C$3:$C$250,Stats!$E$3:$E$250,"*Eri*",Stats!$B$3:$B$250,"Tournay")</f>
        <v>0</v>
      </c>
    </row>
    <row r="17" spans="1:5">
      <c r="A17" s="28" t="s">
        <v>28</v>
      </c>
      <c r="B17" s="32">
        <f>COUNTIFS(Stats!D$2:$E256,"*Eri*",Stats!A$2:$B256,"Viceroy")</f>
        <v>1</v>
      </c>
      <c r="C17" s="32">
        <f>COUNTIFS(Stats!$F$2:G256,"Eri",Stats!$B$2:C256,"Viceroy")</f>
        <v>0</v>
      </c>
      <c r="D17" s="29">
        <f t="shared" si="0"/>
        <v>0</v>
      </c>
      <c r="E17" s="47">
        <f>SUMIFS(Stats!$C$3:$C$250,Stats!$E$3:$E$250,"*Eri*",Stats!$B$3:$B$250,"Viceroy")</f>
        <v>2.7777777777777776E-2</v>
      </c>
    </row>
    <row r="18" spans="1:5">
      <c r="A18" s="34" t="s">
        <v>29</v>
      </c>
      <c r="B18" s="32">
        <f>COUNTIFS(Stats!D$2:$E256,"*Eri*",Stats!A$2:$B256,"Dominant Species")</f>
        <v>0</v>
      </c>
      <c r="C18" s="32">
        <f>COUNTIFS(Stats!$F$2:G256,"Eri",Stats!$B$2:C256,"Dominant Species")</f>
        <v>0</v>
      </c>
      <c r="D18" s="29" t="e">
        <f t="shared" ref="D18" si="1">C18/B18</f>
        <v>#DIV/0!</v>
      </c>
      <c r="E18" s="47">
        <f>SUMIFS(Stats!$C$3:$C$250,Stats!$E$3:$E$250,"*Eri*",Stats!$B$3:$B$250,"Dominant Species")</f>
        <v>0</v>
      </c>
    </row>
    <row r="19" spans="1:5" ht="18.75" customHeight="1">
      <c r="A19" s="62" t="s">
        <v>44</v>
      </c>
      <c r="B19" s="32">
        <f>COUNTIFS(Stats!D$2:$E257,"*Eri*",Stats!A$2:$B257,"*Eri*")</f>
        <v>4</v>
      </c>
      <c r="C19" s="32">
        <f>COUNTIFS(Stats!$F$2:G257,"Eri",Stats!$B$2:C257,"*Eri*")</f>
        <v>2</v>
      </c>
      <c r="D19" s="29">
        <f t="shared" si="0"/>
        <v>0.5</v>
      </c>
      <c r="E19" s="47">
        <f>SUMIFS(Stats!$C$3:$C$250,Stats!$E$3:$E$250,"*Eri*",Stats!$B$3:$B$250,"*Eri*")</f>
        <v>0.20833333333333331</v>
      </c>
    </row>
    <row r="20" spans="1:5" s="45" customFormat="1" ht="14.25">
      <c r="A20" s="1" t="s">
        <v>39</v>
      </c>
      <c r="B20" s="1">
        <f>SUM(B2:B19)</f>
        <v>11</v>
      </c>
      <c r="C20" s="1">
        <f>SUM(C2:C19)</f>
        <v>2</v>
      </c>
      <c r="D20" s="46">
        <f t="shared" si="0"/>
        <v>0.18181818181818182</v>
      </c>
      <c r="E20" s="48">
        <f>SUM(E2:E19)</f>
        <v>0.59375</v>
      </c>
    </row>
    <row r="21" spans="1:5">
      <c r="E21" s="49"/>
    </row>
    <row r="23" spans="1:5">
      <c r="A23" s="1" t="s">
        <v>20</v>
      </c>
      <c r="B23" s="1" t="s">
        <v>21</v>
      </c>
    </row>
    <row r="24" spans="1:5">
      <c r="A24" s="19">
        <v>42248</v>
      </c>
      <c r="B24" s="51">
        <v>0</v>
      </c>
    </row>
    <row r="25" spans="1:5">
      <c r="A25" s="19">
        <v>42278</v>
      </c>
      <c r="B25" s="51">
        <v>9</v>
      </c>
    </row>
    <row r="26" spans="1:5">
      <c r="A26" s="19">
        <v>42309</v>
      </c>
      <c r="B26" s="51">
        <v>2</v>
      </c>
    </row>
    <row r="27" spans="1:5">
      <c r="A27" s="19">
        <v>42339</v>
      </c>
      <c r="B27" s="51">
        <v>0</v>
      </c>
    </row>
    <row r="28" spans="1:5">
      <c r="A28" s="19">
        <v>42370</v>
      </c>
      <c r="B28" s="51">
        <f>SUMPRODUCT((YEAR(Stats!$A$2:$A$229)=2016)*(MONTH(Stats!$A$2:$A$229)=1)*(Stats!$E$2:$E$229="*Jeanne*"))</f>
        <v>0</v>
      </c>
    </row>
    <row r="29" spans="1:5">
      <c r="A29" s="19">
        <v>42401</v>
      </c>
      <c r="B29" s="51">
        <f>SUMPRODUCT((YEAR(Stats!$A$2:$A$229)=2016)*(MONTH(Stats!$A$2:$A$229)=2)*(Stats!$E$2:$E$229="*Jeanne*"))</f>
        <v>0</v>
      </c>
    </row>
    <row r="30" spans="1:5">
      <c r="A30" s="19">
        <v>42430</v>
      </c>
      <c r="B30" s="51">
        <f>SUMPRODUCT((YEAR(Stats!$A$2:$A$229)=2016)*(MONTH(Stats!$A$2:$A$229)=3)*(Stats!$E$2:$E$229="*Jeanne*"))</f>
        <v>0</v>
      </c>
    </row>
    <row r="31" spans="1:5">
      <c r="A31" s="19">
        <v>42461</v>
      </c>
      <c r="B31" s="51">
        <f>SUMPRODUCT((YEAR(Stats!$A$2:$A$229)=2016)*(MONTH(Stats!$A$2:$A$229)=4)*(Stats!$E$2:$E$229="*Jeanne*"))</f>
        <v>0</v>
      </c>
    </row>
    <row r="32" spans="1:5">
      <c r="A32" s="19">
        <v>42491</v>
      </c>
      <c r="B32" s="51">
        <f>SUMPRODUCT((YEAR(Stats!$A$2:$A$229)=2016)*(MONTH(Stats!$A$2:$A$229)=5)*(Stats!$E$2:$E$229="*Jeanne*"))</f>
        <v>0</v>
      </c>
    </row>
    <row r="33" spans="1:4">
      <c r="A33" s="19">
        <v>42522</v>
      </c>
      <c r="B33" s="51">
        <f>SUMPRODUCT((YEAR(Stats!$A$2:$A$229)=2016)*(MONTH(Stats!$A$2:$A$229)=6)*(Stats!$E$2:$E$229="*Jeanne*"))</f>
        <v>0</v>
      </c>
    </row>
    <row r="34" spans="1:4">
      <c r="A34" s="4"/>
      <c r="B34" s="4"/>
    </row>
    <row r="35" spans="1:4">
      <c r="A35" s="4"/>
      <c r="B35" s="51">
        <f>SUMPRODUCT((YEAR(Stats!$A$2:A240)=2015)*(MONTH(Stats!$A$2:A240)=9)*(Stats!$E$2:E240="*Jeanne*"))</f>
        <v>0</v>
      </c>
    </row>
    <row r="36" spans="1:4">
      <c r="A36" s="4"/>
      <c r="B36" s="4"/>
    </row>
    <row r="37" spans="1:4">
      <c r="A37" s="4"/>
      <c r="B37" s="4"/>
      <c r="D37" s="50"/>
    </row>
    <row r="38" spans="1:4">
      <c r="A38" s="4"/>
      <c r="B38" s="4"/>
    </row>
    <row r="39" spans="1:4">
      <c r="A39" s="4"/>
      <c r="B39" s="4"/>
    </row>
    <row r="40" spans="1:4">
      <c r="A40" s="4"/>
      <c r="B40" s="4"/>
    </row>
    <row r="41" spans="1:4">
      <c r="A41" s="4"/>
      <c r="B41" s="4"/>
    </row>
    <row r="42" spans="1:4">
      <c r="A42" s="4"/>
      <c r="B42" s="4"/>
    </row>
  </sheetData>
  <pageMargins left="0.7" right="0.7" top="0.75" bottom="0.75" header="0.3" footer="0.3"/>
  <pageSetup paperSize="9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>
  <sheetPr>
    <tabColor rgb="FF00FF00"/>
  </sheetPr>
  <dimension ref="A1:E43"/>
  <sheetViews>
    <sheetView workbookViewId="0">
      <selection activeCell="C2" sqref="C2"/>
    </sheetView>
  </sheetViews>
  <sheetFormatPr baseColWidth="10" defaultRowHeight="15"/>
  <cols>
    <col min="1" max="1" width="21.28515625" customWidth="1"/>
    <col min="2" max="2" width="13.42578125" customWidth="1"/>
  </cols>
  <sheetData>
    <row r="1" spans="1:5" s="44" customFormat="1" ht="42.75">
      <c r="A1" s="31" t="s">
        <v>1</v>
      </c>
      <c r="B1" s="31" t="s">
        <v>37</v>
      </c>
      <c r="C1" s="31" t="s">
        <v>38</v>
      </c>
      <c r="D1" s="31" t="s">
        <v>27</v>
      </c>
      <c r="E1" s="31" t="s">
        <v>22</v>
      </c>
    </row>
    <row r="2" spans="1:5" ht="18.75" customHeight="1">
      <c r="A2" s="5" t="s">
        <v>4</v>
      </c>
      <c r="B2" s="43">
        <f>COUNTIFS(Stats!D$2:$E240,"*Jayme*",Stats!A$2:$B240,"Gueules Noires")</f>
        <v>2</v>
      </c>
      <c r="C2" s="43">
        <f>COUNTIFS(Stats!$F$2:G240,"Julien",Stats!$B$2:C240,"Gueules Noires")</f>
        <v>0</v>
      </c>
      <c r="D2" s="29">
        <f>IF(B2=0,0,C2/B2)</f>
        <v>0</v>
      </c>
      <c r="E2" s="47">
        <f>SUMIFS(Stats!$C$3:$C$250,Stats!$E$3:$E$250,"*Julien*",Stats!$B$3:$B$250,"Gueules Noires")</f>
        <v>0</v>
      </c>
    </row>
    <row r="3" spans="1:5">
      <c r="A3" s="6" t="s">
        <v>6</v>
      </c>
      <c r="B3" s="32">
        <f>COUNTIFS(Stats!D$2:$E241,"*Julien*",Stats!A$2:$B241,"Splendor")</f>
        <v>1</v>
      </c>
      <c r="C3" s="32">
        <f>COUNTIFS(Stats!$F$2:G241,"Julien",Stats!$B$2:C241,"Splendor")</f>
        <v>0</v>
      </c>
      <c r="D3" s="29">
        <f t="shared" ref="D3:D20" si="0">IF(B3=0,0,C3/B3)</f>
        <v>0</v>
      </c>
      <c r="E3" s="47">
        <f>SUMIFS(Stats!$C$3:$C$250,Stats!$E$3:$E$250,"*Julien*",Stats!$B$3:$B$250,"Splendor")</f>
        <v>2.7777777777777776E-2</v>
      </c>
    </row>
    <row r="4" spans="1:5">
      <c r="A4" s="8" t="s">
        <v>9</v>
      </c>
      <c r="B4" s="32">
        <f>COUNTIFS(Stats!D$2:$E243,"*Julien*",Stats!A$2:$B243,"Abyss")</f>
        <v>2</v>
      </c>
      <c r="C4" s="32">
        <f>COUNTIFS(Stats!$F$2:G243,"Julien",Stats!$B$2:C243,"Abyss")</f>
        <v>1</v>
      </c>
      <c r="D4" s="29">
        <f t="shared" si="0"/>
        <v>0.5</v>
      </c>
      <c r="E4" s="47">
        <f>SUMIFS(Stats!$C$3:$C$250,Stats!$E$3:$E$250,"*Julien*",Stats!$B$3:$B$250,"Abyss")</f>
        <v>0.11458333333333334</v>
      </c>
    </row>
    <row r="5" spans="1:5" ht="18.75" customHeight="1">
      <c r="A5" s="33" t="s">
        <v>11</v>
      </c>
      <c r="B5" s="32">
        <f>COUNTIFS(Stats!D$2:$E244,"*Julien*",Stats!A$2:$B244,"Seigneur des Anneaux")</f>
        <v>0</v>
      </c>
      <c r="C5" s="32">
        <f>COUNTIFS(Stats!$F$2:G244,"Julien",Stats!$B$2:C244,"Seigneur des Anneaux")</f>
        <v>0</v>
      </c>
      <c r="D5" s="29">
        <f t="shared" si="0"/>
        <v>0</v>
      </c>
      <c r="E5" s="47">
        <f>SUMIFS(Stats!$C$3:$C$250,Stats!$E$3:$E$250,"*Julien*",Stats!$B$3:$B$250,"Seigneur des Anneaux")</f>
        <v>0</v>
      </c>
    </row>
    <row r="6" spans="1:5">
      <c r="A6" s="9" t="s">
        <v>12</v>
      </c>
      <c r="B6" s="32">
        <f>COUNTIFS(Stats!D$2:$E245,"*Julien*",Stats!A$2:$B245,"Agricola")</f>
        <v>0</v>
      </c>
      <c r="C6" s="32">
        <f>COUNTIFS(Stats!$F$2:G245,"Julien",Stats!$B$2:C245,"Agricola")</f>
        <v>0</v>
      </c>
      <c r="D6" s="29">
        <f t="shared" si="0"/>
        <v>0</v>
      </c>
      <c r="E6" s="47">
        <f>SUMIFS(Stats!$C$3:$C$250,Stats!$E$3:$E$250,"*Julien*",Stats!$B$3:$B$250,"Agricola")</f>
        <v>0</v>
      </c>
    </row>
    <row r="7" spans="1:5" ht="18.75" customHeight="1">
      <c r="A7" s="14" t="s">
        <v>23</v>
      </c>
      <c r="B7" s="32">
        <f>COUNTIFS(Stats!D$2:$E246,"*Julien*",Stats!A$2:$B246,"Dungeon Petz")</f>
        <v>0</v>
      </c>
      <c r="C7" s="32">
        <f>COUNTIFS(Stats!$F$2:G246,"Julien",Stats!$B$2:C246,"Dungeon Petz")</f>
        <v>0</v>
      </c>
      <c r="D7" s="29">
        <f t="shared" si="0"/>
        <v>0</v>
      </c>
      <c r="E7" s="47">
        <f>SUMIFS(Stats!$C$3:$C$250,Stats!$E$3:$E$250,"*Julien*",Stats!$B$3:$B$250,"Dungeon Petz")</f>
        <v>0</v>
      </c>
    </row>
    <row r="8" spans="1:5" ht="18.75" customHeight="1">
      <c r="A8" s="10" t="s">
        <v>30</v>
      </c>
      <c r="B8" s="32">
        <f>COUNTIFS(Stats!D$2:$E247,"*Julien*",Stats!A$2:$B247,"Terres d'Arle")</f>
        <v>0</v>
      </c>
      <c r="C8" s="32">
        <f>COUNTIFS(Stats!$F$2:G247,"Julien",Stats!$B$2:C247,"Terres d'Arle")</f>
        <v>0</v>
      </c>
      <c r="D8" s="29">
        <f t="shared" si="0"/>
        <v>0</v>
      </c>
      <c r="E8" s="47">
        <f>SUMIFS(Stats!$C$3:$C$250,Stats!$E$3:$E$250,"*Julien*",Stats!$B$3:$B$250,"Terres d'Arle")</f>
        <v>0</v>
      </c>
    </row>
    <row r="9" spans="1:5">
      <c r="A9" s="11" t="s">
        <v>13</v>
      </c>
      <c r="B9" s="32">
        <f>COUNTIFS(Stats!D$2:$E248,"*Julien*",Stats!A$2:$B248,"Egizia")</f>
        <v>0</v>
      </c>
      <c r="C9" s="32">
        <f>COUNTIFS(Stats!$F$2:G248,"Julien",Stats!$B$2:C248,"Egizia")</f>
        <v>0</v>
      </c>
      <c r="D9" s="29">
        <f t="shared" si="0"/>
        <v>0</v>
      </c>
      <c r="E9" s="47">
        <f>SUMIFS(Stats!$C$3:$C$250,Stats!$E$3:$E$250,"*Julien*",Stats!$B$3:$B$250,"Egizia")</f>
        <v>0</v>
      </c>
    </row>
    <row r="10" spans="1:5" ht="18.75" customHeight="1">
      <c r="A10" s="16" t="s">
        <v>14</v>
      </c>
      <c r="B10" s="32">
        <f>COUNTIFS(Stats!D$2:$E249,"*Julien*",Stats!A$2:$B249,"Les Piliers de la Terre")</f>
        <v>0</v>
      </c>
      <c r="C10" s="32">
        <f>COUNTIFS(Stats!$F$2:G249,"Julien",Stats!$B$2:C249,"Les Piliers de la Terre")</f>
        <v>0</v>
      </c>
      <c r="D10" s="29">
        <f t="shared" si="0"/>
        <v>0</v>
      </c>
      <c r="E10" s="47">
        <f>SUMIFS(Stats!$C$3:$C$250,Stats!$E$3:$E$250,"*Julien*",Stats!$B$3:$B$250,"Les Piliers de la Terre")</f>
        <v>0</v>
      </c>
    </row>
    <row r="11" spans="1:5" ht="18.75" customHeight="1">
      <c r="A11" s="2" t="s">
        <v>15</v>
      </c>
      <c r="B11" s="32">
        <f>COUNTIFS(Stats!D$2:$E250,"*Julien*",Stats!A$2:$B250,"Sherlock Holmes")</f>
        <v>0</v>
      </c>
      <c r="C11" s="32">
        <f>COUNTIFS(Stats!$F$2:G250,"Victoire*",Stats!D$2:$E250,"*Julien*",Stats!$B$2:C250,"Sherlock Holmes")</f>
        <v>0</v>
      </c>
      <c r="D11" s="29">
        <f t="shared" si="0"/>
        <v>0</v>
      </c>
      <c r="E11" s="47">
        <f>SUMIFS(Stats!$C$3:$C$250,Stats!$E$3:$E$250,"*Julien*",Stats!$B$3:$B$250,"Sherlock Holmes")</f>
        <v>0</v>
      </c>
    </row>
    <row r="12" spans="1:5" ht="18.75" customHeight="1">
      <c r="A12" s="15" t="s">
        <v>16</v>
      </c>
      <c r="B12" s="32">
        <f>COUNTIFS(Stats!D$2:$E251,"*Julien*",Stats!A$2:$B251,"Civilizations")</f>
        <v>0</v>
      </c>
      <c r="C12" s="32">
        <f>COUNTIFS(Stats!$F$2:G251,"Julien",Stats!$B$2:C251,"Civilizations")</f>
        <v>0</v>
      </c>
      <c r="D12" s="29">
        <f t="shared" si="0"/>
        <v>0</v>
      </c>
      <c r="E12" s="47">
        <f>SUMIFS(Stats!$C$3:$C$250,Stats!$E$3:$E$250,"*Julien*",Stats!$B$3:$B$250,"Civilizations")</f>
        <v>0</v>
      </c>
    </row>
    <row r="13" spans="1:5" ht="18.75" customHeight="1">
      <c r="A13" s="13" t="s">
        <v>17</v>
      </c>
      <c r="B13" s="32">
        <f>COUNTIFS(Stats!D$2:$E252,"*Julien*",Stats!A$2:$B252,"Horreur à Arkham")</f>
        <v>0</v>
      </c>
      <c r="C13" s="32">
        <f>COUNTIFS(Stats!$F$2:G252,"Julien",Stats!$B$2:C252,"Horreur à Arkham")</f>
        <v>0</v>
      </c>
      <c r="D13" s="29">
        <f t="shared" si="0"/>
        <v>0</v>
      </c>
      <c r="E13" s="47">
        <f>SUMIFS(Stats!$C$3:$C$250,Stats!$E$3:$E$250,"*Julien*",Stats!$B$3:$B$250,"Horreur à Arkham")</f>
        <v>0</v>
      </c>
    </row>
    <row r="14" spans="1:5" ht="18.75" customHeight="1">
      <c r="A14" s="12" t="s">
        <v>18</v>
      </c>
      <c r="B14" s="32">
        <f>COUNTIFS(Stats!D$2:$E253,"*Julien*",Stats!A$2:$B253,"Les Princes de Catane")</f>
        <v>0</v>
      </c>
      <c r="C14" s="32">
        <f>COUNTIFS(Stats!$F$2:G253,"Julien",Stats!$B$2:C253,"Les Princes de Catane")</f>
        <v>0</v>
      </c>
      <c r="D14" s="29">
        <f t="shared" si="0"/>
        <v>0</v>
      </c>
      <c r="E14" s="47">
        <f>SUMIFS(Stats!$C$3:$C$250,Stats!$E$3:$E$250,"*Julien*",Stats!$B$3:$B$250,"Les Princes de Catane")</f>
        <v>0</v>
      </c>
    </row>
    <row r="15" spans="1:5">
      <c r="A15" s="17" t="s">
        <v>19</v>
      </c>
      <c r="B15" s="32">
        <f>COUNTIFS(Stats!D$2:$E254,"*Julien*",Stats!A$2:$B254,"Andor")</f>
        <v>0</v>
      </c>
      <c r="C15" s="32">
        <f>COUNTIFS(Stats!$F$2:G254,"Julien",Stats!$B$2:C254,"Andor")</f>
        <v>0</v>
      </c>
      <c r="D15" s="29">
        <f t="shared" si="0"/>
        <v>0</v>
      </c>
      <c r="E15" s="47">
        <f>SUMIFS(Stats!$C$3:$C$250,Stats!$E$3:$E$250,"*Julien*",Stats!$B$3:$B$250,"Andor")</f>
        <v>0</v>
      </c>
    </row>
    <row r="16" spans="1:5">
      <c r="A16" s="20" t="s">
        <v>24</v>
      </c>
      <c r="B16" s="32">
        <f>COUNTIFS(Stats!D$2:$E255,"*Julien*",Stats!A$2:$B255,"Tournay")</f>
        <v>0</v>
      </c>
      <c r="C16" s="32">
        <f>COUNTIFS(Stats!$F$2:G255,"Julien",Stats!$B$2:C255,"Tournay")</f>
        <v>0</v>
      </c>
      <c r="D16" s="29">
        <f t="shared" si="0"/>
        <v>0</v>
      </c>
      <c r="E16" s="47">
        <f>SUMIFS(Stats!$C$3:$C$250,Stats!$E$3:$E$250,"*Julien*",Stats!$B$3:$B$250,"Tournay")</f>
        <v>0</v>
      </c>
    </row>
    <row r="17" spans="1:5">
      <c r="A17" s="28" t="s">
        <v>28</v>
      </c>
      <c r="B17" s="32">
        <f>COUNTIFS(Stats!D$2:$E256,"*Julien*",Stats!A$2:$B256,"Viceroy")</f>
        <v>0</v>
      </c>
      <c r="C17" s="32">
        <f>COUNTIFS(Stats!$F$2:G256,"Julien",Stats!$B$2:C256,"Viceroy")</f>
        <v>0</v>
      </c>
      <c r="D17" s="29">
        <f t="shared" si="0"/>
        <v>0</v>
      </c>
      <c r="E17" s="47">
        <f>SUMIFS(Stats!$C$3:$C$250,Stats!$E$3:$E$250,"*Julien*",Stats!$B$3:$B$250,"Viceroy")</f>
        <v>0</v>
      </c>
    </row>
    <row r="18" spans="1:5">
      <c r="A18" s="34" t="s">
        <v>29</v>
      </c>
      <c r="B18" s="32">
        <f>COUNTIFS(Stats!D$2:$E256,"*Julien*",Stats!A$2:$B256,"Dominant Species")</f>
        <v>0</v>
      </c>
      <c r="C18" s="32">
        <f>COUNTIFS(Stats!$F$2:G256,"Julien",Stats!$B$2:C256,"Dominant Species")</f>
        <v>0</v>
      </c>
      <c r="D18" s="29">
        <f t="shared" si="0"/>
        <v>0</v>
      </c>
      <c r="E18" s="47">
        <f>SUMIFS(Stats!$C$3:$C$250,Stats!$E$3:$E$250,"*Julien*",Stats!$B$3:$B$250,"Dominant Species")</f>
        <v>0</v>
      </c>
    </row>
    <row r="19" spans="1:5">
      <c r="A19" s="7" t="s">
        <v>7</v>
      </c>
      <c r="B19" s="32">
        <f>COUNTIFS(Stats!D$2:$E256,"*Julien*",Stats!A$2:$B256,"L'Age de Pierre")</f>
        <v>1</v>
      </c>
      <c r="C19" s="32">
        <f>COUNTIFS(Stats!$F$2:G256,"Julien",Stats!$B$2:C256,"L'Age de Pierre")</f>
        <v>0</v>
      </c>
      <c r="D19" s="29">
        <f t="shared" si="0"/>
        <v>0</v>
      </c>
      <c r="E19" s="47">
        <f>SUMIFS(Stats!$C$3:$C$250,Stats!$E$3:$E$250,"*Julien*",Stats!$B$3:$B$250,"L'Age de Pierre")</f>
        <v>8.3333333333333329E-2</v>
      </c>
    </row>
    <row r="20" spans="1:5" ht="18.75" customHeight="1">
      <c r="A20" s="62" t="s">
        <v>44</v>
      </c>
      <c r="B20" s="32">
        <f>COUNTIFS(Stats!D$2:$E257,"*Julien*",Stats!A$2:$B257,"*Eri*")</f>
        <v>1</v>
      </c>
      <c r="C20" s="32">
        <f>COUNTIFS(Stats!$F$2:G257,"Julien",Stats!$B$2:C257,"*Eri*")</f>
        <v>0</v>
      </c>
      <c r="D20" s="29">
        <f t="shared" si="0"/>
        <v>0</v>
      </c>
      <c r="E20" s="47">
        <f>SUMIFS(Stats!$C$3:$C$250,Stats!$E$3:$E$250,"*Julien*",Stats!$B$3:$B$250,"*Eri*")</f>
        <v>6.25E-2</v>
      </c>
    </row>
    <row r="21" spans="1:5" s="45" customFormat="1" ht="14.25">
      <c r="A21" s="1" t="s">
        <v>39</v>
      </c>
      <c r="B21" s="1">
        <f>SUM(B2:B20)</f>
        <v>7</v>
      </c>
      <c r="C21" s="1">
        <f>SUM(C2:C20)</f>
        <v>1</v>
      </c>
      <c r="D21" s="46">
        <f t="shared" ref="D21" si="1">C21/B21</f>
        <v>0.14285714285714285</v>
      </c>
      <c r="E21" s="48">
        <f>SUM(E2:E20)</f>
        <v>0.28819444444444442</v>
      </c>
    </row>
    <row r="22" spans="1:5">
      <c r="E22" s="49"/>
    </row>
    <row r="24" spans="1:5">
      <c r="A24" s="1" t="s">
        <v>20</v>
      </c>
      <c r="B24" s="1" t="s">
        <v>21</v>
      </c>
    </row>
    <row r="25" spans="1:5">
      <c r="A25" s="19">
        <v>42248</v>
      </c>
      <c r="B25" s="51">
        <v>2</v>
      </c>
    </row>
    <row r="26" spans="1:5">
      <c r="A26" s="19">
        <v>42278</v>
      </c>
      <c r="B26" s="51">
        <v>2</v>
      </c>
    </row>
    <row r="27" spans="1:5">
      <c r="A27" s="19">
        <v>42309</v>
      </c>
      <c r="B27" s="51">
        <v>1</v>
      </c>
    </row>
    <row r="28" spans="1:5">
      <c r="A28" s="19">
        <v>42339</v>
      </c>
      <c r="B28" s="51">
        <f>SUMPRODUCT((YEAR(Stats!$A$2:$A$229)=2015)*(MONTH(Stats!$A$2:$A$229)=12)*(Stats!$E$2:$E$229="*Jeanne*"))</f>
        <v>0</v>
      </c>
    </row>
    <row r="29" spans="1:5">
      <c r="A29" s="19">
        <v>42370</v>
      </c>
      <c r="B29" s="51">
        <f>SUMPRODUCT((YEAR(Stats!$A$2:$A$229)=2016)*(MONTH(Stats!$A$2:$A$229)=1)*(Stats!$E$2:$E$229="*Jeanne*"))</f>
        <v>0</v>
      </c>
    </row>
    <row r="30" spans="1:5">
      <c r="A30" s="19">
        <v>42401</v>
      </c>
      <c r="B30" s="51">
        <f>SUMPRODUCT((YEAR(Stats!$A$2:$A$229)=2016)*(MONTH(Stats!$A$2:$A$229)=2)*(Stats!$E$2:$E$229="*Jeanne*"))</f>
        <v>0</v>
      </c>
    </row>
    <row r="31" spans="1:5">
      <c r="A31" s="19">
        <v>42430</v>
      </c>
      <c r="B31" s="51">
        <f>SUMPRODUCT((YEAR(Stats!$A$2:$A$229)=2016)*(MONTH(Stats!$A$2:$A$229)=3)*(Stats!$E$2:$E$229="*Jeanne*"))</f>
        <v>0</v>
      </c>
    </row>
    <row r="32" spans="1:5">
      <c r="A32" s="19">
        <v>42461</v>
      </c>
      <c r="B32" s="51">
        <f>SUMPRODUCT((YEAR(Stats!$A$2:$A$229)=2016)*(MONTH(Stats!$A$2:$A$229)=4)*(Stats!$E$2:$E$229="*Jeanne*"))</f>
        <v>0</v>
      </c>
    </row>
    <row r="33" spans="1:4">
      <c r="A33" s="19">
        <v>42491</v>
      </c>
      <c r="B33" s="51">
        <f>SUMPRODUCT((YEAR(Stats!$A$2:$A$229)=2016)*(MONTH(Stats!$A$2:$A$229)=5)*(Stats!$E$2:$E$229="*Jeanne*"))</f>
        <v>0</v>
      </c>
    </row>
    <row r="34" spans="1:4">
      <c r="A34" s="19">
        <v>42522</v>
      </c>
      <c r="B34" s="51">
        <f>SUMPRODUCT((YEAR(Stats!$A$2:$A$229)=2016)*(MONTH(Stats!$A$2:$A$229)=6)*(Stats!$E$2:$E$229="*Jeanne*"))</f>
        <v>0</v>
      </c>
    </row>
    <row r="35" spans="1:4">
      <c r="A35" s="4"/>
      <c r="B35" s="4"/>
    </row>
    <row r="36" spans="1:4">
      <c r="A36" s="4"/>
      <c r="B36" s="51">
        <f>SUMPRODUCT((YEAR(Stats!$A$2:A240)=2015)*(MONTH(Stats!$A$2:A240)=9)*(Stats!$E$2:E240="*Julien*"))</f>
        <v>0</v>
      </c>
      <c r="D36" s="50"/>
    </row>
    <row r="37" spans="1:4">
      <c r="A37" s="4"/>
      <c r="B37" s="4"/>
    </row>
    <row r="38" spans="1:4">
      <c r="A38" s="4"/>
      <c r="B38" s="4"/>
    </row>
    <row r="39" spans="1:4">
      <c r="A39" s="4"/>
      <c r="B39" s="4"/>
    </row>
    <row r="40" spans="1:4">
      <c r="A40" s="4"/>
      <c r="B40" s="4"/>
    </row>
    <row r="41" spans="1:4">
      <c r="A41" s="4"/>
      <c r="B41" s="4"/>
    </row>
    <row r="42" spans="1:4">
      <c r="A42" s="4"/>
      <c r="B42" s="4"/>
    </row>
    <row r="43" spans="1:4">
      <c r="A43" s="4"/>
      <c r="B43" s="4"/>
    </row>
  </sheetData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5</vt:i4>
      </vt:variant>
      <vt:variant>
        <vt:lpstr>Plages nommées</vt:lpstr>
      </vt:variant>
      <vt:variant>
        <vt:i4>2</vt:i4>
      </vt:variant>
    </vt:vector>
  </HeadingPairs>
  <TitlesOfParts>
    <vt:vector size="7" baseType="lpstr">
      <vt:lpstr>Stats</vt:lpstr>
      <vt:lpstr>Fréquence</vt:lpstr>
      <vt:lpstr>Joueur</vt:lpstr>
      <vt:lpstr>Eri</vt:lpstr>
      <vt:lpstr>Julien</vt:lpstr>
      <vt:lpstr>Joueurs</vt:lpstr>
      <vt:lpstr>Nom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2016-01-09T22:55:04Z</dcterms:modified>
</cp:coreProperties>
</file>