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300" yWindow="45" windowWidth="20055" windowHeight="7965"/>
  </bookViews>
  <sheets>
    <sheet name="factures" sheetId="1" r:id="rId1"/>
    <sheet name="clients" sheetId="3" r:id="rId2"/>
    <sheet name="produits" sheetId="2" r:id="rId3"/>
    <sheet name="archivage factures" sheetId="4" r:id="rId4"/>
    <sheet name="prix Unitaires" sheetId="5" r:id="rId5"/>
    <sheet name="listes" sheetId="6" r:id="rId6"/>
  </sheets>
  <definedNames>
    <definedName name="b">listes!#REF!</definedName>
    <definedName name="brossé">listes!$B$2:$B$6</definedName>
    <definedName name="categorie">listes!#REF!</definedName>
    <definedName name="chéque">listes!$C$2:$C$4</definedName>
    <definedName name="code">'prix Unitaires'!#REF!</definedName>
    <definedName name="code_client">clients!$A:$A</definedName>
    <definedName name="CODEREF">'prix Unitaires'!#REF!</definedName>
    <definedName name="couleur">listes!$A$2:$A$9</definedName>
    <definedName name="Designation">'prix Unitaires'!$B:$B</definedName>
    <definedName name="fichedesstocks">listes!#REF!</definedName>
    <definedName name="fini">listes!$B$2:$B$11</definedName>
    <definedName name="finition">listes!$B$2:$B$5</definedName>
    <definedName name="listed">listes!$J$1:$J$17</definedName>
    <definedName name="LISTEDESIGNATION">Tableau3[désignation]</definedName>
    <definedName name="longueur">listes!$H$2:$H$5</definedName>
    <definedName name="marron_clair">listes!$A$2:$A$9</definedName>
    <definedName name="ml">listes!$F$2:$F$3</definedName>
    <definedName name="Prixunitaire">'prix Unitaires'!$C:$C</definedName>
    <definedName name="ref">produits!$A:$A</definedName>
    <definedName name="TERRASSE">listes!#REF!</definedName>
    <definedName name="tt">listes!#REF!</definedName>
    <definedName name="vv">listes!$B$2:$B$7</definedName>
  </definedNames>
  <calcPr calcId="125725"/>
</workbook>
</file>

<file path=xl/calcChain.xml><?xml version="1.0" encoding="utf-8"?>
<calcChain xmlns="http://schemas.openxmlformats.org/spreadsheetml/2006/main">
  <c r="D2" i="4"/>
  <c r="B2" s="1"/>
  <c r="F2"/>
  <c r="A2" i="2"/>
  <c r="C2"/>
  <c r="D2"/>
  <c r="E2"/>
  <c r="I2"/>
  <c r="J2"/>
  <c r="P2"/>
  <c r="Q2" s="1"/>
  <c r="A3"/>
  <c r="C3"/>
  <c r="D3"/>
  <c r="E3"/>
  <c r="I3"/>
  <c r="J3"/>
  <c r="P3"/>
  <c r="Q3" s="1"/>
  <c r="A4"/>
  <c r="C4"/>
  <c r="D4"/>
  <c r="I4" s="1"/>
  <c r="E4"/>
  <c r="J4"/>
  <c r="P4"/>
  <c r="E27" i="1"/>
  <c r="E26"/>
  <c r="E25"/>
  <c r="E24"/>
  <c r="E23"/>
  <c r="E22"/>
  <c r="E21"/>
  <c r="E20"/>
  <c r="E19"/>
  <c r="R2" i="2" l="1"/>
  <c r="R3"/>
  <c r="Q4"/>
  <c r="R4"/>
  <c r="A5"/>
  <c r="C5"/>
  <c r="J5" s="1"/>
  <c r="D5"/>
  <c r="I5" s="1"/>
  <c r="E5"/>
  <c r="B20" i="1"/>
  <c r="B21"/>
  <c r="B22"/>
  <c r="B23"/>
  <c r="B24"/>
  <c r="B25"/>
  <c r="B26"/>
  <c r="B27"/>
  <c r="O1" i="4"/>
  <c r="F7" i="1"/>
  <c r="F11" s="1"/>
  <c r="F20"/>
  <c r="F21"/>
  <c r="F22"/>
  <c r="F23"/>
  <c r="F24"/>
  <c r="F25"/>
  <c r="F26"/>
  <c r="F27"/>
  <c r="C20"/>
  <c r="C21"/>
  <c r="C22"/>
  <c r="C23"/>
  <c r="C24"/>
  <c r="C25"/>
  <c r="C26"/>
  <c r="C27"/>
  <c r="A4" i="3"/>
  <c r="A5"/>
  <c r="A2"/>
  <c r="A3"/>
  <c r="B8" i="1" l="1"/>
  <c r="B13"/>
  <c r="B10"/>
  <c r="B12"/>
  <c r="B14"/>
  <c r="B11"/>
  <c r="P5" i="2"/>
  <c r="R5" s="1"/>
  <c r="E17" i="1"/>
  <c r="E18"/>
  <c r="B19"/>
  <c r="F18"/>
  <c r="C18"/>
  <c r="B18"/>
  <c r="B17"/>
  <c r="F13"/>
  <c r="F19"/>
  <c r="C17"/>
  <c r="C19"/>
  <c r="Q5" i="2" l="1"/>
  <c r="B5" i="1"/>
  <c r="F17"/>
  <c r="F30" s="1"/>
  <c r="F31" l="1"/>
  <c r="F33" s="1"/>
  <c r="A31"/>
</calcChain>
</file>

<file path=xl/sharedStrings.xml><?xml version="1.0" encoding="utf-8"?>
<sst xmlns="http://schemas.openxmlformats.org/spreadsheetml/2006/main" count="207" uniqueCount="152">
  <si>
    <t>article</t>
  </si>
  <si>
    <t>unité</t>
  </si>
  <si>
    <t>ml</t>
  </si>
  <si>
    <t>piéce</t>
  </si>
  <si>
    <t>stock mini</t>
  </si>
  <si>
    <t>rupture de stock</t>
  </si>
  <si>
    <t>date:</t>
  </si>
  <si>
    <t>numéro :</t>
  </si>
  <si>
    <t>client:</t>
  </si>
  <si>
    <t>adresse</t>
  </si>
  <si>
    <t>AI:</t>
  </si>
  <si>
    <t>Facture</t>
  </si>
  <si>
    <t>date échéance:</t>
  </si>
  <si>
    <t>code client:</t>
  </si>
  <si>
    <t>mode de paiement:</t>
  </si>
  <si>
    <t>date livraison:</t>
  </si>
  <si>
    <t>adresse:</t>
  </si>
  <si>
    <t>tel:</t>
  </si>
  <si>
    <t>RC</t>
  </si>
  <si>
    <t>NIS</t>
  </si>
  <si>
    <t>Référence</t>
  </si>
  <si>
    <t>Désignation</t>
  </si>
  <si>
    <t>Unité</t>
  </si>
  <si>
    <t>Quant</t>
  </si>
  <si>
    <t>P.Unitaire</t>
  </si>
  <si>
    <t>Total Ligne</t>
  </si>
  <si>
    <t>Total HT</t>
  </si>
  <si>
    <t>TVA 17%</t>
  </si>
  <si>
    <t>Frais de port</t>
  </si>
  <si>
    <t>Total TTC</t>
  </si>
  <si>
    <t>Arrété la présente facture à la somme de :</t>
  </si>
  <si>
    <t>couleur</t>
  </si>
  <si>
    <t>finition</t>
  </si>
  <si>
    <t>marron clair</t>
  </si>
  <si>
    <t>chocolat</t>
  </si>
  <si>
    <t>acajou</t>
  </si>
  <si>
    <t>chene</t>
  </si>
  <si>
    <t>vert</t>
  </si>
  <si>
    <t>gris</t>
  </si>
  <si>
    <t>brossé</t>
  </si>
  <si>
    <t>poncée</t>
  </si>
  <si>
    <t>structurée</t>
  </si>
  <si>
    <t>brute</t>
  </si>
  <si>
    <t>chéque</t>
  </si>
  <si>
    <t>virement</t>
  </si>
  <si>
    <t>espéces</t>
  </si>
  <si>
    <t>mode paiement</t>
  </si>
  <si>
    <t>nom</t>
  </si>
  <si>
    <t>prenom</t>
  </si>
  <si>
    <t>AI</t>
  </si>
  <si>
    <t>NIF</t>
  </si>
  <si>
    <t>mail</t>
  </si>
  <si>
    <t>code client</t>
  </si>
  <si>
    <t>adresse de livraison</t>
  </si>
  <si>
    <t xml:space="preserve">adresse de livraison: </t>
  </si>
  <si>
    <t>inox</t>
  </si>
  <si>
    <t>plastique</t>
  </si>
  <si>
    <t>CATEGORIE</t>
  </si>
  <si>
    <t>TERRASSE</t>
  </si>
  <si>
    <t>BARDAGE</t>
  </si>
  <si>
    <t>ACCESSOIRES</t>
  </si>
  <si>
    <t xml:space="preserve">FAMILLE </t>
  </si>
  <si>
    <t>longueur</t>
  </si>
  <si>
    <t>TLV-</t>
  </si>
  <si>
    <t>TLP-</t>
  </si>
  <si>
    <t>TLM-</t>
  </si>
  <si>
    <t>BLP-</t>
  </si>
  <si>
    <t>BLB-</t>
  </si>
  <si>
    <t>BLM-</t>
  </si>
  <si>
    <t>TPL-</t>
  </si>
  <si>
    <t>BCO-</t>
  </si>
  <si>
    <t>EQU-</t>
  </si>
  <si>
    <t>_____</t>
  </si>
  <si>
    <t>CLT-</t>
  </si>
  <si>
    <t>CLC-</t>
  </si>
  <si>
    <t>CLP-</t>
  </si>
  <si>
    <t>code postal</t>
  </si>
  <si>
    <t>ville</t>
  </si>
  <si>
    <t>Civilité</t>
  </si>
  <si>
    <t>M.</t>
  </si>
  <si>
    <t/>
  </si>
  <si>
    <t>Tele</t>
  </si>
  <si>
    <t>prix du metre</t>
  </si>
  <si>
    <t>P.U</t>
  </si>
  <si>
    <t>REF</t>
  </si>
  <si>
    <t xml:space="preserve">TLV-lame alvéolaire en WPC à double face </t>
  </si>
  <si>
    <t xml:space="preserve">TLM-lambourde de plancher en WPC </t>
  </si>
  <si>
    <t>BLP-lame de bardage plat en WPC</t>
  </si>
  <si>
    <t>BLB-lame de bardage biseauté en WPC</t>
  </si>
  <si>
    <t xml:space="preserve">BLM-lambourde de bardage en WPC </t>
  </si>
  <si>
    <t>TPL-plinthe de plancher en WPC</t>
  </si>
  <si>
    <t>BCO-corniére de coin en WPC</t>
  </si>
  <si>
    <t>CLT-clip en inox type T</t>
  </si>
  <si>
    <t>CLC-clip en inox type carré</t>
  </si>
  <si>
    <t>CLP-clip en plastique</t>
  </si>
  <si>
    <t>EQU-équerre pour lambourde</t>
  </si>
  <si>
    <t xml:space="preserve">TLP-lame pleine en WPC à double face </t>
  </si>
  <si>
    <t>categorie</t>
  </si>
  <si>
    <t>V40-vis 40x5</t>
  </si>
  <si>
    <t>V40-</t>
  </si>
  <si>
    <t>V25-</t>
  </si>
  <si>
    <t>V25-vis 24x4</t>
  </si>
  <si>
    <t>DATE</t>
  </si>
  <si>
    <t>CLIENT</t>
  </si>
  <si>
    <t>MONTANT HT</t>
  </si>
  <si>
    <t>TVA</t>
  </si>
  <si>
    <t>MONTANT TTC</t>
  </si>
  <si>
    <t>ADRESSE DE LIVRAISON</t>
  </si>
  <si>
    <t>ANNEE</t>
  </si>
  <si>
    <t>FRAIS DE PORT</t>
  </si>
  <si>
    <t>DATE ECHEANCE</t>
  </si>
  <si>
    <t>Nbr jours restants avant échéance</t>
  </si>
  <si>
    <t>n°fact</t>
  </si>
  <si>
    <t>concatenation fact</t>
  </si>
  <si>
    <t>mode de paiement</t>
  </si>
  <si>
    <t>désignation</t>
  </si>
  <si>
    <t>date de sortie</t>
  </si>
  <si>
    <t>nouveau stock</t>
  </si>
  <si>
    <t>ancien stock</t>
  </si>
  <si>
    <t>date d'entrée</t>
  </si>
  <si>
    <t>quantité entrée</t>
  </si>
  <si>
    <t>quantité sortie</t>
  </si>
  <si>
    <t>rupture</t>
  </si>
  <si>
    <t>valeur  en stock</t>
  </si>
  <si>
    <t>BLP-ma-st-3</t>
  </si>
  <si>
    <t>lulu</t>
  </si>
  <si>
    <t>lolo</t>
  </si>
  <si>
    <t>momo</t>
  </si>
  <si>
    <t>nolo</t>
  </si>
  <si>
    <t>mimi</t>
  </si>
  <si>
    <t>mama</t>
  </si>
  <si>
    <t>fifi</t>
  </si>
  <si>
    <t>lala</t>
  </si>
  <si>
    <t>aaaaa</t>
  </si>
  <si>
    <t>bbbb</t>
  </si>
  <si>
    <t>cccc</t>
  </si>
  <si>
    <t>dddd</t>
  </si>
  <si>
    <t>wwwwwww</t>
  </si>
  <si>
    <t>nnnnnnnnn</t>
  </si>
  <si>
    <t>mmmmmmm</t>
  </si>
  <si>
    <t>lllllllkkkkkk</t>
  </si>
  <si>
    <t>0145</t>
  </si>
  <si>
    <t>01222222</t>
  </si>
  <si>
    <t>01333333</t>
  </si>
  <si>
    <t>05487965874</t>
  </si>
  <si>
    <t>LL21222222</t>
  </si>
  <si>
    <t>rue des lolo</t>
  </si>
  <si>
    <t>rue des nolo</t>
  </si>
  <si>
    <t>rue des mama</t>
  </si>
  <si>
    <t>rue des lala</t>
  </si>
  <si>
    <t>lulu  lolo</t>
  </si>
  <si>
    <t>2015_1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</si>
</sst>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0#&quot; &quot;##&quot; &quot;##&quot; &quot;##&quot; &quot;##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theme="1"/>
      <name val="Calibri"/>
      <family val="2"/>
      <scheme val="minor"/>
    </font>
    <font>
      <b/>
      <i/>
      <sz val="28"/>
      <color rgb="FF00B050"/>
      <name val="Times"/>
      <family val="1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11"/>
      <color rgb="FF36A043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C0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6A043"/>
      </left>
      <right/>
      <top style="thin">
        <color rgb="FF36A043"/>
      </top>
      <bottom/>
      <diagonal/>
    </border>
    <border>
      <left/>
      <right style="thin">
        <color rgb="FF36A043"/>
      </right>
      <top style="thin">
        <color rgb="FF36A043"/>
      </top>
      <bottom/>
      <diagonal/>
    </border>
    <border>
      <left style="thin">
        <color rgb="FF36A043"/>
      </left>
      <right/>
      <top/>
      <bottom style="thin">
        <color indexed="64"/>
      </bottom>
      <diagonal/>
    </border>
    <border>
      <left/>
      <right style="thin">
        <color rgb="FF36A043"/>
      </right>
      <top/>
      <bottom style="thin">
        <color indexed="64"/>
      </bottom>
      <diagonal/>
    </border>
    <border>
      <left style="thin">
        <color rgb="FF36A043"/>
      </left>
      <right/>
      <top style="thin">
        <color indexed="64"/>
      </top>
      <bottom/>
      <diagonal/>
    </border>
    <border>
      <left/>
      <right style="thin">
        <color rgb="FF36A043"/>
      </right>
      <top style="thin">
        <color indexed="64"/>
      </top>
      <bottom/>
      <diagonal/>
    </border>
    <border>
      <left style="thin">
        <color rgb="FF36A043"/>
      </left>
      <right/>
      <top/>
      <bottom style="thin">
        <color rgb="FF36A043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3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43" fontId="0" fillId="0" borderId="0" xfId="1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0" fillId="0" borderId="1" xfId="0" applyBorder="1"/>
    <xf numFmtId="43" fontId="0" fillId="0" borderId="1" xfId="1" applyFont="1" applyBorder="1" applyAlignment="1">
      <alignment horizontal="center"/>
    </xf>
    <xf numFmtId="43" fontId="2" fillId="2" borderId="2" xfId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right"/>
    </xf>
    <xf numFmtId="0" fontId="0" fillId="0" borderId="0" xfId="0" applyFont="1" applyAlignment="1">
      <alignment horizontal="right"/>
    </xf>
    <xf numFmtId="0" fontId="0" fillId="0" borderId="0" xfId="0" applyBorder="1"/>
    <xf numFmtId="0" fontId="0" fillId="0" borderId="0" xfId="0" applyFont="1" applyAlignment="1">
      <alignment vertical="center"/>
    </xf>
    <xf numFmtId="0" fontId="0" fillId="0" borderId="0" xfId="0" applyBorder="1" applyAlignment="1">
      <alignment horizontal="left"/>
    </xf>
    <xf numFmtId="14" fontId="0" fillId="0" borderId="8" xfId="0" applyNumberFormat="1" applyBorder="1" applyAlignment="1">
      <alignment horizontal="left"/>
    </xf>
    <xf numFmtId="14" fontId="0" fillId="0" borderId="4" xfId="0" applyNumberFormat="1" applyBorder="1" applyAlignment="1">
      <alignment horizontal="left"/>
    </xf>
    <xf numFmtId="14" fontId="0" fillId="0" borderId="0" xfId="0" applyNumberFormat="1" applyBorder="1" applyAlignment="1">
      <alignment horizontal="left"/>
    </xf>
    <xf numFmtId="49" fontId="0" fillId="0" borderId="0" xfId="0" applyNumberFormat="1"/>
    <xf numFmtId="14" fontId="0" fillId="0" borderId="0" xfId="0" applyNumberForma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0" fillId="0" borderId="0" xfId="0" applyFill="1"/>
    <xf numFmtId="0" fontId="7" fillId="0" borderId="0" xfId="0" applyFont="1" applyFill="1" applyBorder="1" applyAlignment="1">
      <alignment vertical="center"/>
    </xf>
    <xf numFmtId="0" fontId="4" fillId="0" borderId="0" xfId="0" applyFont="1" applyBorder="1" applyAlignment="1"/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0" fillId="3" borderId="0" xfId="0" applyFill="1" applyAlignment="1">
      <alignment horizontal="center" wrapText="1"/>
    </xf>
    <xf numFmtId="49" fontId="0" fillId="3" borderId="0" xfId="0" applyNumberFormat="1" applyFill="1" applyAlignment="1">
      <alignment horizontal="center" wrapText="1"/>
    </xf>
    <xf numFmtId="0" fontId="0" fillId="0" borderId="0" xfId="0" applyBorder="1" applyAlignment="1">
      <alignment wrapText="1"/>
    </xf>
    <xf numFmtId="49" fontId="0" fillId="0" borderId="0" xfId="0" applyNumberFormat="1" applyBorder="1"/>
    <xf numFmtId="0" fontId="0" fillId="0" borderId="0" xfId="0" applyNumberFormat="1" applyBorder="1"/>
    <xf numFmtId="164" fontId="8" fillId="0" borderId="6" xfId="2" applyNumberFormat="1" applyFont="1" applyBorder="1" applyAlignment="1" applyProtection="1">
      <alignment horizontal="left"/>
    </xf>
    <xf numFmtId="0" fontId="3" fillId="4" borderId="0" xfId="0" applyFont="1" applyFill="1" applyAlignment="1">
      <alignment horizontal="center" vertical="center" wrapText="1"/>
    </xf>
    <xf numFmtId="0" fontId="3" fillId="5" borderId="0" xfId="0" applyFont="1" applyFill="1" applyAlignment="1"/>
    <xf numFmtId="0" fontId="2" fillId="2" borderId="1" xfId="0" applyFont="1" applyFill="1" applyBorder="1" applyAlignment="1">
      <alignment horizontal="center" wrapText="1"/>
    </xf>
    <xf numFmtId="43" fontId="2" fillId="2" borderId="1" xfId="1" applyFont="1" applyFill="1" applyBorder="1" applyAlignment="1">
      <alignment horizontal="center" wrapText="1"/>
    </xf>
    <xf numFmtId="4" fontId="0" fillId="0" borderId="1" xfId="0" applyNumberFormat="1" applyBorder="1"/>
    <xf numFmtId="4" fontId="0" fillId="0" borderId="2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left"/>
    </xf>
    <xf numFmtId="0" fontId="0" fillId="3" borderId="1" xfId="0" applyFill="1" applyBorder="1"/>
    <xf numFmtId="0" fontId="0" fillId="7" borderId="1" xfId="0" applyFill="1" applyBorder="1"/>
    <xf numFmtId="0" fontId="4" fillId="3" borderId="3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left"/>
    </xf>
    <xf numFmtId="0" fontId="9" fillId="0" borderId="4" xfId="0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0" fontId="0" fillId="8" borderId="19" xfId="0" applyFont="1" applyFill="1" applyBorder="1" applyAlignment="1">
      <alignment horizontal="right" vertical="center"/>
    </xf>
    <xf numFmtId="0" fontId="0" fillId="3" borderId="21" xfId="0" applyFont="1" applyFill="1" applyBorder="1" applyAlignment="1">
      <alignment horizontal="right" vertical="center"/>
    </xf>
    <xf numFmtId="4" fontId="0" fillId="0" borderId="1" xfId="0" applyNumberFormat="1" applyBorder="1" applyProtection="1">
      <protection locked="0"/>
    </xf>
    <xf numFmtId="4" fontId="0" fillId="0" borderId="0" xfId="0" applyNumberForma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left"/>
      <protection locked="0"/>
    </xf>
    <xf numFmtId="14" fontId="0" fillId="0" borderId="20" xfId="0" applyNumberFormat="1" applyBorder="1" applyAlignment="1" applyProtection="1">
      <alignment horizontal="left"/>
    </xf>
    <xf numFmtId="4" fontId="2" fillId="2" borderId="1" xfId="1" applyNumberFormat="1" applyFont="1" applyFill="1" applyBorder="1" applyAlignment="1">
      <alignment horizontal="center" wrapText="1"/>
    </xf>
    <xf numFmtId="4" fontId="0" fillId="0" borderId="0" xfId="1" applyNumberFormat="1" applyFont="1" applyAlignment="1">
      <alignment horizontal="center"/>
    </xf>
    <xf numFmtId="0" fontId="0" fillId="0" borderId="0" xfId="0" applyProtection="1">
      <protection locked="0"/>
    </xf>
    <xf numFmtId="4" fontId="2" fillId="2" borderId="1" xfId="1" applyNumberFormat="1" applyFont="1" applyFill="1" applyBorder="1" applyAlignment="1" applyProtection="1">
      <alignment horizontal="center" wrapText="1"/>
      <protection locked="0"/>
    </xf>
    <xf numFmtId="43" fontId="0" fillId="0" borderId="0" xfId="1" applyFont="1" applyAlignment="1" applyProtection="1">
      <alignment horizontal="center"/>
      <protection locked="0"/>
    </xf>
    <xf numFmtId="4" fontId="0" fillId="0" borderId="0" xfId="1" applyNumberFormat="1" applyFont="1" applyAlignment="1" applyProtection="1">
      <alignment horizontal="center"/>
      <protection locked="0"/>
    </xf>
    <xf numFmtId="0" fontId="0" fillId="6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9" borderId="22" xfId="0" applyFont="1" applyFill="1" applyBorder="1" applyAlignment="1">
      <alignment horizontal="center"/>
    </xf>
    <xf numFmtId="0" fontId="0" fillId="10" borderId="0" xfId="0" applyFont="1" applyFill="1" applyAlignment="1">
      <alignment horizontal="center"/>
    </xf>
    <xf numFmtId="1" fontId="0" fillId="6" borderId="0" xfId="0" applyNumberFormat="1" applyFill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49" fontId="0" fillId="6" borderId="0" xfId="0" applyNumberFormat="1" applyFill="1" applyAlignment="1">
      <alignment horizontal="center" vertical="center"/>
    </xf>
    <xf numFmtId="14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4" fontId="0" fillId="6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14" fontId="0" fillId="6" borderId="0" xfId="0" applyNumberFormat="1" applyFill="1" applyAlignment="1">
      <alignment horizontal="center" vertical="center" wrapText="1"/>
    </xf>
    <xf numFmtId="49" fontId="0" fillId="6" borderId="0" xfId="0" applyNumberFormat="1" applyFill="1" applyAlignment="1">
      <alignment horizontal="center" vertical="center" wrapText="1"/>
    </xf>
    <xf numFmtId="4" fontId="0" fillId="0" borderId="0" xfId="1" applyNumberFormat="1" applyFont="1" applyAlignment="1" applyProtection="1">
      <alignment horizontal="center" wrapText="1"/>
      <protection locked="0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 vertical="center" wrapText="1" shrinkToFit="1"/>
    </xf>
    <xf numFmtId="0" fontId="9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43" fontId="0" fillId="0" borderId="0" xfId="1" applyFont="1" applyAlignment="1" applyProtection="1">
      <alignment horizontal="center" vertical="center"/>
      <protection locked="0"/>
    </xf>
    <xf numFmtId="0" fontId="0" fillId="0" borderId="0" xfId="1" applyNumberFormat="1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4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Alignment="1">
      <alignment horizontal="center" vertical="center" wrapText="1" shrinkToFit="1"/>
    </xf>
    <xf numFmtId="4" fontId="0" fillId="0" borderId="0" xfId="1" applyNumberFormat="1" applyFont="1" applyAlignment="1" applyProtection="1">
      <alignment horizontal="center" vertical="center" wrapText="1"/>
      <protection locked="0"/>
    </xf>
    <xf numFmtId="2" fontId="0" fillId="0" borderId="0" xfId="1" applyNumberFormat="1" applyFont="1" applyAlignment="1">
      <alignment horizontal="center" vertical="center"/>
    </xf>
    <xf numFmtId="43" fontId="0" fillId="0" borderId="0" xfId="1" applyNumberFormat="1" applyFont="1" applyAlignment="1">
      <alignment horizontal="center" vertical="center" wrapText="1"/>
    </xf>
    <xf numFmtId="0" fontId="0" fillId="0" borderId="2" xfId="0" applyFont="1" applyBorder="1" applyAlignment="1">
      <alignment horizontal="right"/>
    </xf>
    <xf numFmtId="0" fontId="0" fillId="0" borderId="12" xfId="0" applyFont="1" applyBorder="1" applyAlignment="1">
      <alignment horizontal="right"/>
    </xf>
    <xf numFmtId="0" fontId="3" fillId="0" borderId="0" xfId="0" applyFont="1" applyFill="1" applyAlignment="1">
      <alignment vertical="center"/>
    </xf>
    <xf numFmtId="14" fontId="0" fillId="0" borderId="0" xfId="0" applyNumberFormat="1"/>
    <xf numFmtId="0" fontId="3" fillId="2" borderId="0" xfId="0" applyFont="1" applyFill="1" applyAlignment="1"/>
    <xf numFmtId="0" fontId="3" fillId="2" borderId="0" xfId="0" applyFont="1" applyFill="1" applyAlignment="1" applyProtection="1">
      <protection locked="0"/>
    </xf>
    <xf numFmtId="43" fontId="2" fillId="2" borderId="1" xfId="1" applyFont="1" applyFill="1" applyBorder="1" applyAlignment="1" applyProtection="1">
      <alignment horizontal="center" wrapText="1"/>
      <protection locked="0"/>
    </xf>
    <xf numFmtId="43" fontId="2" fillId="2" borderId="1" xfId="1" applyFont="1" applyFill="1" applyBorder="1" applyAlignment="1" applyProtection="1">
      <alignment horizontal="center" vertical="center" wrapText="1"/>
      <protection locked="0"/>
    </xf>
    <xf numFmtId="43" fontId="2" fillId="2" borderId="5" xfId="1" applyFont="1" applyFill="1" applyBorder="1" applyAlignment="1" applyProtection="1">
      <alignment horizontal="center" wrapText="1"/>
      <protection locked="0"/>
    </xf>
    <xf numFmtId="43" fontId="2" fillId="2" borderId="2" xfId="1" applyFont="1" applyFill="1" applyBorder="1" applyAlignment="1" applyProtection="1">
      <alignment horizontal="center" vertical="center" wrapText="1"/>
      <protection locked="0"/>
    </xf>
    <xf numFmtId="43" fontId="2" fillId="2" borderId="2" xfId="1" applyFont="1" applyFill="1" applyBorder="1" applyAlignment="1" applyProtection="1">
      <alignment horizontal="center" wrapText="1"/>
      <protection locked="0"/>
    </xf>
    <xf numFmtId="43" fontId="2" fillId="2" borderId="2" xfId="1" applyFont="1" applyFill="1" applyBorder="1" applyAlignment="1" applyProtection="1">
      <alignment vertical="center" wrapText="1"/>
      <protection locked="0"/>
    </xf>
    <xf numFmtId="0" fontId="0" fillId="2" borderId="0" xfId="0" applyFill="1"/>
    <xf numFmtId="0" fontId="10" fillId="0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45">
    <dxf>
      <numFmt numFmtId="4" formatCode="#,##0.00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numFmt numFmtId="4" formatCode="#,##0.00"/>
      <alignment horizontal="center" vertical="center" textRotation="0" wrapText="0" indent="0" relativeIndent="255" justifyLastLine="0" shrinkToFit="0" mergeCell="0" readingOrder="0"/>
    </dxf>
    <dxf>
      <numFmt numFmtId="4" formatCode="#,##0.00"/>
      <alignment horizontal="center" vertical="center" textRotation="0" wrapText="0" indent="0" relativeIndent="255" justifyLastLine="0" shrinkToFit="0" mergeCell="0" readingOrder="0"/>
    </dxf>
    <dxf>
      <numFmt numFmtId="4" formatCode="#,##0.00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numFmt numFmtId="19" formatCode="dd/mm/yyyy"/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numFmt numFmtId="19" formatCode="dd/mm/yyyy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fill>
        <patternFill>
          <fgColor indexed="64"/>
        </patternFill>
      </fill>
      <alignment horizontal="center" vertical="center" textRotation="0" indent="0" relativeIndent="255" justifyLastLine="0" shrinkToFit="0" mergeCell="0" readingOrder="0"/>
    </dxf>
    <dxf>
      <fill>
        <patternFill patternType="solid">
          <fgColor indexed="64"/>
          <bgColor rgb="FFFFC000"/>
        </patternFill>
      </fill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mergeCell="0" readingOrder="0"/>
    </dxf>
    <dxf>
      <numFmt numFmtId="4" formatCode="#,##0.00"/>
      <alignment horizontal="center" vertical="center" textRotation="0" wrapText="1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1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numFmt numFmtId="19" formatCode="dd/mm/yyyy"/>
      <alignment horizontal="center" vertical="center" textRotation="0" wrapText="1" indent="0" relativeIndent="255" justifyLastLine="0" shrinkToFit="1" mergeCell="0" readingOrder="0"/>
    </dxf>
    <dxf>
      <numFmt numFmtId="30" formatCode="@"/>
      <alignment horizontal="center" vertical="center" textRotation="0" wrapText="1" indent="0" relativeIndent="255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1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1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1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/>
      </border>
    </dxf>
    <dxf>
      <alignment horizontal="center"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alignment horizontal="center" textRotation="0" wrapText="1" indent="0" relativeIndent="255" justifyLastLine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general" vertical="bottom" textRotation="0" wrapText="1" indent="0" relativeIndent="0" justifyLastLine="0" shrinkToFit="0" mergeCell="0" readingOrder="0"/>
    </dxf>
    <dxf>
      <numFmt numFmtId="0" formatCode="General"/>
    </dxf>
    <dxf>
      <fill>
        <patternFill patternType="solid">
          <fgColor indexed="64"/>
          <bgColor rgb="FF92D050"/>
        </patternFill>
      </fill>
      <alignment horizontal="center" vertical="bottom" textRotation="0" wrapText="1" indent="0" relativeIndent="255" justifyLastLine="0" shrinkToFit="0" mergeCell="0" readingOrder="0"/>
    </dxf>
  </dxfs>
  <tableStyles count="0" defaultTableStyle="TableStyleMedium9" defaultPivotStyle="PivotStyleLight16"/>
  <colors>
    <mruColors>
      <color rgb="FF36A04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N5" totalsRowShown="0" headerRowDxfId="44">
  <sortState ref="A2:N7">
    <sortCondition ref="G1:G7"/>
  </sortState>
  <tableColumns count="14">
    <tableColumn id="1" name="code client" dataDxfId="43">
      <calculatedColumnFormula>UPPER(CONCATENATE(LEFT(Tableau1[[#This Row],[nom]],1),LEFT(Tableau1[[#This Row],[prenom]],1),[Tele]))</calculatedColumnFormula>
    </tableColumn>
    <tableColumn id="14" name="Civilité"/>
    <tableColumn id="2" name="nom"/>
    <tableColumn id="3" name="prenom"/>
    <tableColumn id="4" name="adresse" dataDxfId="42"/>
    <tableColumn id="5" name="code postal"/>
    <tableColumn id="6" name="ville"/>
    <tableColumn id="16" name="Tele"/>
    <tableColumn id="8" name="mail" dataDxfId="41"/>
    <tableColumn id="9" name="RC" dataDxfId="40"/>
    <tableColumn id="10" name="AI" dataDxfId="39"/>
    <tableColumn id="11" name="NIS" dataDxfId="38"/>
    <tableColumn id="12" name="NIF" dataDxfId="37"/>
    <tableColumn id="13" name="adresse de livraison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R5" totalsRowShown="0" headerRowDxfId="36" dataDxfId="35" tableBorderDxfId="34" headerRowCellStyle="Milliers" dataCellStyle="Milliers">
  <autoFilter ref="A1:R5"/>
  <tableColumns count="18">
    <tableColumn id="1" name="REF" dataDxfId="33">
      <calculatedColumnFormula>CONCATENATE(LEFT([categorie],4),LEFT([couleur],2),"-",LEFT([finition],2),"-",[longueur])</calculatedColumnFormula>
    </tableColumn>
    <tableColumn id="12" name="categorie" dataDxfId="32"/>
    <tableColumn id="3" name="article" dataDxfId="31">
      <calculatedColumnFormula>IF([categorie]="","",VLOOKUP([categorie],'prix Unitaires'!A:D,2,0))</calculatedColumnFormula>
    </tableColumn>
    <tableColumn id="4" name="prix du metre" dataDxfId="30" dataCellStyle="Milliers">
      <calculatedColumnFormula>IF([categorie]="","",VLOOKUP([categorie],'prix Unitaires'!A:D,3,0))</calculatedColumnFormula>
    </tableColumn>
    <tableColumn id="5" name="unité" dataDxfId="29" dataCellStyle="Milliers">
      <calculatedColumnFormula>IF([categorie]="","",VLOOKUP([categorie],'prix Unitaires'!A:D,4,0))</calculatedColumnFormula>
    </tableColumn>
    <tableColumn id="6" name="couleur" dataDxfId="28" dataCellStyle="Milliers"/>
    <tableColumn id="7" name="finition" dataDxfId="27" dataCellStyle="Milliers"/>
    <tableColumn id="8" name="longueur" dataDxfId="26" dataCellStyle="Milliers"/>
    <tableColumn id="9" name="P.U" dataDxfId="25" dataCellStyle="Milliers">
      <calculatedColumnFormula>PRODUCT(Tableau3[[#This Row],[prix du metre]],Tableau3[[#This Row],[longueur]])</calculatedColumnFormula>
    </tableColumn>
    <tableColumn id="2" name="désignation" dataDxfId="24">
      <calculatedColumnFormula>CONCATENATE(C2,", ",F2,", ",G2,",",H2)</calculatedColumnFormula>
    </tableColumn>
    <tableColumn id="13" name="date d'entrée" dataDxfId="23"/>
    <tableColumn id="10" name="quantité entrée" dataDxfId="22" dataCellStyle="Milliers"/>
    <tableColumn id="11" name="date de sortie" dataDxfId="21"/>
    <tableColumn id="14" name="quantité sortie" dataDxfId="20" dataCellStyle="Milliers"/>
    <tableColumn id="15" name="ancien stock" dataDxfId="19" dataCellStyle="Milliers"/>
    <tableColumn id="17" name="nouveau stock" dataDxfId="18" dataCellStyle="Milliers">
      <calculatedColumnFormula>Tableau3[[#This Row],[ancien stock]]+Tableau3[[#This Row],[quantité entrée]]-Tableau3[[#This Row],[quantité sortie]]</calculatedColumnFormula>
    </tableColumn>
    <tableColumn id="18" name="valeur  en stock" dataDxfId="17" dataCellStyle="Milliers">
      <calculatedColumnFormula>IF(Tableau3[[#This Row],[nouveau stock]]&lt;0,0,PRODUCT(Tableau3[[#This Row],[P.U]],Tableau3[[#This Row],[nouveau stock]]))</calculatedColumnFormula>
    </tableColumn>
    <tableColumn id="19" name="rupture" dataDxfId="16" dataCellStyle="Milliers">
      <calculatedColumnFormula>IF(Tableau3[[#This Row],[nouveau stock]]&lt;0,"rupture","")</calculatedColumnFormula>
    </tableColumn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M2" totalsRowShown="0" headerRowDxfId="12" dataDxfId="11">
  <tableColumns count="13">
    <tableColumn id="1" name="concatenation fact" dataDxfId="14"/>
    <tableColumn id="10" name="n°fact" dataDxfId="10">
      <calculatedColumnFormula>CONCATENATE(Tableau2[[#This Row],[ANNEE]],"_",Tableau2[[#This Row],[concatenation fact]])</calculatedColumnFormula>
    </tableColumn>
    <tableColumn id="2" name="DATE" dataDxfId="9"/>
    <tableColumn id="3" name="ANNEE" dataDxfId="8">
      <calculatedColumnFormula>YEAR(C2)</calculatedColumnFormula>
    </tableColumn>
    <tableColumn id="11" name="DATE ECHEANCE" dataDxfId="6"/>
    <tableColumn id="12" name="Nbr jours restants avant échéance" dataDxfId="7">
      <calculatedColumnFormula>[DATE ECHEANCE]-[DATE]</calculatedColumnFormula>
    </tableColumn>
    <tableColumn id="4" name="CLIENT" dataDxfId="13"/>
    <tableColumn id="13" name="mode de paiement" dataDxfId="5"/>
    <tableColumn id="5" name="MONTANT HT" dataDxfId="4"/>
    <tableColumn id="6" name="TVA" dataDxfId="3"/>
    <tableColumn id="7" name="FRAIS DE PORT" dataDxfId="2"/>
    <tableColumn id="8" name="MONTANT TTC" dataDxfId="0"/>
    <tableColumn id="9" name="ADRESSE DE LIVRAISON" dataDxfId="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G46"/>
  <sheetViews>
    <sheetView tabSelected="1" showRuler="0" view="pageLayout" topLeftCell="A2" zoomScaleNormal="100" workbookViewId="0">
      <selection activeCell="H18" sqref="H18"/>
    </sheetView>
  </sheetViews>
  <sheetFormatPr baseColWidth="10" defaultRowHeight="15"/>
  <cols>
    <col min="1" max="1" width="10.5703125" customWidth="1"/>
    <col min="2" max="2" width="37.5703125" customWidth="1"/>
    <col min="3" max="3" width="6.85546875" customWidth="1"/>
    <col min="4" max="4" width="7.85546875" customWidth="1"/>
    <col min="5" max="5" width="14.42578125" customWidth="1"/>
    <col min="6" max="6" width="15.85546875" customWidth="1"/>
    <col min="7" max="7" width="11.140625" customWidth="1"/>
  </cols>
  <sheetData>
    <row r="1" spans="1:6" ht="19.5" customHeight="1">
      <c r="A1" s="117"/>
      <c r="B1" s="117"/>
      <c r="C1" s="117"/>
      <c r="D1" s="117"/>
      <c r="E1" s="117"/>
      <c r="F1" s="117"/>
    </row>
    <row r="2" spans="1:6" ht="19.5" customHeight="1">
      <c r="A2" s="117"/>
      <c r="B2" s="117"/>
      <c r="C2" s="117"/>
      <c r="D2" s="117"/>
      <c r="E2" s="117"/>
      <c r="F2" s="117"/>
    </row>
    <row r="3" spans="1:6" ht="17.25" customHeight="1"/>
    <row r="4" spans="1:6" ht="17.25" customHeight="1"/>
    <row r="5" spans="1:6" ht="15" customHeight="1">
      <c r="A5" s="12"/>
      <c r="B5" s="106" t="str">
        <f>CONCATENATE(B8,"_",F8)</f>
        <v>lulu  lolo_2015_1</v>
      </c>
      <c r="C5" s="21"/>
      <c r="E5" s="126" t="s">
        <v>11</v>
      </c>
      <c r="F5" s="127"/>
    </row>
    <row r="6" spans="1:6" ht="14.25" customHeight="1">
      <c r="A6" s="12"/>
      <c r="B6" s="12"/>
      <c r="C6" s="21"/>
      <c r="E6" s="128"/>
      <c r="F6" s="129"/>
    </row>
    <row r="7" spans="1:6" ht="13.5" customHeight="1">
      <c r="A7" s="52" t="s">
        <v>13</v>
      </c>
      <c r="B7" s="54" t="s">
        <v>145</v>
      </c>
      <c r="C7" s="18"/>
      <c r="E7" s="56" t="s">
        <v>6</v>
      </c>
      <c r="F7" s="61">
        <f ca="1">IF(B7="","",TODAY())</f>
        <v>42271</v>
      </c>
    </row>
    <row r="8" spans="1:6" ht="15.75" customHeight="1">
      <c r="A8" s="49" t="s">
        <v>8</v>
      </c>
      <c r="B8" s="23" t="str">
        <f>IF(B7="","",CONCATENATE(VLOOKUP(B7,clients!A:D,3,0),"  ",VLOOKUP(B7,clients!A:D,4,0)))</f>
        <v>lulu  lolo</v>
      </c>
      <c r="C8" s="19"/>
      <c r="E8" s="57" t="s">
        <v>7</v>
      </c>
      <c r="F8" s="70" t="s">
        <v>151</v>
      </c>
    </row>
    <row r="9" spans="1:6">
      <c r="A9" s="53" t="s">
        <v>16</v>
      </c>
      <c r="B9" s="23"/>
      <c r="C9" s="20"/>
    </row>
    <row r="10" spans="1:6">
      <c r="A10" s="49" t="s">
        <v>17</v>
      </c>
      <c r="B10" s="33">
        <f>IF(B7="","",VLOOKUP(B7,clients!A:L,8,0))</f>
        <v>21222222</v>
      </c>
      <c r="C10" s="13"/>
    </row>
    <row r="11" spans="1:6">
      <c r="A11" s="53" t="s">
        <v>18</v>
      </c>
      <c r="B11" s="23" t="str">
        <f>IF(B7="","",VLOOKUP(B7,clients!A:J,10,0))</f>
        <v/>
      </c>
      <c r="C11" s="13"/>
      <c r="D11" s="130" t="s">
        <v>12</v>
      </c>
      <c r="E11" s="131"/>
      <c r="F11" s="15">
        <f ca="1">IF(B7="","",SUM(F7,7))</f>
        <v>42278</v>
      </c>
    </row>
    <row r="12" spans="1:6">
      <c r="A12" s="49" t="s">
        <v>19</v>
      </c>
      <c r="B12" s="24" t="str">
        <f>IF(B7="","",VLOOKUP(B7,clients!A:L,12,0))</f>
        <v/>
      </c>
      <c r="C12" s="13"/>
      <c r="D12" s="132" t="s">
        <v>14</v>
      </c>
      <c r="E12" s="133"/>
      <c r="F12" s="60"/>
    </row>
    <row r="13" spans="1:6">
      <c r="A13" s="53" t="s">
        <v>10</v>
      </c>
      <c r="B13" s="24" t="str">
        <f>IF(B7="","",VLOOKUP(B7,clients!A:L,11,0))</f>
        <v/>
      </c>
      <c r="C13" s="16"/>
      <c r="D13" s="118" t="s">
        <v>15</v>
      </c>
      <c r="E13" s="119"/>
      <c r="F13" s="14">
        <f ca="1">F7</f>
        <v>42271</v>
      </c>
    </row>
    <row r="14" spans="1:6" ht="25.5" customHeight="1">
      <c r="A14" s="48" t="s">
        <v>54</v>
      </c>
      <c r="B14" s="55" t="str">
        <f>IF(B7="","",VLOOKUP(B7,clients!A:N,14,0))</f>
        <v>wwwwwww</v>
      </c>
      <c r="C14" s="22"/>
    </row>
    <row r="15" spans="1:6">
      <c r="A15" s="10"/>
    </row>
    <row r="16" spans="1:6">
      <c r="A16" s="46" t="s">
        <v>20</v>
      </c>
      <c r="B16" s="26" t="s">
        <v>21</v>
      </c>
      <c r="C16" s="26" t="s">
        <v>22</v>
      </c>
      <c r="D16" s="25" t="s">
        <v>23</v>
      </c>
      <c r="E16" s="47" t="s">
        <v>24</v>
      </c>
      <c r="F16" s="26" t="s">
        <v>25</v>
      </c>
    </row>
    <row r="17" spans="1:7" ht="30">
      <c r="A17" s="104" t="s">
        <v>124</v>
      </c>
      <c r="B17" s="86" t="str">
        <f>IF(A17="","",VLOOKUP(A17,produits!A:M,10,0))</f>
        <v>BLP-lame de bardage plat en WPC, marron clair, structurée,3</v>
      </c>
      <c r="C17" s="84" t="str">
        <f>IF(A17="","",VLOOKUP(A17,produits!A:M,5,0))</f>
        <v>ml</v>
      </c>
      <c r="D17" s="44">
        <v>55</v>
      </c>
      <c r="E17" s="40">
        <f>IF(A17="","",VLOOKUP(A17,produits!A:M,4,0))</f>
        <v>350</v>
      </c>
      <c r="F17" s="39">
        <f t="shared" ref="F17:F27" si="0">IF(E17="","",PRODUCT(E17,D17))</f>
        <v>19250</v>
      </c>
      <c r="G17" s="93"/>
    </row>
    <row r="18" spans="1:7">
      <c r="A18" s="104"/>
      <c r="B18" s="86" t="str">
        <f>IF(A18="","",VLOOKUP(A18,produits!A:M,10,0))</f>
        <v/>
      </c>
      <c r="C18" s="84" t="str">
        <f>IF(A18="","",VLOOKUP(A18,produits!A:M,5,0))</f>
        <v/>
      </c>
      <c r="D18" s="44"/>
      <c r="E18" s="40" t="str">
        <f>IF(A18="","",VLOOKUP(A18,produits!A:M,4,0))</f>
        <v/>
      </c>
      <c r="F18" s="39" t="str">
        <f t="shared" si="0"/>
        <v/>
      </c>
    </row>
    <row r="19" spans="1:7">
      <c r="A19" s="104"/>
      <c r="B19" s="86" t="str">
        <f>IF(A19="","",VLOOKUP(A19,produits!A:M,10,0))</f>
        <v/>
      </c>
      <c r="C19" s="84" t="str">
        <f>IF(A19="","",VLOOKUP(A19,produits!A:M,5,0))</f>
        <v/>
      </c>
      <c r="D19" s="44"/>
      <c r="E19" s="40" t="str">
        <f>IF(A19="","",VLOOKUP(A19,produits!A:M,4,0))</f>
        <v/>
      </c>
      <c r="F19" s="39" t="str">
        <f t="shared" si="0"/>
        <v/>
      </c>
    </row>
    <row r="20" spans="1:7">
      <c r="A20" s="104"/>
      <c r="B20" s="86" t="str">
        <f>IF(A20="","",VLOOKUP(A20,produits!A:M,10,0))</f>
        <v/>
      </c>
      <c r="C20" s="84" t="str">
        <f>IF(A20="","",VLOOKUP(A20,produits!A:M,5,0))</f>
        <v/>
      </c>
      <c r="D20" s="44"/>
      <c r="E20" s="40" t="str">
        <f>IF(A20="","",VLOOKUP(A20,produits!A:M,4,0))</f>
        <v/>
      </c>
      <c r="F20" s="39" t="str">
        <f t="shared" si="0"/>
        <v/>
      </c>
    </row>
    <row r="21" spans="1:7">
      <c r="A21" s="104"/>
      <c r="B21" s="86" t="str">
        <f>IF(A21="","",VLOOKUP(A21,produits!A:M,10,0))</f>
        <v/>
      </c>
      <c r="C21" s="84" t="str">
        <f>IF(A21="","",VLOOKUP(A21,produits!A:M,5,0))</f>
        <v/>
      </c>
      <c r="D21" s="44"/>
      <c r="E21" s="40" t="str">
        <f>IF(A21="","",VLOOKUP(A21,produits!A:M,4,0))</f>
        <v/>
      </c>
      <c r="F21" s="39" t="str">
        <f t="shared" si="0"/>
        <v/>
      </c>
    </row>
    <row r="22" spans="1:7">
      <c r="A22" s="104"/>
      <c r="B22" s="86" t="str">
        <f>IF(A22="","",VLOOKUP(A22,produits!A:M,10,0))</f>
        <v/>
      </c>
      <c r="C22" s="84" t="str">
        <f>IF(A22="","",VLOOKUP(A22,produits!A:M,5,0))</f>
        <v/>
      </c>
      <c r="D22" s="44"/>
      <c r="E22" s="40" t="str">
        <f>IF(A22="","",VLOOKUP(A22,produits!A:M,4,0))</f>
        <v/>
      </c>
      <c r="F22" s="39" t="str">
        <f t="shared" si="0"/>
        <v/>
      </c>
    </row>
    <row r="23" spans="1:7">
      <c r="A23" s="104"/>
      <c r="B23" s="86" t="str">
        <f>IF(A23="","",VLOOKUP(A23,produits!A:M,10,0))</f>
        <v/>
      </c>
      <c r="C23" s="84" t="str">
        <f>IF(A23="","",VLOOKUP(A23,produits!A:M,5,0))</f>
        <v/>
      </c>
      <c r="D23" s="44"/>
      <c r="E23" s="40" t="str">
        <f>IF(A23="","",VLOOKUP(A23,produits!A:M,4,0))</f>
        <v/>
      </c>
      <c r="F23" s="39" t="str">
        <f t="shared" si="0"/>
        <v/>
      </c>
    </row>
    <row r="24" spans="1:7">
      <c r="A24" s="104"/>
      <c r="B24" s="86" t="str">
        <f>IF(A24="","",VLOOKUP(A24,produits!A:M,10,0))</f>
        <v/>
      </c>
      <c r="C24" s="84" t="str">
        <f>IF(A24="","",VLOOKUP(A24,produits!A:M,5,0))</f>
        <v/>
      </c>
      <c r="D24" s="44"/>
      <c r="E24" s="40" t="str">
        <f>IF(A24="","",VLOOKUP(A24,produits!A:M,4,0))</f>
        <v/>
      </c>
      <c r="F24" s="39" t="str">
        <f t="shared" si="0"/>
        <v/>
      </c>
    </row>
    <row r="25" spans="1:7">
      <c r="A25" s="104"/>
      <c r="B25" s="86" t="str">
        <f>IF(A25="","",VLOOKUP(A25,produits!A:M,10,0))</f>
        <v/>
      </c>
      <c r="C25" s="84" t="str">
        <f>IF(A25="","",VLOOKUP(A25,produits!A:M,5,0))</f>
        <v/>
      </c>
      <c r="D25" s="44"/>
      <c r="E25" s="40" t="str">
        <f>IF(A25="","",VLOOKUP(A25,produits!A:M,4,0))</f>
        <v/>
      </c>
      <c r="F25" s="39" t="str">
        <f t="shared" si="0"/>
        <v/>
      </c>
    </row>
    <row r="26" spans="1:7">
      <c r="A26" s="104"/>
      <c r="B26" s="86" t="str">
        <f>IF(A26="","",VLOOKUP(A26,produits!A:M,10,0))</f>
        <v/>
      </c>
      <c r="C26" s="84" t="str">
        <f>IF(A26="","",VLOOKUP(A26,produits!A:M,5,0))</f>
        <v/>
      </c>
      <c r="D26" s="44"/>
      <c r="E26" s="40" t="str">
        <f>IF(A26="","",VLOOKUP(A26,produits!A:M,4,0))</f>
        <v/>
      </c>
      <c r="F26" s="39" t="str">
        <f t="shared" si="0"/>
        <v/>
      </c>
    </row>
    <row r="27" spans="1:7">
      <c r="A27" s="105"/>
      <c r="B27" s="87" t="str">
        <f>IF(A27="","",VLOOKUP(A27,produits!A:M,10,0))</f>
        <v/>
      </c>
      <c r="C27" s="85" t="str">
        <f>IF(A27="","",VLOOKUP(A27,produits!A:M,5,0))</f>
        <v/>
      </c>
      <c r="D27" s="45"/>
      <c r="E27" s="42" t="str">
        <f>IF(A27="","",VLOOKUP(A27,produits!A:M,4,0))</f>
        <v/>
      </c>
      <c r="F27" s="41" t="str">
        <f t="shared" si="0"/>
        <v/>
      </c>
    </row>
    <row r="28" spans="1:7">
      <c r="A28" s="9"/>
      <c r="B28" s="11"/>
      <c r="C28" s="43"/>
      <c r="D28" s="44"/>
      <c r="E28" s="44"/>
      <c r="F28" s="44"/>
    </row>
    <row r="29" spans="1:7">
      <c r="A29" s="9"/>
      <c r="B29" s="11"/>
      <c r="C29" s="43"/>
      <c r="D29" s="44"/>
      <c r="E29" s="44"/>
      <c r="F29" s="44"/>
    </row>
    <row r="30" spans="1:7">
      <c r="A30" s="120" t="s">
        <v>30</v>
      </c>
      <c r="B30" s="121"/>
      <c r="C30" s="11"/>
      <c r="E30" s="51" t="s">
        <v>26</v>
      </c>
      <c r="F30" s="38">
        <f>SUM(F17:F27)</f>
        <v>19250</v>
      </c>
    </row>
    <row r="31" spans="1:7">
      <c r="A31" s="122" t="str">
        <f>_xll.NBTEXTE(F33,6,0,"dinar","dinars","centime","centimes",3)</f>
        <v>Vingt-Deux Mille Cinq Cent Vingt-Deux Dinars Cinquante Centimes</v>
      </c>
      <c r="B31" s="123"/>
      <c r="C31" s="11"/>
      <c r="E31" s="50" t="s">
        <v>27</v>
      </c>
      <c r="F31" s="38">
        <f>PRODUCT(F30,0.17)</f>
        <v>3272.5000000000005</v>
      </c>
    </row>
    <row r="32" spans="1:7">
      <c r="A32" s="122"/>
      <c r="B32" s="123"/>
      <c r="C32" s="11"/>
      <c r="E32" s="51" t="s">
        <v>28</v>
      </c>
      <c r="F32" s="58"/>
    </row>
    <row r="33" spans="1:6">
      <c r="A33" s="124"/>
      <c r="B33" s="125"/>
      <c r="C33" s="11"/>
      <c r="E33" s="50" t="s">
        <v>29</v>
      </c>
      <c r="F33" s="58">
        <f>SUM(F30:F32)</f>
        <v>22522.5</v>
      </c>
    </row>
    <row r="34" spans="1:6">
      <c r="A34" s="9"/>
      <c r="B34" s="11"/>
      <c r="C34" s="43"/>
      <c r="D34" s="44"/>
      <c r="E34" s="44"/>
      <c r="F34" s="59"/>
    </row>
    <row r="35" spans="1:6">
      <c r="A35" s="9"/>
      <c r="B35" s="11"/>
      <c r="C35" s="43"/>
      <c r="D35" s="44"/>
      <c r="E35" s="44"/>
      <c r="F35" s="59"/>
    </row>
    <row r="36" spans="1:6">
      <c r="A36" s="9"/>
      <c r="B36" s="11"/>
      <c r="C36" s="43"/>
      <c r="D36" s="44"/>
      <c r="E36" s="44"/>
      <c r="F36" s="44"/>
    </row>
    <row r="37" spans="1:6">
      <c r="A37" s="9"/>
      <c r="B37" s="11"/>
      <c r="C37" s="11"/>
      <c r="D37" s="11"/>
      <c r="E37" s="11"/>
      <c r="F37" s="11"/>
    </row>
    <row r="46" spans="1:6">
      <c r="A46" s="11"/>
      <c r="B46" s="11"/>
      <c r="C46" s="11"/>
      <c r="D46" s="11"/>
      <c r="E46" s="11"/>
      <c r="F46" s="11"/>
    </row>
  </sheetData>
  <mergeCells count="8">
    <mergeCell ref="A2:F2"/>
    <mergeCell ref="A1:F1"/>
    <mergeCell ref="D13:E13"/>
    <mergeCell ref="A30:B30"/>
    <mergeCell ref="A31:B33"/>
    <mergeCell ref="E5:F6"/>
    <mergeCell ref="D11:E11"/>
    <mergeCell ref="D12:E12"/>
  </mergeCells>
  <conditionalFormatting sqref="B7 A17 D17">
    <cfRule type="cellIs" dxfId="15" priority="3" operator="equal">
      <formula>0</formula>
    </cfRule>
  </conditionalFormatting>
  <dataValidations count="3">
    <dataValidation type="list" allowBlank="1" showInputMessage="1" showErrorMessage="1" sqref="F12">
      <formula1>listes!$C$2:$C$4</formula1>
    </dataValidation>
    <dataValidation type="list" allowBlank="1" showInputMessage="1" showErrorMessage="1" sqref="B7">
      <formula1>clients!$A:$A</formula1>
    </dataValidation>
    <dataValidation type="list" allowBlank="1" showInputMessage="1" showErrorMessage="1" sqref="A17:A27">
      <formula1>ref</formula1>
    </dataValidation>
  </dataValidations>
  <printOptions horizontalCentered="1" verticalCentered="1"/>
  <pageMargins left="0.19" right="0.33333333333333331" top="1.4" bottom="0.78740157480314965" header="0.23622047244094491" footer="0.31496062992125984"/>
  <pageSetup paperSize="9" fitToWidth="0" fitToHeight="0" orientation="portrait" r:id="rId1"/>
  <headerFooter>
    <oddFooter>&amp;CPage 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N5"/>
  <sheetViews>
    <sheetView showGridLines="0" workbookViewId="0">
      <pane ySplit="1" topLeftCell="A2" activePane="bottomLeft" state="frozen"/>
      <selection pane="bottomLeft" activeCell="I16" sqref="I16"/>
    </sheetView>
  </sheetViews>
  <sheetFormatPr baseColWidth="10" defaultRowHeight="15"/>
  <cols>
    <col min="1" max="1" width="16.42578125" customWidth="1"/>
    <col min="2" max="2" width="9.5703125" customWidth="1"/>
    <col min="3" max="3" width="10.7109375" customWidth="1"/>
    <col min="4" max="4" width="11.7109375" customWidth="1"/>
    <col min="5" max="5" width="27" style="1" customWidth="1"/>
    <col min="6" max="6" width="11.85546875" customWidth="1"/>
    <col min="7" max="8" width="11.42578125" customWidth="1"/>
    <col min="9" max="9" width="23.85546875" style="17" customWidth="1"/>
    <col min="10" max="10" width="5.28515625" style="17" customWidth="1"/>
    <col min="11" max="11" width="7.140625" style="17" customWidth="1"/>
    <col min="12" max="12" width="5.7109375" style="17" customWidth="1"/>
    <col min="13" max="13" width="8.42578125" style="17" customWidth="1"/>
    <col min="14" max="14" width="19.28515625" customWidth="1"/>
  </cols>
  <sheetData>
    <row r="1" spans="1:14" s="1" customFormat="1" ht="51" customHeight="1">
      <c r="A1" s="28" t="s">
        <v>52</v>
      </c>
      <c r="B1" s="28" t="s">
        <v>78</v>
      </c>
      <c r="C1" s="28" t="s">
        <v>47</v>
      </c>
      <c r="D1" s="28" t="s">
        <v>48</v>
      </c>
      <c r="E1" s="28" t="s">
        <v>9</v>
      </c>
      <c r="F1" s="28" t="s">
        <v>76</v>
      </c>
      <c r="G1" s="28" t="s">
        <v>77</v>
      </c>
      <c r="H1" s="28" t="s">
        <v>81</v>
      </c>
      <c r="I1" s="29" t="s">
        <v>51</v>
      </c>
      <c r="J1" s="29" t="s">
        <v>18</v>
      </c>
      <c r="K1" s="29" t="s">
        <v>49</v>
      </c>
      <c r="L1" s="29" t="s">
        <v>19</v>
      </c>
      <c r="M1" s="29" t="s">
        <v>50</v>
      </c>
      <c r="N1" s="28" t="s">
        <v>53</v>
      </c>
    </row>
    <row r="2" spans="1:14">
      <c r="A2" s="32" t="str">
        <f>UPPER(CONCATENATE(LEFT(Tableau1[[#This Row],[nom]],1),LEFT(Tableau1[[#This Row],[prenom]],1),[Tele]))</f>
        <v>LL21222222</v>
      </c>
      <c r="B2" s="11" t="s">
        <v>79</v>
      </c>
      <c r="C2" s="11" t="s">
        <v>125</v>
      </c>
      <c r="D2" s="11" t="s">
        <v>126</v>
      </c>
      <c r="E2" s="30" t="s">
        <v>146</v>
      </c>
      <c r="F2" s="11">
        <v>13000</v>
      </c>
      <c r="G2" s="11" t="s">
        <v>133</v>
      </c>
      <c r="H2" s="11">
        <v>21222222</v>
      </c>
      <c r="I2" s="31" t="s">
        <v>80</v>
      </c>
      <c r="J2" s="31" t="s">
        <v>80</v>
      </c>
      <c r="K2" s="31" t="s">
        <v>80</v>
      </c>
      <c r="L2" s="31" t="s">
        <v>80</v>
      </c>
      <c r="M2" s="31" t="s">
        <v>80</v>
      </c>
      <c r="N2" s="11" t="s">
        <v>137</v>
      </c>
    </row>
    <row r="3" spans="1:14">
      <c r="A3" s="32" t="str">
        <f>UPPER(CONCATENATE(LEFT(Tableau1[[#This Row],[nom]],1),LEFT(Tableau1[[#This Row],[prenom]],1),[Tele]))</f>
        <v>MN1111111</v>
      </c>
      <c r="B3" s="11" t="s">
        <v>79</v>
      </c>
      <c r="C3" s="11" t="s">
        <v>127</v>
      </c>
      <c r="D3" s="11" t="s">
        <v>128</v>
      </c>
      <c r="E3" s="30" t="s">
        <v>147</v>
      </c>
      <c r="F3" s="11">
        <v>75000</v>
      </c>
      <c r="G3" s="11" t="s">
        <v>134</v>
      </c>
      <c r="H3" s="11">
        <v>1111111</v>
      </c>
      <c r="I3" s="31"/>
      <c r="J3" s="31" t="s">
        <v>141</v>
      </c>
      <c r="K3" s="31" t="s">
        <v>142</v>
      </c>
      <c r="L3" s="31" t="s">
        <v>144</v>
      </c>
      <c r="M3" s="31" t="s">
        <v>143</v>
      </c>
      <c r="N3" s="11" t="s">
        <v>138</v>
      </c>
    </row>
    <row r="4" spans="1:14">
      <c r="A4" s="32" t="str">
        <f>UPPER(CONCATENATE(LEFT(Tableau1[[#This Row],[nom]],1),LEFT(Tableau1[[#This Row],[prenom]],1),[Tele]))</f>
        <v>MM3333333</v>
      </c>
      <c r="B4" s="11" t="s">
        <v>79</v>
      </c>
      <c r="C4" s="11" t="s">
        <v>129</v>
      </c>
      <c r="D4" s="11" t="s">
        <v>130</v>
      </c>
      <c r="E4" s="30" t="s">
        <v>148</v>
      </c>
      <c r="F4" s="11">
        <v>45000</v>
      </c>
      <c r="G4" s="11" t="s">
        <v>135</v>
      </c>
      <c r="H4" s="11">
        <v>3333333</v>
      </c>
      <c r="I4" s="31"/>
      <c r="J4" s="31" t="s">
        <v>80</v>
      </c>
      <c r="K4" s="31" t="s">
        <v>80</v>
      </c>
      <c r="L4" s="31" t="s">
        <v>80</v>
      </c>
      <c r="M4" s="31" t="s">
        <v>80</v>
      </c>
      <c r="N4" s="11" t="s">
        <v>139</v>
      </c>
    </row>
    <row r="5" spans="1:14">
      <c r="A5" s="32" t="str">
        <f>UPPER(CONCATENATE(LEFT(Tableau1[[#This Row],[nom]],1),LEFT(Tableau1[[#This Row],[prenom]],1),[Tele]))</f>
        <v>FL12345687</v>
      </c>
      <c r="B5" s="11" t="s">
        <v>79</v>
      </c>
      <c r="C5" s="11" t="s">
        <v>131</v>
      </c>
      <c r="D5" s="11" t="s">
        <v>132</v>
      </c>
      <c r="E5" s="30" t="s">
        <v>149</v>
      </c>
      <c r="F5" s="11">
        <v>52000</v>
      </c>
      <c r="G5" s="11" t="s">
        <v>136</v>
      </c>
      <c r="H5" s="11">
        <v>12345687</v>
      </c>
      <c r="I5" s="31" t="s">
        <v>80</v>
      </c>
      <c r="J5" s="31" t="s">
        <v>80</v>
      </c>
      <c r="K5" s="31" t="s">
        <v>80</v>
      </c>
      <c r="L5" s="31" t="s">
        <v>80</v>
      </c>
      <c r="M5" s="31" t="s">
        <v>80</v>
      </c>
      <c r="N5" s="11" t="s">
        <v>140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5"/>
  <sheetViews>
    <sheetView topLeftCell="D1" workbookViewId="0">
      <pane ySplit="1" topLeftCell="A2" activePane="bottomLeft" state="frozen"/>
      <selection pane="bottomLeft" activeCell="K13" sqref="K13"/>
    </sheetView>
  </sheetViews>
  <sheetFormatPr baseColWidth="10" defaultColWidth="3.5703125" defaultRowHeight="15"/>
  <cols>
    <col min="1" max="1" width="16.140625" customWidth="1"/>
    <col min="2" max="2" width="6.42578125" style="64" customWidth="1"/>
    <col min="3" max="3" width="23.5703125" customWidth="1"/>
    <col min="4" max="4" width="6.7109375" style="63" customWidth="1"/>
    <col min="5" max="5" width="6.140625" style="3" customWidth="1"/>
    <col min="6" max="7" width="9.28515625" style="66" customWidth="1"/>
    <col min="8" max="8" width="8.7109375" style="67" customWidth="1"/>
    <col min="9" max="9" width="9.140625" style="67" customWidth="1"/>
    <col min="10" max="10" width="22.42578125" style="101" customWidth="1"/>
    <col min="11" max="11" width="13.42578125" style="90" customWidth="1"/>
    <col min="12" max="12" width="11.7109375" style="96" customWidth="1"/>
    <col min="13" max="13" width="12.85546875" style="64" customWidth="1"/>
    <col min="14" max="14" width="10.85546875" style="74" customWidth="1"/>
    <col min="15" max="15" width="10.7109375" customWidth="1"/>
    <col min="16" max="16" width="11" style="74" customWidth="1"/>
    <col min="17" max="17" width="13.85546875" style="94" bestFit="1" customWidth="1"/>
    <col min="18" max="18" width="8.140625" customWidth="1"/>
  </cols>
  <sheetData>
    <row r="1" spans="1:18" s="116" customFormat="1" ht="45">
      <c r="A1" s="108" t="s">
        <v>84</v>
      </c>
      <c r="B1" s="109" t="s">
        <v>97</v>
      </c>
      <c r="C1" s="36" t="s">
        <v>0</v>
      </c>
      <c r="D1" s="62" t="s">
        <v>82</v>
      </c>
      <c r="E1" s="37" t="s">
        <v>1</v>
      </c>
      <c r="F1" s="110" t="s">
        <v>31</v>
      </c>
      <c r="G1" s="110" t="s">
        <v>32</v>
      </c>
      <c r="H1" s="99" t="s">
        <v>62</v>
      </c>
      <c r="I1" s="65" t="s">
        <v>83</v>
      </c>
      <c r="J1" s="99" t="s">
        <v>115</v>
      </c>
      <c r="K1" s="65" t="s">
        <v>119</v>
      </c>
      <c r="L1" s="111" t="s">
        <v>120</v>
      </c>
      <c r="M1" s="112" t="s">
        <v>116</v>
      </c>
      <c r="N1" s="113" t="s">
        <v>121</v>
      </c>
      <c r="O1" s="114" t="s">
        <v>118</v>
      </c>
      <c r="P1" s="113" t="s">
        <v>117</v>
      </c>
      <c r="Q1" s="115" t="s">
        <v>123</v>
      </c>
      <c r="R1" s="114" t="s">
        <v>122</v>
      </c>
    </row>
    <row r="2" spans="1:18" ht="21.75" customHeight="1">
      <c r="A2" t="str">
        <f>CONCATENATE(LEFT([categorie],4),LEFT([couleur],2),"-",LEFT([finition],2),"-",[longueur])</f>
        <v>EQU---</v>
      </c>
      <c r="B2" t="s">
        <v>71</v>
      </c>
      <c r="C2" t="str">
        <f>IF([categorie]="","",VLOOKUP([categorie],'prix Unitaires'!A:D,2,0))</f>
        <v>EQU-équerre pour lambourde</v>
      </c>
      <c r="D2">
        <f>IF([categorie]="","",VLOOKUP([categorie],'prix Unitaires'!A:D,3,0))</f>
        <v>20</v>
      </c>
      <c r="E2" t="str">
        <f>IF([categorie]="","",VLOOKUP([categorie],'prix Unitaires'!A:D,4,0))</f>
        <v>piéce</v>
      </c>
      <c r="F2"/>
      <c r="G2"/>
      <c r="H2"/>
      <c r="I2">
        <f>PRODUCT(Tableau3[[#This Row],[prix du metre]],Tableau3[[#This Row],[longueur]])</f>
        <v>20</v>
      </c>
      <c r="J2" t="str">
        <f>CONCATENATE(C2,", ",F2,", ",G2,",",H2)</f>
        <v>EQU-équerre pour lambourde, , ,</v>
      </c>
      <c r="K2"/>
      <c r="L2">
        <v>777</v>
      </c>
      <c r="M2"/>
      <c r="N2">
        <v>20</v>
      </c>
      <c r="P2">
        <f>Tableau3[[#This Row],[ancien stock]]+Tableau3[[#This Row],[quantité entrée]]-Tableau3[[#This Row],[quantité sortie]]</f>
        <v>757</v>
      </c>
      <c r="Q2">
        <f>IF(Tableau3[[#This Row],[nouveau stock]]&lt;0,0,PRODUCT(Tableau3[[#This Row],[P.U]],Tableau3[[#This Row],[nouveau stock]]))</f>
        <v>15140</v>
      </c>
      <c r="R2" t="str">
        <f>IF(Tableau3[[#This Row],[nouveau stock]]&lt;0,"rupture","")</f>
        <v/>
      </c>
    </row>
    <row r="3" spans="1:18" ht="21.75" customHeight="1">
      <c r="A3" t="str">
        <f>CONCATENATE(LEFT([categorie],4),LEFT([couleur],2),"-",LEFT([finition],2),"-",[longueur])</f>
        <v>BCO-ch-po-1</v>
      </c>
      <c r="B3" t="s">
        <v>70</v>
      </c>
      <c r="C3" t="str">
        <f>IF([categorie]="","",VLOOKUP([categorie],'prix Unitaires'!A:D,2,0))</f>
        <v>BCO-corniére de coin en WPC</v>
      </c>
      <c r="D3">
        <f>IF([categorie]="","",VLOOKUP([categorie],'prix Unitaires'!A:D,3,0))</f>
        <v>210</v>
      </c>
      <c r="E3" t="str">
        <f>IF([categorie]="","",VLOOKUP([categorie],'prix Unitaires'!A:D,4,0))</f>
        <v>ml</v>
      </c>
      <c r="F3" t="s">
        <v>34</v>
      </c>
      <c r="G3" t="s">
        <v>40</v>
      </c>
      <c r="H3">
        <v>1</v>
      </c>
      <c r="I3">
        <f>PRODUCT(Tableau3[[#This Row],[prix du metre]],Tableau3[[#This Row],[longueur]])</f>
        <v>210</v>
      </c>
      <c r="J3" t="str">
        <f>CONCATENATE(C3,", ",F3,", ",G3,",",H3)</f>
        <v>BCO-corniére de coin en WPC, chocolat, poncée,1</v>
      </c>
      <c r="K3"/>
      <c r="L3">
        <v>100</v>
      </c>
      <c r="M3" s="107"/>
      <c r="N3">
        <v>44</v>
      </c>
      <c r="P3">
        <f>Tableau3[[#This Row],[ancien stock]]+Tableau3[[#This Row],[quantité entrée]]-Tableau3[[#This Row],[quantité sortie]]</f>
        <v>56</v>
      </c>
      <c r="Q3">
        <f>IF(Tableau3[[#This Row],[nouveau stock]]&lt;0,0,PRODUCT(Tableau3[[#This Row],[P.U]],Tableau3[[#This Row],[nouveau stock]]))</f>
        <v>11760</v>
      </c>
      <c r="R3" t="str">
        <f>IF(Tableau3[[#This Row],[nouveau stock]]&lt;0,"rupture","")</f>
        <v/>
      </c>
    </row>
    <row r="4" spans="1:18" ht="45">
      <c r="A4" t="str">
        <f>CONCATENATE(LEFT([categorie],4),LEFT([couleur],2),"-",LEFT([finition],2),"-",[longueur])</f>
        <v>BLP-ma-st-3</v>
      </c>
      <c r="B4" t="s">
        <v>66</v>
      </c>
      <c r="C4" t="str">
        <f>IF([categorie]="","",VLOOKUP([categorie],'prix Unitaires'!A:D,2,0))</f>
        <v>BLP-lame de bardage plat en WPC</v>
      </c>
      <c r="D4">
        <f>IF([categorie]="","",VLOOKUP([categorie],'prix Unitaires'!A:D,3,0))</f>
        <v>350</v>
      </c>
      <c r="E4" t="str">
        <f>IF([categorie]="","",VLOOKUP([categorie],'prix Unitaires'!A:D,4,0))</f>
        <v>ml</v>
      </c>
      <c r="F4" t="s">
        <v>33</v>
      </c>
      <c r="G4" t="s">
        <v>41</v>
      </c>
      <c r="H4">
        <v>3</v>
      </c>
      <c r="I4">
        <f>PRODUCT(Tableau3[[#This Row],[prix du metre]],Tableau3[[#This Row],[longueur]])</f>
        <v>1050</v>
      </c>
      <c r="J4" s="1" t="str">
        <f>CONCATENATE(C4,", ",F4,", ",G4,",",H4)</f>
        <v>BLP-lame de bardage plat en WPC, marron clair, structurée,3</v>
      </c>
      <c r="K4"/>
      <c r="L4">
        <v>22</v>
      </c>
      <c r="M4"/>
      <c r="N4">
        <v>5</v>
      </c>
      <c r="P4">
        <f>Tableau3[[#This Row],[ancien stock]]+Tableau3[[#This Row],[quantité entrée]]-Tableau3[[#This Row],[quantité sortie]]</f>
        <v>17</v>
      </c>
      <c r="Q4">
        <f>IF(Tableau3[[#This Row],[nouveau stock]]&lt;0,0,PRODUCT(Tableau3[[#This Row],[P.U]],Tableau3[[#This Row],[nouveau stock]]))</f>
        <v>17850</v>
      </c>
      <c r="R4" t="str">
        <f>IF(Tableau3[[#This Row],[nouveau stock]]&lt;0,"rupture","")</f>
        <v/>
      </c>
    </row>
    <row r="5" spans="1:18" s="1" customFormat="1" ht="45">
      <c r="A5" s="91" t="str">
        <f>CONCATENATE(LEFT([categorie],4),LEFT([couleur],2),"-",LEFT([finition],2),"-",[longueur])</f>
        <v>TLV-ch-po-4</v>
      </c>
      <c r="B5" s="91" t="s">
        <v>63</v>
      </c>
      <c r="C5" s="91" t="str">
        <f>IF([categorie]="","",VLOOKUP([categorie],'prix Unitaires'!A:D,2,0))</f>
        <v xml:space="preserve">TLV-lame alvéolaire en WPC à double face </v>
      </c>
      <c r="D5" s="95">
        <f>IF([categorie]="","",VLOOKUP([categorie],'prix Unitaires'!A:D,3,0))</f>
        <v>462.5</v>
      </c>
      <c r="E5" s="95" t="str">
        <f>IF([categorie]="","",VLOOKUP([categorie],'prix Unitaires'!A:D,4,0))</f>
        <v>ml</v>
      </c>
      <c r="F5" s="95" t="s">
        <v>34</v>
      </c>
      <c r="G5" s="95" t="s">
        <v>40</v>
      </c>
      <c r="H5" s="95">
        <v>4</v>
      </c>
      <c r="I5" s="98">
        <f>PRODUCT(Tableau3[[#This Row],[prix du metre]],Tableau3[[#This Row],[longueur]])</f>
        <v>1850</v>
      </c>
      <c r="J5" s="100" t="str">
        <f>CONCATENATE(C5,", ",F5,", ",G5,",",H5)</f>
        <v>TLV-lame alvéolaire en WPC à double face , chocolat, poncée,4</v>
      </c>
      <c r="K5" s="92"/>
      <c r="L5" s="95">
        <v>55</v>
      </c>
      <c r="M5" s="95"/>
      <c r="N5" s="97">
        <v>14</v>
      </c>
      <c r="O5" s="102">
        <v>12</v>
      </c>
      <c r="P5" s="102">
        <f>Tableau3[[#This Row],[ancien stock]]+Tableau3[[#This Row],[quantité entrée]]-Tableau3[[#This Row],[quantité sortie]]</f>
        <v>53</v>
      </c>
      <c r="Q5" s="103">
        <f>IF(Tableau3[[#This Row],[nouveau stock]]&lt;0,0,PRODUCT(Tableau3[[#This Row],[P.U]],Tableau3[[#This Row],[nouveau stock]]))</f>
        <v>98050</v>
      </c>
      <c r="R5" s="97" t="str">
        <f>IF(Tableau3[[#This Row],[nouveau stock]]&lt;0,"rupture","")</f>
        <v/>
      </c>
    </row>
  </sheetData>
  <dataValidations count="4">
    <dataValidation type="list" allowBlank="1" showInputMessage="1" showErrorMessage="1" sqref="F2:F5">
      <formula1>listes!$A$2:$A$9</formula1>
    </dataValidation>
    <dataValidation type="list" allowBlank="1" showInputMessage="1" showErrorMessage="1" sqref="G2:G5">
      <formula1>listes!$B$2:$B$6</formula1>
    </dataValidation>
    <dataValidation type="list" allowBlank="1" showInputMessage="1" showErrorMessage="1" sqref="H2:H5">
      <formula1>listes!$H$2:$H$5</formula1>
    </dataValidation>
    <dataValidation type="list" allowBlank="1" showInputMessage="1" showErrorMessage="1" sqref="B2:B5">
      <formula1>'prix Unitaires'!$A$2:$A$15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AA3"/>
  <sheetViews>
    <sheetView workbookViewId="0">
      <pane ySplit="1" topLeftCell="A2" activePane="bottomLeft" state="frozen"/>
      <selection pane="bottomLeft" activeCell="F10" sqref="F10"/>
    </sheetView>
  </sheetViews>
  <sheetFormatPr baseColWidth="10" defaultRowHeight="15"/>
  <cols>
    <col min="1" max="1" width="14.5703125" style="74" customWidth="1"/>
    <col min="2" max="2" width="27.5703125" style="82" customWidth="1"/>
    <col min="3" max="3" width="12.140625" style="76" customWidth="1"/>
    <col min="4" max="4" width="16.5703125" style="73" hidden="1" customWidth="1"/>
    <col min="5" max="5" width="12.42578125" style="76" customWidth="1"/>
    <col min="6" max="6" width="12.5703125" style="73" customWidth="1"/>
    <col min="7" max="7" width="25" style="74" customWidth="1"/>
    <col min="8" max="8" width="14.5703125" style="82" customWidth="1"/>
    <col min="9" max="9" width="13" style="83" customWidth="1"/>
    <col min="10" max="10" width="13.42578125" style="83" customWidth="1"/>
    <col min="11" max="11" width="14.28515625" style="83" customWidth="1"/>
    <col min="12" max="12" width="15.85546875" style="83" customWidth="1"/>
    <col min="13" max="13" width="30.42578125" style="74" customWidth="1"/>
    <col min="15" max="15" width="0" hidden="1" customWidth="1"/>
  </cols>
  <sheetData>
    <row r="1" spans="1:27" s="69" customFormat="1" ht="65.25" customHeight="1">
      <c r="A1" s="77" t="s">
        <v>113</v>
      </c>
      <c r="B1" s="78" t="s">
        <v>112</v>
      </c>
      <c r="C1" s="79" t="s">
        <v>102</v>
      </c>
      <c r="D1" s="75" t="s">
        <v>108</v>
      </c>
      <c r="E1" s="88" t="s">
        <v>110</v>
      </c>
      <c r="F1" s="72" t="s">
        <v>111</v>
      </c>
      <c r="G1" s="80" t="s">
        <v>103</v>
      </c>
      <c r="H1" s="89" t="s">
        <v>114</v>
      </c>
      <c r="I1" s="81" t="s">
        <v>104</v>
      </c>
      <c r="J1" s="81" t="s">
        <v>105</v>
      </c>
      <c r="K1" s="81" t="s">
        <v>109</v>
      </c>
      <c r="L1" s="81" t="s">
        <v>106</v>
      </c>
      <c r="M1" s="80" t="s">
        <v>107</v>
      </c>
      <c r="O1" s="71">
        <f>COUNTA(A:A)</f>
        <v>2</v>
      </c>
      <c r="AA1" s="68"/>
    </row>
    <row r="2" spans="1:27" ht="65.25" customHeight="1">
      <c r="A2" s="74">
        <v>1</v>
      </c>
      <c r="B2" s="74" t="str">
        <f>CONCATENATE(Tableau2[[#This Row],[ANNEE]],"_",Tableau2[[#This Row],[concatenation fact]])</f>
        <v>2015_1</v>
      </c>
      <c r="C2" s="76">
        <v>42271</v>
      </c>
      <c r="D2" s="74">
        <f>YEAR(C2)</f>
        <v>2015</v>
      </c>
      <c r="E2" s="76">
        <v>42278</v>
      </c>
      <c r="F2" s="74">
        <f>[DATE ECHEANCE]-[DATE]</f>
        <v>7</v>
      </c>
      <c r="G2" s="74" t="s">
        <v>150</v>
      </c>
      <c r="H2" s="74"/>
      <c r="M2" s="74" t="s">
        <v>137</v>
      </c>
    </row>
    <row r="3" spans="1:27" ht="65.25" customHeight="1"/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J15"/>
  <sheetViews>
    <sheetView workbookViewId="0">
      <selection activeCell="K6" sqref="K6"/>
    </sheetView>
  </sheetViews>
  <sheetFormatPr baseColWidth="10" defaultRowHeight="15"/>
  <cols>
    <col min="2" max="2" width="36.5703125" customWidth="1"/>
    <col min="3" max="3" width="11.28515625" style="3" customWidth="1"/>
    <col min="4" max="4" width="9.85546875" style="3" customWidth="1"/>
    <col min="5" max="5" width="10.140625" style="3" customWidth="1"/>
    <col min="6" max="8" width="11.42578125" style="3" customWidth="1"/>
    <col min="9" max="9" width="15.28515625" style="3" customWidth="1"/>
  </cols>
  <sheetData>
    <row r="1" spans="1:10" s="2" customFormat="1" ht="30">
      <c r="A1" s="35" t="s">
        <v>97</v>
      </c>
      <c r="B1" s="4" t="s">
        <v>0</v>
      </c>
      <c r="C1" s="5" t="s">
        <v>82</v>
      </c>
      <c r="D1" s="5" t="s">
        <v>1</v>
      </c>
      <c r="E1" s="5" t="s">
        <v>31</v>
      </c>
      <c r="F1" s="5" t="s">
        <v>32</v>
      </c>
      <c r="G1" s="5" t="s">
        <v>62</v>
      </c>
      <c r="H1" s="5" t="s">
        <v>83</v>
      </c>
      <c r="I1" s="5" t="s">
        <v>4</v>
      </c>
      <c r="J1" s="8" t="s">
        <v>5</v>
      </c>
    </row>
    <row r="2" spans="1:10" ht="15.75" customHeight="1">
      <c r="A2" s="6" t="s">
        <v>63</v>
      </c>
      <c r="B2" s="6" t="s">
        <v>85</v>
      </c>
      <c r="C2" s="7">
        <v>462.5</v>
      </c>
      <c r="D2" s="7" t="s">
        <v>2</v>
      </c>
      <c r="E2" s="7"/>
      <c r="F2" s="7"/>
      <c r="G2" s="7"/>
      <c r="H2" s="7"/>
      <c r="I2" s="7">
        <v>100</v>
      </c>
      <c r="J2" s="6"/>
    </row>
    <row r="3" spans="1:10" ht="13.5" customHeight="1">
      <c r="A3" s="6" t="s">
        <v>64</v>
      </c>
      <c r="B3" s="6" t="s">
        <v>96</v>
      </c>
      <c r="C3" s="7">
        <v>650</v>
      </c>
      <c r="D3" s="7" t="s">
        <v>2</v>
      </c>
      <c r="E3" s="7"/>
      <c r="F3" s="7"/>
      <c r="G3" s="7"/>
      <c r="H3" s="7"/>
      <c r="I3" s="7">
        <v>100</v>
      </c>
      <c r="J3" s="6"/>
    </row>
    <row r="4" spans="1:10" ht="14.25" customHeight="1">
      <c r="A4" s="6" t="s">
        <v>65</v>
      </c>
      <c r="B4" s="6" t="s">
        <v>86</v>
      </c>
      <c r="C4" s="7">
        <v>412.5</v>
      </c>
      <c r="D4" s="7" t="s">
        <v>2</v>
      </c>
      <c r="E4" s="7"/>
      <c r="F4" s="7"/>
      <c r="G4" s="7"/>
      <c r="H4" s="7"/>
      <c r="I4" s="7">
        <v>100</v>
      </c>
      <c r="J4" s="6"/>
    </row>
    <row r="5" spans="1:10" ht="17.25" customHeight="1">
      <c r="A5" s="6" t="s">
        <v>66</v>
      </c>
      <c r="B5" s="6" t="s">
        <v>87</v>
      </c>
      <c r="C5" s="7">
        <v>350</v>
      </c>
      <c r="D5" s="7" t="s">
        <v>2</v>
      </c>
      <c r="E5" s="7"/>
      <c r="F5" s="7"/>
      <c r="G5" s="7"/>
      <c r="H5" s="7"/>
      <c r="I5" s="7">
        <v>100</v>
      </c>
      <c r="J5" s="6"/>
    </row>
    <row r="6" spans="1:10" ht="15.75" customHeight="1">
      <c r="A6" s="6" t="s">
        <v>67</v>
      </c>
      <c r="B6" s="6" t="s">
        <v>88</v>
      </c>
      <c r="C6" s="7">
        <v>495.5</v>
      </c>
      <c r="D6" s="7" t="s">
        <v>2</v>
      </c>
      <c r="E6" s="7"/>
      <c r="F6" s="7"/>
      <c r="G6" s="7"/>
      <c r="H6" s="7"/>
      <c r="I6" s="7">
        <v>100</v>
      </c>
      <c r="J6" s="6"/>
    </row>
    <row r="7" spans="1:10" ht="19.5" customHeight="1">
      <c r="A7" s="6" t="s">
        <v>68</v>
      </c>
      <c r="B7" s="6" t="s">
        <v>89</v>
      </c>
      <c r="C7" s="7">
        <v>175</v>
      </c>
      <c r="D7" s="7" t="s">
        <v>2</v>
      </c>
      <c r="E7" s="7"/>
      <c r="F7" s="7"/>
      <c r="G7" s="7"/>
      <c r="H7" s="7"/>
      <c r="I7" s="7">
        <v>100</v>
      </c>
      <c r="J7" s="6"/>
    </row>
    <row r="8" spans="1:10" ht="16.5" customHeight="1">
      <c r="A8" s="6" t="s">
        <v>69</v>
      </c>
      <c r="B8" s="6" t="s">
        <v>90</v>
      </c>
      <c r="C8" s="7">
        <v>210</v>
      </c>
      <c r="D8" s="7" t="s">
        <v>2</v>
      </c>
      <c r="E8" s="7"/>
      <c r="F8" s="7"/>
      <c r="G8" s="7"/>
      <c r="H8" s="7"/>
      <c r="I8" s="7">
        <v>100</v>
      </c>
      <c r="J8" s="6"/>
    </row>
    <row r="9" spans="1:10" ht="15.75" customHeight="1">
      <c r="A9" s="6" t="s">
        <v>70</v>
      </c>
      <c r="B9" s="6" t="s">
        <v>91</v>
      </c>
      <c r="C9" s="7">
        <v>210</v>
      </c>
      <c r="D9" s="7" t="s">
        <v>2</v>
      </c>
      <c r="E9" s="7"/>
      <c r="F9" s="7"/>
      <c r="G9" s="7"/>
      <c r="H9" s="7"/>
      <c r="I9" s="7">
        <v>100</v>
      </c>
      <c r="J9" s="6"/>
    </row>
    <row r="10" spans="1:10" ht="15.75" customHeight="1">
      <c r="A10" s="6" t="s">
        <v>73</v>
      </c>
      <c r="B10" s="6" t="s">
        <v>92</v>
      </c>
      <c r="C10" s="7">
        <v>45</v>
      </c>
      <c r="D10" s="7" t="s">
        <v>3</v>
      </c>
      <c r="E10" s="7"/>
      <c r="F10" s="7"/>
      <c r="G10" s="7"/>
      <c r="H10" s="7"/>
      <c r="I10" s="7">
        <v>500</v>
      </c>
      <c r="J10" s="6"/>
    </row>
    <row r="11" spans="1:10" ht="15" customHeight="1">
      <c r="A11" s="6" t="s">
        <v>74</v>
      </c>
      <c r="B11" s="6" t="s">
        <v>93</v>
      </c>
      <c r="C11" s="7">
        <v>45</v>
      </c>
      <c r="D11" s="7" t="s">
        <v>3</v>
      </c>
      <c r="E11" s="7"/>
      <c r="F11" s="7"/>
      <c r="G11" s="7"/>
      <c r="H11" s="7"/>
      <c r="I11" s="7">
        <v>500</v>
      </c>
      <c r="J11" s="6"/>
    </row>
    <row r="12" spans="1:10" ht="15" customHeight="1">
      <c r="A12" s="6" t="s">
        <v>75</v>
      </c>
      <c r="B12" s="6" t="s">
        <v>94</v>
      </c>
      <c r="C12" s="7">
        <v>25</v>
      </c>
      <c r="D12" s="7" t="s">
        <v>3</v>
      </c>
      <c r="E12" s="7"/>
      <c r="F12" s="7"/>
      <c r="G12" s="7"/>
      <c r="H12" s="7"/>
      <c r="I12" s="7">
        <v>500</v>
      </c>
      <c r="J12" s="6"/>
    </row>
    <row r="13" spans="1:10" ht="18" customHeight="1">
      <c r="A13" s="6" t="s">
        <v>100</v>
      </c>
      <c r="B13" s="6" t="s">
        <v>101</v>
      </c>
      <c r="C13" s="7">
        <v>3</v>
      </c>
      <c r="D13" s="7" t="s">
        <v>3</v>
      </c>
      <c r="E13" s="7"/>
      <c r="F13" s="7"/>
      <c r="G13" s="7"/>
      <c r="H13" s="7"/>
      <c r="I13" s="7">
        <v>500</v>
      </c>
      <c r="J13" s="6"/>
    </row>
    <row r="14" spans="1:10" ht="12" customHeight="1">
      <c r="A14" s="6" t="s">
        <v>99</v>
      </c>
      <c r="B14" s="6" t="s">
        <v>98</v>
      </c>
      <c r="C14" s="7">
        <v>5</v>
      </c>
      <c r="D14" s="7" t="s">
        <v>3</v>
      </c>
      <c r="E14" s="7"/>
      <c r="F14" s="7"/>
      <c r="G14" s="7"/>
      <c r="H14" s="7"/>
      <c r="I14" s="7">
        <v>500</v>
      </c>
      <c r="J14" s="6"/>
    </row>
    <row r="15" spans="1:10" ht="18" customHeight="1">
      <c r="A15" s="6" t="s">
        <v>71</v>
      </c>
      <c r="B15" s="6" t="s">
        <v>95</v>
      </c>
      <c r="C15" s="7">
        <v>20</v>
      </c>
      <c r="D15" s="7" t="s">
        <v>3</v>
      </c>
      <c r="E15" s="7"/>
      <c r="F15" s="7"/>
      <c r="G15" s="7"/>
      <c r="H15" s="7"/>
      <c r="I15" s="7">
        <v>500</v>
      </c>
      <c r="J15" s="6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H9"/>
  <sheetViews>
    <sheetView workbookViewId="0">
      <selection activeCell="C19" sqref="C19"/>
    </sheetView>
  </sheetViews>
  <sheetFormatPr baseColWidth="10" defaultRowHeight="15"/>
  <cols>
    <col min="4" max="4" width="15.28515625" customWidth="1"/>
  </cols>
  <sheetData>
    <row r="1" spans="1:8" s="1" customFormat="1" ht="30">
      <c r="A1" s="27" t="s">
        <v>31</v>
      </c>
      <c r="B1" s="27" t="s">
        <v>32</v>
      </c>
      <c r="C1" s="27" t="s">
        <v>46</v>
      </c>
      <c r="D1" s="27" t="s">
        <v>57</v>
      </c>
      <c r="E1" s="27" t="s">
        <v>61</v>
      </c>
      <c r="F1" s="27" t="s">
        <v>1</v>
      </c>
      <c r="G1" s="27"/>
      <c r="H1" s="34" t="s">
        <v>62</v>
      </c>
    </row>
    <row r="2" spans="1:8">
      <c r="A2" t="s">
        <v>33</v>
      </c>
      <c r="B2" t="s">
        <v>39</v>
      </c>
      <c r="C2" t="s">
        <v>43</v>
      </c>
      <c r="D2" t="s">
        <v>58</v>
      </c>
      <c r="F2" t="s">
        <v>2</v>
      </c>
      <c r="H2">
        <v>4</v>
      </c>
    </row>
    <row r="3" spans="1:8">
      <c r="A3" t="s">
        <v>34</v>
      </c>
      <c r="B3" t="s">
        <v>40</v>
      </c>
      <c r="C3" t="s">
        <v>44</v>
      </c>
      <c r="D3" t="s">
        <v>59</v>
      </c>
      <c r="F3" t="s">
        <v>3</v>
      </c>
      <c r="H3">
        <v>3</v>
      </c>
    </row>
    <row r="4" spans="1:8">
      <c r="A4" t="s">
        <v>35</v>
      </c>
      <c r="B4" t="s">
        <v>41</v>
      </c>
      <c r="C4" t="s">
        <v>45</v>
      </c>
      <c r="D4" t="s">
        <v>60</v>
      </c>
      <c r="H4">
        <v>2</v>
      </c>
    </row>
    <row r="5" spans="1:8">
      <c r="A5" t="s">
        <v>36</v>
      </c>
      <c r="B5" t="s">
        <v>42</v>
      </c>
      <c r="H5">
        <v>1</v>
      </c>
    </row>
    <row r="6" spans="1:8">
      <c r="A6" t="s">
        <v>37</v>
      </c>
      <c r="B6" t="s">
        <v>72</v>
      </c>
    </row>
    <row r="7" spans="1:8">
      <c r="A7" t="s">
        <v>38</v>
      </c>
    </row>
    <row r="8" spans="1:8">
      <c r="A8" t="s">
        <v>55</v>
      </c>
    </row>
    <row r="9" spans="1:8">
      <c r="A9" t="s">
        <v>56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factures</vt:lpstr>
      <vt:lpstr>clients</vt:lpstr>
      <vt:lpstr>produits</vt:lpstr>
      <vt:lpstr>archivage factures</vt:lpstr>
      <vt:lpstr>prix Unitaires</vt:lpstr>
      <vt:lpstr>listes</vt:lpstr>
      <vt:lpstr>brossé</vt:lpstr>
      <vt:lpstr>chéque</vt:lpstr>
      <vt:lpstr>code_client</vt:lpstr>
      <vt:lpstr>couleur</vt:lpstr>
      <vt:lpstr>Designation</vt:lpstr>
      <vt:lpstr>fini</vt:lpstr>
      <vt:lpstr>finition</vt:lpstr>
      <vt:lpstr>listed</vt:lpstr>
      <vt:lpstr>LISTEDESIGNATION</vt:lpstr>
      <vt:lpstr>longueur</vt:lpstr>
      <vt:lpstr>marron_clair</vt:lpstr>
      <vt:lpstr>ml</vt:lpstr>
      <vt:lpstr>Prixunitaire</vt:lpstr>
      <vt:lpstr>ref</vt:lpstr>
      <vt:lpstr>vv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2015-09-24T12:51:48Z</cp:lastPrinted>
  <dcterms:created xsi:type="dcterms:W3CDTF">2015-08-13T11:45:50Z</dcterms:created>
  <dcterms:modified xsi:type="dcterms:W3CDTF">2015-09-24T15:45:29Z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control idQ="mso:FileEmailAsPdfEmailAttachment" visible="true"/>
        <mso:control idQ="mso:FileSaveAsMenu" visible="true"/>
        <mso:control idQ="mso:FileSaveAsPdfOrXps" visible="true"/>
        <mso:control idQ="doc:GroupMorefunc" visible="true"/>
      </mso:documentControls>
    </mso:qat>
  </mso:ribbon>
</mso:customUI>
</file>