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T900391\Desktop\"/>
    </mc:Choice>
  </mc:AlternateContent>
  <bookViews>
    <workbookView xWindow="0" yWindow="0" windowWidth="20490" windowHeight="7320"/>
  </bookViews>
  <sheets>
    <sheet name="Manquant" sheetId="4" r:id="rId1"/>
    <sheet name="Planning" sheetId="6" r:id="rId2"/>
    <sheet name="NBR Composants" sheetId="9" r:id="rId3"/>
    <sheet name="Synthese" sheetId="7" r:id="rId4"/>
    <sheet name="Manquant REF" sheetId="12" r:id="rId5"/>
  </sheets>
  <definedNames>
    <definedName name="DonnéesExternes_1" localSheetId="0" hidden="1">Manquant!$A$1:$K$12</definedName>
    <definedName name="DonnéesExternes_1" localSheetId="4" hidden="1">'Manquant REF'!$A$1:$T$12</definedName>
    <definedName name="DonnéesExternes_1" localSheetId="2" hidden="1">'NBR Composants'!$A$1:$C$74</definedName>
    <definedName name="DonnéesExternes_1" localSheetId="1" hidden="1">Planning!$A$1:$M$6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2" i="12" l="1"/>
  <c r="R12" i="12"/>
  <c r="Q12" i="12"/>
  <c r="T12" i="12" s="1"/>
  <c r="M12" i="12"/>
  <c r="L12" i="12"/>
  <c r="N12" i="12" s="1"/>
  <c r="P12" i="12" s="1"/>
  <c r="S11" i="12"/>
  <c r="R11" i="12"/>
  <c r="Q11" i="12"/>
  <c r="T11" i="12" s="1"/>
  <c r="M11" i="12"/>
  <c r="L11" i="12"/>
  <c r="N11" i="12" s="1"/>
  <c r="P11" i="12" s="1"/>
  <c r="S10" i="12"/>
  <c r="R10" i="12"/>
  <c r="Q10" i="12"/>
  <c r="T10" i="12" s="1"/>
  <c r="M10" i="12"/>
  <c r="L10" i="12"/>
  <c r="N10" i="12" s="1"/>
  <c r="P10" i="12" s="1"/>
  <c r="S9" i="12"/>
  <c r="R9" i="12"/>
  <c r="Q9" i="12"/>
  <c r="T9" i="12" s="1"/>
  <c r="M9" i="12"/>
  <c r="L9" i="12"/>
  <c r="N9" i="12" s="1"/>
  <c r="P9" i="12" s="1"/>
  <c r="S8" i="12"/>
  <c r="R8" i="12"/>
  <c r="Q8" i="12"/>
  <c r="T8" i="12" s="1"/>
  <c r="M8" i="12"/>
  <c r="L8" i="12"/>
  <c r="N8" i="12" s="1"/>
  <c r="P8" i="12" s="1"/>
  <c r="S7" i="12"/>
  <c r="R7" i="12"/>
  <c r="Q7" i="12"/>
  <c r="T7" i="12" s="1"/>
  <c r="M7" i="12"/>
  <c r="L7" i="12"/>
  <c r="N7" i="12" s="1"/>
  <c r="P7" i="12" s="1"/>
  <c r="S6" i="12"/>
  <c r="R6" i="12"/>
  <c r="Q6" i="12"/>
  <c r="T6" i="12" s="1"/>
  <c r="M6" i="12"/>
  <c r="L6" i="12"/>
  <c r="N6" i="12" s="1"/>
  <c r="P6" i="12" s="1"/>
  <c r="S5" i="12"/>
  <c r="R5" i="12"/>
  <c r="Q5" i="12"/>
  <c r="T5" i="12" s="1"/>
  <c r="M5" i="12"/>
  <c r="L5" i="12"/>
  <c r="N5" i="12" s="1"/>
  <c r="P5" i="12" s="1"/>
  <c r="S4" i="12"/>
  <c r="R4" i="12"/>
  <c r="Q4" i="12"/>
  <c r="T4" i="12" s="1"/>
  <c r="M4" i="12"/>
  <c r="L4" i="12"/>
  <c r="N4" i="12" s="1"/>
  <c r="P4" i="12" s="1"/>
  <c r="S3" i="12"/>
  <c r="R3" i="12"/>
  <c r="Q3" i="12"/>
  <c r="T3" i="12" s="1"/>
  <c r="M3" i="12"/>
  <c r="L3" i="12"/>
  <c r="N3" i="12" s="1"/>
  <c r="P3" i="12" s="1"/>
  <c r="S2" i="12"/>
  <c r="R2" i="12"/>
  <c r="Q2" i="12"/>
  <c r="T2" i="12" s="1"/>
  <c r="M2" i="12"/>
  <c r="L2" i="12"/>
  <c r="N2" i="12" s="1"/>
  <c r="P2" i="12" s="1"/>
  <c r="G3" i="7"/>
  <c r="G4" i="7"/>
  <c r="G5" i="7"/>
  <c r="G6" i="7"/>
  <c r="G2" i="7"/>
  <c r="P7" i="4"/>
  <c r="P2" i="4"/>
  <c r="L20" i="7" l="1"/>
  <c r="I19" i="7"/>
  <c r="I23" i="7"/>
  <c r="G19" i="7"/>
  <c r="G23" i="7"/>
  <c r="E19" i="7"/>
  <c r="E23" i="7"/>
  <c r="C15" i="7"/>
  <c r="C19" i="7"/>
  <c r="C23" i="7"/>
  <c r="B23" i="7"/>
  <c r="J23" i="7" s="1"/>
  <c r="B22" i="7"/>
  <c r="K22" i="7" s="1"/>
  <c r="B21" i="7"/>
  <c r="L21" i="7" s="1"/>
  <c r="B20" i="7"/>
  <c r="I20" i="7" s="1"/>
  <c r="B19" i="7"/>
  <c r="J19" i="7" s="1"/>
  <c r="B18" i="7"/>
  <c r="B17" i="7"/>
  <c r="L17" i="7" s="1"/>
  <c r="B16" i="7"/>
  <c r="I16" i="7" s="1"/>
  <c r="B15" i="7"/>
  <c r="J15" i="7" s="1"/>
  <c r="B14" i="7"/>
  <c r="J14" i="7" s="1"/>
  <c r="L6" i="7" a="1"/>
  <c r="L6" i="7" s="1"/>
  <c r="L7" i="7" a="1"/>
  <c r="L7" i="7" s="1"/>
  <c r="L8" i="7" a="1"/>
  <c r="L8" i="7" s="1"/>
  <c r="L9" i="7" a="1"/>
  <c r="L9" i="7" s="1"/>
  <c r="L10" i="7" a="1"/>
  <c r="L10" i="7" s="1"/>
  <c r="L11" i="7" a="1"/>
  <c r="L11" i="7" s="1"/>
  <c r="K6" i="7" a="1"/>
  <c r="K6" i="7" s="1"/>
  <c r="K7" i="7" a="1"/>
  <c r="K7" i="7" s="1"/>
  <c r="K8" i="7" a="1"/>
  <c r="K8" i="7" s="1"/>
  <c r="K9" i="7" a="1"/>
  <c r="K9" i="7" s="1"/>
  <c r="K10" i="7" a="1"/>
  <c r="K10" i="7" s="1"/>
  <c r="K11" i="7" a="1"/>
  <c r="K11" i="7" s="1"/>
  <c r="S2" i="4"/>
  <c r="S3" i="4"/>
  <c r="S4" i="4"/>
  <c r="S5" i="4"/>
  <c r="S6" i="4"/>
  <c r="S7" i="4"/>
  <c r="S8" i="4"/>
  <c r="S9" i="4"/>
  <c r="S10" i="4"/>
  <c r="S11" i="4"/>
  <c r="S12" i="4"/>
  <c r="R2" i="4"/>
  <c r="R3" i="4"/>
  <c r="R4" i="4"/>
  <c r="R5" i="4"/>
  <c r="R6" i="4"/>
  <c r="R7" i="4"/>
  <c r="R8" i="4"/>
  <c r="R9" i="4"/>
  <c r="R10" i="4"/>
  <c r="T10" i="4" s="1"/>
  <c r="R11" i="4"/>
  <c r="R12" i="4"/>
  <c r="Q2" i="4"/>
  <c r="Q3" i="4"/>
  <c r="Q4" i="4"/>
  <c r="Q5" i="4"/>
  <c r="Q6" i="4"/>
  <c r="Q7" i="4"/>
  <c r="Q8" i="4"/>
  <c r="Q9" i="4"/>
  <c r="Q10" i="4"/>
  <c r="Q11" i="4"/>
  <c r="Q12" i="4"/>
  <c r="P3" i="4"/>
  <c r="P4" i="4"/>
  <c r="P5" i="4"/>
  <c r="P6" i="4"/>
  <c r="P8" i="4"/>
  <c r="P9" i="4"/>
  <c r="P10" i="4"/>
  <c r="P11" i="4"/>
  <c r="P12" i="4"/>
  <c r="J2" i="7"/>
  <c r="J3" i="7"/>
  <c r="J4" i="7"/>
  <c r="J5" i="7"/>
  <c r="J6" i="7"/>
  <c r="J7" i="7"/>
  <c r="J8" i="7"/>
  <c r="J9" i="7"/>
  <c r="J10" i="7"/>
  <c r="J11" i="7"/>
  <c r="I2" i="7"/>
  <c r="I3" i="7"/>
  <c r="I4" i="7"/>
  <c r="I5" i="7"/>
  <c r="I6" i="7"/>
  <c r="I7" i="7"/>
  <c r="I8" i="7"/>
  <c r="I9" i="7"/>
  <c r="I10" i="7"/>
  <c r="I11" i="7"/>
  <c r="E2" i="7"/>
  <c r="E3" i="7"/>
  <c r="E4" i="7"/>
  <c r="E5" i="7"/>
  <c r="E6" i="7"/>
  <c r="E7" i="7"/>
  <c r="E8" i="7"/>
  <c r="E9" i="7"/>
  <c r="E10" i="7"/>
  <c r="E11" i="7"/>
  <c r="C2" i="7"/>
  <c r="C3" i="7"/>
  <c r="C4" i="7"/>
  <c r="C5" i="7"/>
  <c r="C6" i="7"/>
  <c r="C7" i="7"/>
  <c r="C8" i="7"/>
  <c r="C9" i="7"/>
  <c r="C10" i="7"/>
  <c r="C11" i="7"/>
  <c r="G7" i="7"/>
  <c r="G8" i="7"/>
  <c r="G9" i="7"/>
  <c r="G10" i="7"/>
  <c r="G11" i="7"/>
  <c r="H2" i="7"/>
  <c r="H3" i="7"/>
  <c r="H4" i="7"/>
  <c r="H5" i="7"/>
  <c r="H6" i="7"/>
  <c r="H7" i="7"/>
  <c r="H8" i="7"/>
  <c r="H9" i="7"/>
  <c r="H10" i="7"/>
  <c r="H11" i="7"/>
  <c r="G15" i="7" l="1"/>
  <c r="I15" i="7"/>
  <c r="E15" i="7"/>
  <c r="L16" i="7"/>
  <c r="D21" i="7"/>
  <c r="D17" i="7"/>
  <c r="H21" i="7"/>
  <c r="H17" i="7"/>
  <c r="K21" i="7"/>
  <c r="C22" i="7"/>
  <c r="C18" i="7"/>
  <c r="C14" i="7"/>
  <c r="D20" i="7"/>
  <c r="D16" i="7"/>
  <c r="E22" i="7"/>
  <c r="E18" i="7"/>
  <c r="E14" i="7"/>
  <c r="F20" i="7"/>
  <c r="F16" i="7"/>
  <c r="G22" i="7"/>
  <c r="G18" i="7"/>
  <c r="G14" i="7"/>
  <c r="H20" i="7"/>
  <c r="H16" i="7"/>
  <c r="I22" i="7"/>
  <c r="I18" i="7"/>
  <c r="I14" i="7"/>
  <c r="J20" i="7"/>
  <c r="J16" i="7"/>
  <c r="L23" i="7"/>
  <c r="L19" i="7"/>
  <c r="L15" i="7"/>
  <c r="J21" i="7"/>
  <c r="J17" i="7"/>
  <c r="C21" i="7"/>
  <c r="C17" i="7"/>
  <c r="D23" i="7"/>
  <c r="D19" i="7"/>
  <c r="D15" i="7"/>
  <c r="E21" i="7"/>
  <c r="E17" i="7"/>
  <c r="F23" i="7"/>
  <c r="F19" i="7"/>
  <c r="F15" i="7"/>
  <c r="G21" i="7"/>
  <c r="G17" i="7"/>
  <c r="H23" i="7"/>
  <c r="H19" i="7"/>
  <c r="H15" i="7"/>
  <c r="I21" i="7"/>
  <c r="I17" i="7"/>
  <c r="L22" i="7"/>
  <c r="L18" i="7"/>
  <c r="L14" i="7"/>
  <c r="F21" i="7"/>
  <c r="F17" i="7"/>
  <c r="C20" i="7"/>
  <c r="C16" i="7"/>
  <c r="D22" i="7"/>
  <c r="D18" i="7"/>
  <c r="K18" i="7" s="1"/>
  <c r="D14" i="7"/>
  <c r="E20" i="7"/>
  <c r="E16" i="7"/>
  <c r="F22" i="7"/>
  <c r="F18" i="7"/>
  <c r="F14" i="7"/>
  <c r="G20" i="7"/>
  <c r="G16" i="7"/>
  <c r="H22" i="7"/>
  <c r="H18" i="7"/>
  <c r="H14" i="7"/>
  <c r="J22" i="7"/>
  <c r="J18" i="7"/>
  <c r="K20" i="7"/>
  <c r="K19" i="7"/>
  <c r="K23" i="7"/>
  <c r="T6" i="4"/>
  <c r="T2" i="4"/>
  <c r="T9" i="4"/>
  <c r="T5" i="4"/>
  <c r="T12" i="4"/>
  <c r="T8" i="4"/>
  <c r="T4" i="4"/>
  <c r="T11" i="4"/>
  <c r="T7" i="4"/>
  <c r="T3" i="4"/>
  <c r="K17" i="7" l="1"/>
  <c r="L2" i="7" a="1"/>
  <c r="L2" i="7" s="1"/>
  <c r="K15" i="7"/>
  <c r="K16" i="7"/>
  <c r="K14" i="7"/>
  <c r="F6" i="7" l="1"/>
  <c r="F7" i="7"/>
  <c r="F8" i="7"/>
  <c r="F9" i="7"/>
  <c r="F10" i="7"/>
  <c r="F11" i="7"/>
  <c r="F2" i="7"/>
  <c r="F3" i="7"/>
  <c r="F4" i="7"/>
  <c r="F5" i="7"/>
  <c r="D2" i="7"/>
  <c r="D3" i="7"/>
  <c r="D4" i="7"/>
  <c r="D5" i="7"/>
  <c r="D6" i="7"/>
  <c r="D7" i="7"/>
  <c r="D8" i="7"/>
  <c r="D9" i="7"/>
  <c r="D10" i="7"/>
  <c r="D11" i="7"/>
  <c r="M3" i="4" l="1"/>
  <c r="M4" i="4"/>
  <c r="M5" i="4"/>
  <c r="M6" i="4"/>
  <c r="M7" i="4"/>
  <c r="M8" i="4"/>
  <c r="M9" i="4"/>
  <c r="M10" i="4"/>
  <c r="M11" i="4"/>
  <c r="M12" i="4"/>
  <c r="M2" i="4"/>
  <c r="L3" i="4"/>
  <c r="N3" i="4" s="1"/>
  <c r="L4" i="4"/>
  <c r="N4" i="4" s="1"/>
  <c r="L5" i="4"/>
  <c r="N5" i="4" s="1"/>
  <c r="L6" i="4"/>
  <c r="N6" i="4" s="1"/>
  <c r="L7" i="4"/>
  <c r="N7" i="4" s="1"/>
  <c r="L8" i="4"/>
  <c r="N8" i="4" s="1"/>
  <c r="L9" i="4"/>
  <c r="N9" i="4" s="1"/>
  <c r="L10" i="4"/>
  <c r="L11" i="4"/>
  <c r="N11" i="4" s="1"/>
  <c r="L12" i="4"/>
  <c r="N12" i="4" s="1"/>
  <c r="L2" i="4"/>
  <c r="N2" i="4" s="1"/>
  <c r="N10" i="4" l="1"/>
  <c r="L5" i="7" s="1" a="1"/>
  <c r="L5" i="7" s="1"/>
  <c r="L4" i="7" l="1" a="1"/>
  <c r="L4" i="7" s="1"/>
  <c r="L3" i="7" a="1"/>
  <c r="L3" i="7" s="1"/>
  <c r="K2" i="7" a="1"/>
  <c r="K2" i="7" s="1"/>
  <c r="K5" i="7" a="1"/>
  <c r="K5" i="7" s="1"/>
  <c r="K3" i="7" a="1"/>
  <c r="K3" i="7" s="1"/>
  <c r="K4" i="7" a="1"/>
  <c r="K4" i="7" s="1"/>
</calcChain>
</file>

<file path=xl/connections.xml><?xml version="1.0" encoding="utf-8"?>
<connections xmlns="http://schemas.openxmlformats.org/spreadsheetml/2006/main">
  <connection id="1" keepAlive="1" name="Requête - Manquant" description="Connexion à la requête « Manquant » dans le classeur." type="5" refreshedVersion="6" background="1" saveData="1">
    <dbPr connection="Provider=Microsoft.Mashup.OleDb.1;Data Source=$Workbook$;Location=Manquant;Extended Properties=&quot;&quot;" command="SELECT * FROM [Manquant]"/>
  </connection>
  <connection id="2" keepAlive="1" name="Requête - Manquant (2)" description="Connexion à la requête « Manquant (2) » dans le classeur." type="5" refreshedVersion="6" background="1" saveData="1">
    <dbPr connection="Provider=Microsoft.Mashup.OleDb.1;Data Source=$Workbook$;Location=&quot;Manquant (2)&quot;;Extended Properties=&quot;&quot;" command="SELECT * FROM [Manquant (2)]"/>
  </connection>
  <connection id="3" keepAlive="1" name="Requête - NBR Composants" description="Connexion à la requête « NBR Composants » dans le classeur." type="5" refreshedVersion="6" background="1" saveData="1">
    <dbPr connection="Provider=Microsoft.Mashup.OleDb.1;Data Source=$Workbook$;Location=NBR Composants;Extended Properties=&quot;&quot;" command="SELECT * FROM [NBR Composants]"/>
  </connection>
  <connection id="4" keepAlive="1" name="Requête - Planning" description="Connexion à la requête « Planning » dans le classeur." type="5" refreshedVersion="6" background="1" saveData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<sst xmlns="http://schemas.openxmlformats.org/spreadsheetml/2006/main" count="236" uniqueCount="80">
  <si>
    <t>Date du besoin</t>
  </si>
  <si>
    <t>Ordre</t>
  </si>
  <si>
    <t>Composé</t>
  </si>
  <si>
    <t>CIE</t>
  </si>
  <si>
    <t>Article de l'élément de réappro</t>
  </si>
  <si>
    <t>Composant</t>
  </si>
  <si>
    <t>Désignation article</t>
  </si>
  <si>
    <t>Type de réapprovisionnement</t>
  </si>
  <si>
    <t>Date de réapprovisionnement</t>
  </si>
  <si>
    <t>Date de réappro estimée</t>
  </si>
  <si>
    <t>Commentaires</t>
  </si>
  <si>
    <t>CDE_HA_AR</t>
  </si>
  <si>
    <t/>
  </si>
  <si>
    <t>CDE_HA</t>
  </si>
  <si>
    <t>Attente AR</t>
  </si>
  <si>
    <t>DATE Réappro</t>
  </si>
  <si>
    <t>Date Estimée</t>
  </si>
  <si>
    <t>DATE</t>
  </si>
  <si>
    <t>Besoin Client</t>
  </si>
  <si>
    <t>Critique (-25j)</t>
  </si>
  <si>
    <t>N° affaire</t>
  </si>
  <si>
    <t>Statut DD
GITIS</t>
  </si>
  <si>
    <t>Projet</t>
  </si>
  <si>
    <t>N° RUN</t>
  </si>
  <si>
    <t>Référence</t>
  </si>
  <si>
    <t>Désignation</t>
  </si>
  <si>
    <t>Qté</t>
  </si>
  <si>
    <t>Profil de
Four</t>
  </si>
  <si>
    <t>RoHS
Plomb</t>
  </si>
  <si>
    <t>OF</t>
  </si>
  <si>
    <t>Statut ADV</t>
  </si>
  <si>
    <t xml:space="preserve">Préparateur </t>
  </si>
  <si>
    <t>Date besoin client</t>
  </si>
  <si>
    <t>N°</t>
  </si>
  <si>
    <t>Ref</t>
  </si>
  <si>
    <t>CIU
reçu</t>
  </si>
  <si>
    <t>Date Besoin Client</t>
  </si>
  <si>
    <t>Date Lancement Prod</t>
  </si>
  <si>
    <t>NBR ref / carte</t>
  </si>
  <si>
    <t>Manquant Composants</t>
  </si>
  <si>
    <t>Combien ?</t>
  </si>
  <si>
    <t>Date de livraison
dernier composant</t>
  </si>
  <si>
    <t>NBR Cartes demandées</t>
  </si>
  <si>
    <t>Commentaires1</t>
  </si>
  <si>
    <t>Commentaires2</t>
  </si>
  <si>
    <t>Commentaires3</t>
  </si>
  <si>
    <t>CommentaireFinal</t>
  </si>
  <si>
    <t>NBR Alternatives</t>
  </si>
  <si>
    <t>NBR CDE-HA</t>
  </si>
  <si>
    <t>NBR CDE_HA_AR</t>
  </si>
  <si>
    <t>NBR CDE_HA_AR_C</t>
  </si>
  <si>
    <t>NBR DA-LANCEE</t>
  </si>
  <si>
    <t>NBR DA</t>
  </si>
  <si>
    <t>NBR DEVIS</t>
  </si>
  <si>
    <t>TOTAL</t>
  </si>
  <si>
    <t>Dont CRITIQUE (-25j)</t>
  </si>
  <si>
    <t>Composé1</t>
  </si>
  <si>
    <t>Composé2</t>
  </si>
  <si>
    <t>Composé3</t>
  </si>
  <si>
    <t>Composé4</t>
  </si>
  <si>
    <t>Composé5</t>
  </si>
  <si>
    <t>Produit 1</t>
  </si>
  <si>
    <t>Produit 2</t>
  </si>
  <si>
    <t>Produit 3</t>
  </si>
  <si>
    <t>Produit 4</t>
  </si>
  <si>
    <t>Produit 5</t>
  </si>
  <si>
    <t>Composant 1</t>
  </si>
  <si>
    <t>Composant 2</t>
  </si>
  <si>
    <t>Composant 3</t>
  </si>
  <si>
    <t>Composant 4</t>
  </si>
  <si>
    <t>Composant 5</t>
  </si>
  <si>
    <t>Composant 6</t>
  </si>
  <si>
    <t>Composant 7</t>
  </si>
  <si>
    <t>Composant 8</t>
  </si>
  <si>
    <t>Composant 9</t>
  </si>
  <si>
    <t>Composant 10</t>
  </si>
  <si>
    <t>Composant 11</t>
  </si>
  <si>
    <t>Commande en attente</t>
  </si>
  <si>
    <t>NBR Composants</t>
  </si>
  <si>
    <t>NBR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</si>
</sst>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NumberForma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wrapText="1"/>
    </xf>
  </cellXfs>
  <cellStyles count="1">
    <cellStyle name="Normal" xfId="0" builtinId="0"/>
  </cellStyles>
  <dxfs count="89">
    <dxf>
      <numFmt numFmtId="19" formatCode="dd/mm/yyyy"/>
      <alignment horizontal="general" vertical="bottom" textRotation="0" wrapText="1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font>
        <strike val="0"/>
      </font>
      <fill>
        <patternFill>
          <bgColor theme="0" tint="-0.499984740745262"/>
        </patternFill>
      </fill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  <alignment horizontal="general" vertical="bottom" textRotation="0" wrapText="1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1" unboundColumnsRight="9">
    <queryTableFields count="20">
      <queryTableField id="1" name="Composé" tableColumnId="59"/>
      <queryTableField id="2" name="CIE" tableColumnId="60"/>
      <queryTableField id="3" name="Date du besoin" tableColumnId="61"/>
      <queryTableField id="4" name="Ordre" tableColumnId="62"/>
      <queryTableField id="5" name="Article de l'élément de réappro" tableColumnId="63"/>
      <queryTableField id="6" name="Composant" tableColumnId="64"/>
      <queryTableField id="7" name="Désignation article" tableColumnId="65"/>
      <queryTableField id="8" name="Type de réapprovisionnement" tableColumnId="66"/>
      <queryTableField id="9" name="Date de réapprovisionnement" tableColumnId="67"/>
      <queryTableField id="10" name="Date de réappro estimée" tableColumnId="68"/>
      <queryTableField id="11" name="Commentaires" tableColumnId="69"/>
      <queryTableField id="20" dataBound="0" tableColumnId="70"/>
      <queryTableField id="19" dataBound="0" tableColumnId="71"/>
      <queryTableField id="18" dataBound="0" tableColumnId="72"/>
      <queryTableField id="17" dataBound="0" tableColumnId="73"/>
      <queryTableField id="16" dataBound="0" tableColumnId="74"/>
      <queryTableField id="15" dataBound="0" tableColumnId="75"/>
      <queryTableField id="14" dataBound="0" tableColumnId="76"/>
      <queryTableField id="13" dataBound="0" tableColumnId="77"/>
      <queryTableField id="12" dataBound="0" tableColumnId="78"/>
    </queryTableFields>
  </queryTableRefresh>
</queryTable>
</file>

<file path=xl/queryTables/queryTable2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14">
    <queryTableFields count="13">
      <queryTableField id="1" name="N° affaire" tableColumnId="206"/>
      <queryTableField id="2" name="Statut DD_x000a_GITIS" tableColumnId="207"/>
      <queryTableField id="3" name="Projet" tableColumnId="208"/>
      <queryTableField id="4" name="N° RUN" tableColumnId="209"/>
      <queryTableField id="5" name="Référence" tableColumnId="210"/>
      <queryTableField id="6" name="Désignation" tableColumnId="211"/>
      <queryTableField id="7" name="Qté" tableColumnId="212"/>
      <queryTableField id="8" name="Profil de_x000a_Four" tableColumnId="213"/>
      <queryTableField id="9" name="RoHS_x000a_Plomb" tableColumnId="214"/>
      <queryTableField id="10" name="OF" tableColumnId="215"/>
      <queryTableField id="11" name="Statut ADV" tableColumnId="216"/>
      <queryTableField id="12" name="Préparateur " tableColumnId="217"/>
      <queryTableField id="13" name="Date besoin client" tableColumnId="218"/>
    </queryTableFields>
  </queryTableRefresh>
</queryTable>
</file>

<file path=xl/queryTables/queryTable3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Column3" tableColumnId="23"/>
      <queryTableField id="2" name="Column4" tableColumnId="24"/>
      <queryTableField id="3" name="Column6" tableColumnId="25"/>
    </queryTableFields>
  </queryTableRefresh>
</queryTable>
</file>

<file path=xl/queryTables/queryTable4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21" unboundColumnsRight="9">
    <queryTableFields count="20">
      <queryTableField id="1" name="Composé" tableColumnId="59"/>
      <queryTableField id="2" name="CIE" tableColumnId="60"/>
      <queryTableField id="3" name="Date du besoin" tableColumnId="61"/>
      <queryTableField id="4" name="Ordre" tableColumnId="62"/>
      <queryTableField id="5" name="Article de l'élément de réappro" tableColumnId="63"/>
      <queryTableField id="6" name="Composant" tableColumnId="64"/>
      <queryTableField id="7" name="Désignation article" tableColumnId="65"/>
      <queryTableField id="8" name="Type de réapprovisionnement" tableColumnId="66"/>
      <queryTableField id="9" name="Date de réapprovisionnement" tableColumnId="67"/>
      <queryTableField id="10" name="Date de réappro estimée" tableColumnId="68"/>
      <queryTableField id="11" name="Commentaires" tableColumnId="69"/>
      <queryTableField id="20" dataBound="0" tableColumnId="70"/>
      <queryTableField id="19" dataBound="0" tableColumnId="71"/>
      <queryTableField id="18" dataBound="0" tableColumnId="72"/>
      <queryTableField id="17" dataBound="0" tableColumnId="73"/>
      <queryTableField id="16" dataBound="0" tableColumnId="74"/>
      <queryTableField id="15" dataBound="0" tableColumnId="75"/>
      <queryTableField id="14" dataBound="0" tableColumnId="76"/>
      <queryTableField id="13" dataBound="0" tableColumnId="77"/>
      <queryTableField id="12" dataBound="0" tableColumnId="7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2" name="Manquant" displayName="Manquant" ref="A1:T12" tableType="queryTable" totalsRowShown="0">
  <autoFilter ref="A1:T12"/>
  <tableColumns count="20">
    <tableColumn id="59" uniqueName="59" name="Composé" queryTableFieldId="1" dataDxfId="88"/>
    <tableColumn id="60" uniqueName="60" name="CIE" queryTableFieldId="2" dataDxfId="23"/>
    <tableColumn id="61" uniqueName="61" name="Date du besoin" queryTableFieldId="3" dataDxfId="87"/>
    <tableColumn id="62" uniqueName="62" name="Ordre" queryTableFieldId="4" dataDxfId="86"/>
    <tableColumn id="63" uniqueName="63" name="Article de l'élément de réappro" queryTableFieldId="5" dataDxfId="85"/>
    <tableColumn id="64" uniqueName="64" name="Composant" queryTableFieldId="6" dataDxfId="84"/>
    <tableColumn id="65" uniqueName="65" name="Désignation article" queryTableFieldId="7" dataDxfId="22"/>
    <tableColumn id="66" uniqueName="66" name="Type de réapprovisionnement" queryTableFieldId="8" dataDxfId="83"/>
    <tableColumn id="67" uniqueName="67" name="Date de réapprovisionnement" queryTableFieldId="9" dataDxfId="82"/>
    <tableColumn id="68" uniqueName="68" name="Date de réappro estimée" queryTableFieldId="10" dataDxfId="81"/>
    <tableColumn id="69" uniqueName="69" name="Commentaires" queryTableFieldId="11" dataDxfId="80"/>
    <tableColumn id="70" uniqueName="70" name="DATE Réappro" queryTableFieldId="20" dataDxfId="79"/>
    <tableColumn id="71" uniqueName="71" name="Date Estimée" queryTableFieldId="19" dataDxfId="78"/>
    <tableColumn id="72" uniqueName="72" name="DATE" queryTableFieldId="18" dataDxfId="77"/>
    <tableColumn id="73" uniqueName="73" name="Besoin Client" queryTableFieldId="17" dataDxfId="21"/>
    <tableColumn id="74" uniqueName="74" name="Critique (-25j)" queryTableFieldId="16"/>
    <tableColumn id="75" uniqueName="75" name="Commentaires1" queryTableFieldId="15" dataDxfId="76"/>
    <tableColumn id="76" uniqueName="76" name="Commentaires2" queryTableFieldId="14" dataDxfId="75"/>
    <tableColumn id="77" uniqueName="77" name="Commentaires3" queryTableFieldId="13" dataDxfId="74"/>
    <tableColumn id="78" uniqueName="78" name="CommentaireFinal" queryTableFieldId="12" dataDxfId="7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Planning" displayName="Planning" ref="A1:M6" tableType="queryTable" totalsRowShown="0">
  <autoFilter ref="A1:M6"/>
  <tableColumns count="13">
    <tableColumn id="206" uniqueName="206" name="N° affaire" queryTableFieldId="1" dataDxfId="72"/>
    <tableColumn id="207" uniqueName="207" name="Statut DD_x000a_GITIS" queryTableFieldId="2" dataDxfId="71"/>
    <tableColumn id="208" uniqueName="208" name="Projet" queryTableFieldId="3" dataDxfId="70"/>
    <tableColumn id="209" uniqueName="209" name="N° RUN" queryTableFieldId="4" dataDxfId="69"/>
    <tableColumn id="210" uniqueName="210" name="Référence" queryTableFieldId="5" dataDxfId="68"/>
    <tableColumn id="211" uniqueName="211" name="Désignation" queryTableFieldId="6" dataDxfId="20"/>
    <tableColumn id="212" uniqueName="212" name="Qté" queryTableFieldId="7" dataDxfId="67"/>
    <tableColumn id="213" uniqueName="213" name="Profil de_x000a_Four" queryTableFieldId="8" dataDxfId="66"/>
    <tableColumn id="214" uniqueName="214" name="RoHS_x000a_Plomb" queryTableFieldId="9" dataDxfId="65"/>
    <tableColumn id="215" uniqueName="215" name="OF" queryTableFieldId="10" dataDxfId="64"/>
    <tableColumn id="216" uniqueName="216" name="Statut ADV" queryTableFieldId="11" dataDxfId="63"/>
    <tableColumn id="217" uniqueName="217" name="Préparateur " queryTableFieldId="12" dataDxfId="62"/>
    <tableColumn id="218" uniqueName="218" name="Date besoin client" queryTableFieldId="13" dataDxfId="6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5" name="NBR_Composants" displayName="NBR_Composants" ref="A1:C74" tableType="queryTable" totalsRowShown="0">
  <autoFilter ref="A1:C74"/>
  <tableColumns count="3">
    <tableColumn id="23" uniqueName="23" name="Composé" queryTableFieldId="1" dataDxfId="60"/>
    <tableColumn id="24" uniqueName="24" name="NBR Composants" queryTableFieldId="2" dataDxfId="59"/>
    <tableColumn id="25" uniqueName="25" name="NBR produits" queryTableFieldId="3" dataDxfId="58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Synthese" displayName="Synthese" ref="A1:L11" totalsRowShown="0" headerRowDxfId="57" dataDxfId="55" headerRowBorderDxfId="56" tableBorderDxfId="54" totalsRowBorderDxfId="53">
  <autoFilter ref="A1:L11"/>
  <tableColumns count="12">
    <tableColumn id="1" name="N°" dataDxfId="52"/>
    <tableColumn id="2" name="Ref" dataDxfId="51"/>
    <tableColumn id="3" name="Désignation" dataDxfId="50">
      <calculatedColumnFormula>IF((Synthese[[#This Row],[Ref]]=""),"",(VLOOKUP(Synthese[[#This Row],[Ref]],Planning!E:F,2,FALSE)))</calculatedColumnFormula>
    </tableColumn>
    <tableColumn id="4" name="CIU_x000a_reçu" dataDxfId="49">
      <calculatedColumnFormula>IF(COUNTIFS(Manquant[Composé],Synthese[[#This Row],[Ref]],Manquant[Désignation article],"*CIU*")=1,"NON","")</calculatedColumnFormula>
    </tableColumn>
    <tableColumn id="9" name="Date Besoin Client" dataDxfId="48">
      <calculatedColumnFormula>IF((Synthese[[#This Row],[Ref]]=""),"",_xlfn.IFNA(IF((VLOOKUP(Synthese[[#This Row],[Ref]],Planning!E:M,9,FALSE)=0),"NO DATE CLIENT",(VLOOKUP(Synthese[[#This Row],[Ref]],Planning!E:M,9,FALSE))),"NO DATE"))</calculatedColumnFormula>
    </tableColumn>
    <tableColumn id="10" name="Date Lancement Prod" dataDxfId="47">
      <calculatedColumnFormula>IF((Synthese[[#This Row],[Ref]]=""),"",IF( Synthese[[#This Row],[Date Besoin Client]]="NO DATE CLIENT","NO DATE CLIENT",Synthese[[#This Row],[Date Besoin Client]]-25))</calculatedColumnFormula>
    </tableColumn>
    <tableColumn id="12" name="NBR Cartes demandées" dataDxfId="46">
      <calculatedColumnFormula>IF((Synthese[[#This Row],[Ref]]=""),"",(VLOOKUP(Synthese[[#This Row],[Ref]],'NBR Composants'!A:C,3,FALSE)))</calculatedColumnFormula>
    </tableColumn>
    <tableColumn id="11" name="NBR ref / carte" dataDxfId="45">
      <calculatedColumnFormula>IF((Synthese[[#This Row],[Ref]]=""),"",(VLOOKUP(Synthese[[#This Row],[Ref]],'NBR Composants'!A:B,2,FALSE)))</calculatedColumnFormula>
    </tableColumn>
    <tableColumn id="5" name="Manquant Composants" dataDxfId="44">
      <calculatedColumnFormula>IF((Synthese[[#This Row],[Ref]]=""),"",(_xlfn.IFNA(IF(VLOOKUP(Synthese[[#This Row],[Ref]],Manquant!A:A,1,FALSE)=Synthese[[#This Row],[Ref]],TRUE,FALSE),FALSE)))</calculatedColumnFormula>
    </tableColumn>
    <tableColumn id="6" name="Combien ?" dataDxfId="43">
      <calculatedColumnFormula>IF((Synthese[[#This Row],[Ref]]=""),"",COUNTIFS(Manquant!A:A,Synthese[[#This Row],[Ref]]))</calculatedColumnFormula>
    </tableColumn>
    <tableColumn id="7" name="Date de livraison_x000a_dernier composant" dataDxfId="42">
      <calculatedColumnFormula array="1">IF((Synthese[[#This Row],[Ref]]=""),"",IF(MAX(IF(Manquant[Composé]=Synthese[[#This Row],[Ref]],Manquant[DATE]))=0,"",MAX(IF(Manquant[Composé]=Synthese[[#This Row],[Ref]],Manquant[DATE]))))</calculatedColumnFormula>
    </tableColumn>
    <tableColumn id="8" name="Commentaires" dataDxfId="41">
      <calculatedColumnFormula array="1">IF((Synthese[[#This Row],[Ref]]=""),"",IF(MAX(IF(Manquant[Composé]=Synthese[[#This Row],[Ref]],Manquant[DATE]))=0,"",MAX(IF(Manquant[Composé]=Synthese[[#This Row],[Ref]],Manquant[CommentaireFinal]))))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SyntheseCommande" displayName="SyntheseCommande" ref="A13:L23" totalsRowShown="0" headerRowDxfId="40" dataDxfId="38" headerRowBorderDxfId="39" tableBorderDxfId="37" totalsRowBorderDxfId="36">
  <autoFilter ref="A13:L23"/>
  <tableColumns count="12">
    <tableColumn id="1" name="N°" dataDxfId="35"/>
    <tableColumn id="2" name="Ref" dataDxfId="34">
      <calculatedColumnFormula>IF(ISBLANK(B2),"",B2)</calculatedColumnFormula>
    </tableColumn>
    <tableColumn id="3" name="Désignation" dataDxfId="33">
      <calculatedColumnFormula>IF((SyntheseCommande[[#This Row],[Ref]]=""),"",(VLOOKUP(SyntheseCommande[[#This Row],[Ref]],Planning!E:F,2,FALSE)))</calculatedColumnFormula>
    </tableColumn>
    <tableColumn id="4" name="NBR Alternatives" dataDxfId="32">
      <calculatedColumnFormula>IF((SyntheseCommande[[#This Row],[Ref]]=""),"",COUNTIFS(Manquant[Composé],SyntheseCommande[[#This Row],[Ref]],Manquant[Type de réapprovisionnement],"Alternatives"))</calculatedColumnFormula>
    </tableColumn>
    <tableColumn id="9" name="NBR CDE-HA" dataDxfId="31">
      <calculatedColumnFormula>IF((SyntheseCommande[[#This Row],[Ref]]=""),"",COUNTIFS(Manquant[Composé],SyntheseCommande[[#This Row],[Ref]],Manquant[Type de réapprovisionnement],"CDE_HA"))</calculatedColumnFormula>
    </tableColumn>
    <tableColumn id="10" name="NBR CDE_HA_AR" dataDxfId="30">
      <calculatedColumnFormula>IF((SyntheseCommande[[#This Row],[Ref]]=""),"",COUNTIFS(Manquant[Composé],SyntheseCommande[[#This Row],[Ref]],Manquant[Type de réapprovisionnement],"CDE_HA_AR"))</calculatedColumnFormula>
    </tableColumn>
    <tableColumn id="5" name="NBR CDE_HA_AR_C" dataDxfId="29">
      <calculatedColumnFormula>IF((SyntheseCommande[[#This Row],[Ref]]=""),"",COUNTIFS(Manquant[Composé],SyntheseCommande[[#This Row],[Ref]],Manquant[Type de réapprovisionnement],"CDE_HA_AR_C"))</calculatedColumnFormula>
    </tableColumn>
    <tableColumn id="6" name="NBR DA-LANCEE" dataDxfId="28">
      <calculatedColumnFormula>IF((SyntheseCommande[[#This Row],[Ref]]=""),"",COUNTIFS(Manquant[Composé],SyntheseCommande[[#This Row],[Ref]],Manquant[Type de réapprovisionnement],"DA_LANCEE"))</calculatedColumnFormula>
    </tableColumn>
    <tableColumn id="7" name="NBR DA" dataDxfId="27">
      <calculatedColumnFormula>IF((SyntheseCommande[[#This Row],[Ref]]=""),"",COUNTIFS(Manquant[Composé],SyntheseCommande[[#This Row],[Ref]],Manquant[Type de réapprovisionnement],"DA"))</calculatedColumnFormula>
    </tableColumn>
    <tableColumn id="8" name="NBR DEVIS" dataDxfId="26">
      <calculatedColumnFormula>IF((SyntheseCommande[[#This Row],[Ref]]=""),"",COUNTIFS(Manquant[Composé],SyntheseCommande[[#This Row],[Ref]],Manquant[Type de réapprovisionnement],"DEVIS"))</calculatedColumnFormula>
    </tableColumn>
    <tableColumn id="11" name="TOTAL" dataDxfId="25">
      <calculatedColumnFormula>IF((SyntheseCommande[[#This Row],[Ref]]=""),"",SUM(SyntheseCommande[[#This Row],[NBR Alternatives]:[NBR DEVIS]]))</calculatedColumnFormula>
    </tableColumn>
    <tableColumn id="12" name="Dont CRITIQUE (-25j)" dataDxfId="24">
      <calculatedColumnFormula>IF((SyntheseCommande[[#This Row],[Ref]]=""),"",COUNTIFS(Manquant[Composé],SyntheseCommande[[#This Row],[Ref]],Manquant[Critique (-25j)],TRUE))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" name="Manquant2" displayName="Manquant2" ref="A1:T12" tableType="queryTable" totalsRowShown="0">
  <autoFilter ref="A1:T12"/>
  <tableColumns count="20">
    <tableColumn id="59" uniqueName="59" name="Composé" queryTableFieldId="1" dataDxfId="18"/>
    <tableColumn id="60" uniqueName="60" name="CIE" queryTableFieldId="2" dataDxfId="17"/>
    <tableColumn id="61" uniqueName="61" name="Date du besoin" queryTableFieldId="3" dataDxfId="16"/>
    <tableColumn id="62" uniqueName="62" name="Ordre" queryTableFieldId="4" dataDxfId="15"/>
    <tableColumn id="63" uniqueName="63" name="Article de l'élément de réappro" queryTableFieldId="5" dataDxfId="14"/>
    <tableColumn id="64" uniqueName="64" name="Composant" queryTableFieldId="6" dataDxfId="13"/>
    <tableColumn id="65" uniqueName="65" name="Désignation article" queryTableFieldId="7" dataDxfId="12"/>
    <tableColumn id="66" uniqueName="66" name="Type de réapprovisionnement" queryTableFieldId="8" dataDxfId="11"/>
    <tableColumn id="67" uniqueName="67" name="Date de réapprovisionnement" queryTableFieldId="9" dataDxfId="10"/>
    <tableColumn id="68" uniqueName="68" name="Date de réappro estimée" queryTableFieldId="10" dataDxfId="9"/>
    <tableColumn id="69" uniqueName="69" name="Commentaires" queryTableFieldId="11" dataDxfId="8"/>
    <tableColumn id="70" uniqueName="70" name="DATE Réappro" queryTableFieldId="20" dataDxfId="7">
      <calculatedColumnFormula>IF(ISNUMBER(Manquant2[[#This Row],[Date de réapprovisionnement]]),Manquant2[[#This Row],[Date de réapprovisionnement]],"")</calculatedColumnFormula>
    </tableColumn>
    <tableColumn id="71" uniqueName="71" name="Date Estimée" queryTableFieldId="19" dataDxfId="6">
      <calculatedColumnFormula>IF(ISNUMBER(Manquant2[[#This Row],[Date de réappro estimée]]),Manquant2[[#This Row],[Date de réappro estimée]],"")</calculatedColumnFormula>
    </tableColumn>
    <tableColumn id="72" uniqueName="72" name="DATE" queryTableFieldId="18" dataDxfId="5">
      <calculatedColumnFormula>IF(Manquant2[[#This Row],[DATE Réappro]]="",(IF(Manquant2[[#This Row],[Date Estimée]]="","NO DATE",Manquant2[[#This Row],[Date Estimée]])),Manquant2[[#This Row],[DATE Réappro]])</calculatedColumnFormula>
    </tableColumn>
    <tableColumn id="73" uniqueName="73" name="Besoin Client" queryTableFieldId="17" dataDxfId="4"/>
    <tableColumn id="74" uniqueName="74" name="Critique (-25j)" queryTableFieldId="16">
      <calculatedColumnFormula>IF(Manquant2[[#This Row],[Besoin Client]]="","NO DATE CLIENT",(IF(Manquant2[[#This Row],[DATE]]="NO DATE",TRUE,(IF(Manquant2[[#This Row],[Besoin Client]]-Manquant2[[#This Row],[DATE]]&lt;25,TRUE,"")))))</calculatedColumnFormula>
    </tableColumn>
    <tableColumn id="75" uniqueName="75" name="Commentaires1" queryTableFieldId="15" dataDxfId="3">
      <calculatedColumnFormula>IF(ISTEXT(Manquant2[[#This Row],[Date de réapprovisionnement]]),Manquant2[[#This Row],[Date de réapprovisionnement]],"")</calculatedColumnFormula>
    </tableColumn>
    <tableColumn id="76" uniqueName="76" name="Commentaires2" queryTableFieldId="14" dataDxfId="2">
      <calculatedColumnFormula>IF(ISTEXT(Manquant2[[#This Row],[Date de réappro estimée]]),Manquant2[[#This Row],[Date de réappro estimée]],"")</calculatedColumnFormula>
    </tableColumn>
    <tableColumn id="77" uniqueName="77" name="Commentaires3" queryTableFieldId="13" dataDxfId="1">
      <calculatedColumnFormula>IF((Manquant2[Commentaires]=""),"",Manquant2[Commentaires])</calculatedColumnFormula>
    </tableColumn>
    <tableColumn id="78" uniqueName="78" name="CommentaireFinal" queryTableFieldId="12" dataDxfId="0">
      <calculatedColumnFormula>Manquant2[Commentaires1]&amp;CHAR(10)&amp;Manquant2[Commentaires2]&amp;CHAR(10)&amp;Manquant2[Commentaires3]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workbookViewId="0">
      <selection activeCell="C14" sqref="C14"/>
    </sheetView>
  </sheetViews>
  <sheetFormatPr baseColWidth="10" defaultRowHeight="15" x14ac:dyDescent="0.25"/>
  <cols>
    <col min="1" max="1" width="14" bestFit="1" customWidth="1"/>
    <col min="2" max="2" width="31.5703125" bestFit="1" customWidth="1"/>
    <col min="3" max="3" width="16.5703125" bestFit="1" customWidth="1"/>
    <col min="4" max="4" width="9" bestFit="1" customWidth="1"/>
    <col min="5" max="5" width="31.5703125" bestFit="1" customWidth="1"/>
    <col min="6" max="6" width="14" bestFit="1" customWidth="1"/>
    <col min="7" max="7" width="44.42578125" bestFit="1" customWidth="1"/>
    <col min="8" max="8" width="30.42578125" bestFit="1" customWidth="1"/>
    <col min="9" max="9" width="30.28515625" style="2" bestFit="1" customWidth="1"/>
    <col min="10" max="10" width="25.5703125" bestFit="1" customWidth="1"/>
    <col min="11" max="11" width="84.42578125" bestFit="1" customWidth="1"/>
    <col min="12" max="12" width="15.7109375" bestFit="1" customWidth="1"/>
    <col min="13" max="13" width="15" bestFit="1" customWidth="1"/>
    <col min="14" max="14" width="10.7109375" bestFit="1" customWidth="1"/>
    <col min="15" max="15" width="15" bestFit="1" customWidth="1"/>
    <col min="16" max="16" width="15.5703125" bestFit="1" customWidth="1"/>
    <col min="17" max="17" width="18.7109375" bestFit="1" customWidth="1"/>
    <col min="18" max="18" width="17.28515625" bestFit="1" customWidth="1"/>
    <col min="19" max="19" width="84.42578125" bestFit="1" customWidth="1"/>
    <col min="20" max="20" width="77.5703125" bestFit="1" customWidth="1"/>
  </cols>
  <sheetData>
    <row r="1" spans="1:20" x14ac:dyDescent="0.25">
      <c r="A1" s="1" t="s">
        <v>2</v>
      </c>
      <c r="B1" s="1" t="s">
        <v>3</v>
      </c>
      <c r="C1" s="1" t="s">
        <v>0</v>
      </c>
      <c r="D1" s="1" t="s">
        <v>1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1" t="s">
        <v>10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43</v>
      </c>
      <c r="R1" t="s">
        <v>44</v>
      </c>
      <c r="S1" t="s">
        <v>45</v>
      </c>
      <c r="T1" t="s">
        <v>46</v>
      </c>
    </row>
    <row r="2" spans="1:20" ht="45" x14ac:dyDescent="0.25">
      <c r="A2" s="1" t="s">
        <v>56</v>
      </c>
      <c r="B2" s="1" t="s">
        <v>61</v>
      </c>
      <c r="C2" s="2">
        <v>43571</v>
      </c>
      <c r="D2" s="1"/>
      <c r="E2" s="1"/>
      <c r="F2" s="1" t="s">
        <v>66</v>
      </c>
      <c r="G2" s="1" t="s">
        <v>66</v>
      </c>
      <c r="H2" s="1" t="s">
        <v>11</v>
      </c>
      <c r="I2" s="2">
        <v>43613</v>
      </c>
      <c r="J2" s="2"/>
      <c r="K2" s="1" t="s">
        <v>12</v>
      </c>
      <c r="L2" s="2">
        <f>IF(ISNUMBER(Manquant[[#This Row],[Date de réapprovisionnement]]),Manquant[[#This Row],[Date de réapprovisionnement]],"")</f>
        <v>43613</v>
      </c>
      <c r="M2" s="2" t="str">
        <f>IF(ISNUMBER(Manquant[[#This Row],[Date de réappro estimée]]),Manquant[[#This Row],[Date de réappro estimée]],"")</f>
        <v/>
      </c>
      <c r="N2" s="2">
        <f>IF(Manquant[[#This Row],[DATE Réappro]]="",(IF(Manquant[[#This Row],[Date Estimée]]="","NO DATE",Manquant[[#This Row],[Date Estimée]])),Manquant[[#This Row],[DATE Réappro]])</f>
        <v>43613</v>
      </c>
      <c r="O2" s="2">
        <v>43282</v>
      </c>
      <c r="P2" s="1" t="b">
        <f>IF(Manquant[[#This Row],[Besoin Client]]="","NO DATE CLIENT",(IF(Manquant[[#This Row],[DATE]]="NO DATE",TRUE,(IF(Manquant[[#This Row],[Besoin Client]]-Manquant[[#This Row],[DATE]]&lt;25,TRUE,"")))))</f>
        <v>1</v>
      </c>
      <c r="Q2" s="2" t="str">
        <f>IF(ISTEXT(Manquant[[#This Row],[Date de réapprovisionnement]]),Manquant[[#This Row],[Date de réapprovisionnement]],"")</f>
        <v/>
      </c>
      <c r="R2" s="2" t="str">
        <f>IF(ISTEXT(Manquant[[#This Row],[Date de réappro estimée]]),Manquant[[#This Row],[Date de réappro estimée]],"")</f>
        <v/>
      </c>
      <c r="S2" s="2" t="str">
        <f>IF((Manquant[Commentaires]=""),"",Manquant[Commentaires])</f>
        <v/>
      </c>
      <c r="T2" s="13" t="str">
        <f>Manquant[Commentaires1]&amp;CHAR(10)&amp;Manquant[Commentaires2]&amp;CHAR(10)&amp;Manquant[Commentaires3]</f>
        <v xml:space="preserve">
</v>
      </c>
    </row>
    <row r="3" spans="1:20" ht="45" x14ac:dyDescent="0.25">
      <c r="A3" s="1" t="s">
        <v>56</v>
      </c>
      <c r="B3" s="1" t="s">
        <v>61</v>
      </c>
      <c r="C3" s="2">
        <v>43571</v>
      </c>
      <c r="D3" s="1"/>
      <c r="E3" s="1"/>
      <c r="F3" s="1" t="s">
        <v>67</v>
      </c>
      <c r="G3" s="1" t="s">
        <v>67</v>
      </c>
      <c r="H3" s="1" t="s">
        <v>11</v>
      </c>
      <c r="I3" s="2">
        <v>43585</v>
      </c>
      <c r="J3" s="2"/>
      <c r="K3" s="1" t="s">
        <v>12</v>
      </c>
      <c r="L3" s="2">
        <f>IF(ISNUMBER(Manquant[[#This Row],[Date de réapprovisionnement]]),Manquant[[#This Row],[Date de réapprovisionnement]],"")</f>
        <v>43585</v>
      </c>
      <c r="M3" s="2" t="str">
        <f>IF(ISNUMBER(Manquant[[#This Row],[Date de réappro estimée]]),Manquant[[#This Row],[Date de réappro estimée]],"")</f>
        <v/>
      </c>
      <c r="N3" s="2">
        <f>IF(Manquant[[#This Row],[DATE Réappro]]="",(IF(Manquant[[#This Row],[Date Estimée]]="","NO DATE",Manquant[[#This Row],[Date Estimée]])),Manquant[[#This Row],[DATE Réappro]])</f>
        <v>43585</v>
      </c>
      <c r="O3" s="2">
        <v>43282</v>
      </c>
      <c r="P3" s="1" t="b">
        <f>IF(Manquant[[#This Row],[Besoin Client]]="","NO DATE CLIENT",(IF(Manquant[[#This Row],[DATE]]="NO DATE",TRUE,(IF(Manquant[[#This Row],[Besoin Client]]-Manquant[[#This Row],[DATE]]&lt;25,TRUE,"")))))</f>
        <v>1</v>
      </c>
      <c r="Q3" s="2" t="str">
        <f>IF(ISTEXT(Manquant[[#This Row],[Date de réapprovisionnement]]),Manquant[[#This Row],[Date de réapprovisionnement]],"")</f>
        <v/>
      </c>
      <c r="R3" s="2" t="str">
        <f>IF(ISTEXT(Manquant[[#This Row],[Date de réappro estimée]]),Manquant[[#This Row],[Date de réappro estimée]],"")</f>
        <v/>
      </c>
      <c r="S3" s="2" t="str">
        <f>IF((Manquant[Commentaires]=""),"",Manquant[Commentaires])</f>
        <v/>
      </c>
      <c r="T3" s="13" t="str">
        <f>Manquant[Commentaires1]&amp;CHAR(10)&amp;Manquant[Commentaires2]&amp;CHAR(10)&amp;Manquant[Commentaires3]</f>
        <v xml:space="preserve">
</v>
      </c>
    </row>
    <row r="4" spans="1:20" ht="45" x14ac:dyDescent="0.25">
      <c r="A4" s="1" t="s">
        <v>56</v>
      </c>
      <c r="B4" s="1" t="s">
        <v>61</v>
      </c>
      <c r="C4" s="2">
        <v>43571</v>
      </c>
      <c r="D4" s="1"/>
      <c r="E4" s="1"/>
      <c r="F4" s="1" t="s">
        <v>68</v>
      </c>
      <c r="G4" s="1" t="s">
        <v>68</v>
      </c>
      <c r="H4" s="1" t="s">
        <v>11</v>
      </c>
      <c r="I4" s="2">
        <v>43627</v>
      </c>
      <c r="J4" s="2"/>
      <c r="K4" s="1" t="s">
        <v>12</v>
      </c>
      <c r="L4" s="2">
        <f>IF(ISNUMBER(Manquant[[#This Row],[Date de réapprovisionnement]]),Manquant[[#This Row],[Date de réapprovisionnement]],"")</f>
        <v>43627</v>
      </c>
      <c r="M4" s="2" t="str">
        <f>IF(ISNUMBER(Manquant[[#This Row],[Date de réappro estimée]]),Manquant[[#This Row],[Date de réappro estimée]],"")</f>
        <v/>
      </c>
      <c r="N4" s="2">
        <f>IF(Manquant[[#This Row],[DATE Réappro]]="",(IF(Manquant[[#This Row],[Date Estimée]]="","NO DATE",Manquant[[#This Row],[Date Estimée]])),Manquant[[#This Row],[DATE Réappro]])</f>
        <v>43627</v>
      </c>
      <c r="O4" s="2">
        <v>43282</v>
      </c>
      <c r="P4" s="1" t="b">
        <f>IF(Manquant[[#This Row],[Besoin Client]]="","NO DATE CLIENT",(IF(Manquant[[#This Row],[DATE]]="NO DATE",TRUE,(IF(Manquant[[#This Row],[Besoin Client]]-Manquant[[#This Row],[DATE]]&lt;25,TRUE,"")))))</f>
        <v>1</v>
      </c>
      <c r="Q4" s="2" t="str">
        <f>IF(ISTEXT(Manquant[[#This Row],[Date de réapprovisionnement]]),Manquant[[#This Row],[Date de réapprovisionnement]],"")</f>
        <v/>
      </c>
      <c r="R4" s="2" t="str">
        <f>IF(ISTEXT(Manquant[[#This Row],[Date de réappro estimée]]),Manquant[[#This Row],[Date de réappro estimée]],"")</f>
        <v/>
      </c>
      <c r="S4" s="2" t="str">
        <f>IF((Manquant[Commentaires]=""),"",Manquant[Commentaires])</f>
        <v/>
      </c>
      <c r="T4" s="13" t="str">
        <f>Manquant[Commentaires1]&amp;CHAR(10)&amp;Manquant[Commentaires2]&amp;CHAR(10)&amp;Manquant[Commentaires3]</f>
        <v xml:space="preserve">
</v>
      </c>
    </row>
    <row r="5" spans="1:20" ht="45" x14ac:dyDescent="0.25">
      <c r="A5" s="1" t="s">
        <v>56</v>
      </c>
      <c r="B5" s="1" t="s">
        <v>61</v>
      </c>
      <c r="C5" s="2">
        <v>43595</v>
      </c>
      <c r="D5" s="1"/>
      <c r="E5" s="1"/>
      <c r="F5" s="1" t="s">
        <v>69</v>
      </c>
      <c r="G5" s="1" t="s">
        <v>69</v>
      </c>
      <c r="H5" s="1" t="s">
        <v>11</v>
      </c>
      <c r="I5" s="2">
        <v>43619</v>
      </c>
      <c r="J5" s="2"/>
      <c r="K5" s="1" t="s">
        <v>12</v>
      </c>
      <c r="L5" s="2">
        <f>IF(ISNUMBER(Manquant[[#This Row],[Date de réapprovisionnement]]),Manquant[[#This Row],[Date de réapprovisionnement]],"")</f>
        <v>43619</v>
      </c>
      <c r="M5" s="2" t="str">
        <f>IF(ISNUMBER(Manquant[[#This Row],[Date de réappro estimée]]),Manquant[[#This Row],[Date de réappro estimée]],"")</f>
        <v/>
      </c>
      <c r="N5" s="2">
        <f>IF(Manquant[[#This Row],[DATE Réappro]]="",(IF(Manquant[[#This Row],[Date Estimée]]="","NO DATE",Manquant[[#This Row],[Date Estimée]])),Manquant[[#This Row],[DATE Réappro]])</f>
        <v>43619</v>
      </c>
      <c r="O5" s="2">
        <v>43282</v>
      </c>
      <c r="P5" s="1" t="b">
        <f>IF(Manquant[[#This Row],[Besoin Client]]="","NO DATE CLIENT",(IF(Manquant[[#This Row],[DATE]]="NO DATE",TRUE,(IF(Manquant[[#This Row],[Besoin Client]]-Manquant[[#This Row],[DATE]]&lt;25,TRUE,"")))))</f>
        <v>1</v>
      </c>
      <c r="Q5" s="2" t="str">
        <f>IF(ISTEXT(Manquant[[#This Row],[Date de réapprovisionnement]]),Manquant[[#This Row],[Date de réapprovisionnement]],"")</f>
        <v/>
      </c>
      <c r="R5" s="2" t="str">
        <f>IF(ISTEXT(Manquant[[#This Row],[Date de réappro estimée]]),Manquant[[#This Row],[Date de réappro estimée]],"")</f>
        <v/>
      </c>
      <c r="S5" s="2" t="str">
        <f>IF((Manquant[Commentaires]=""),"",Manquant[Commentaires])</f>
        <v/>
      </c>
      <c r="T5" s="13" t="str">
        <f>Manquant[Commentaires1]&amp;CHAR(10)&amp;Manquant[Commentaires2]&amp;CHAR(10)&amp;Manquant[Commentaires3]</f>
        <v xml:space="preserve">
</v>
      </c>
    </row>
    <row r="6" spans="1:20" ht="45" x14ac:dyDescent="0.25">
      <c r="A6" s="1" t="s">
        <v>57</v>
      </c>
      <c r="B6" s="1" t="s">
        <v>62</v>
      </c>
      <c r="C6" s="2">
        <v>43595</v>
      </c>
      <c r="D6" s="1"/>
      <c r="E6" s="1"/>
      <c r="F6" s="1" t="s">
        <v>70</v>
      </c>
      <c r="G6" s="1" t="s">
        <v>70</v>
      </c>
      <c r="H6" s="1" t="s">
        <v>11</v>
      </c>
      <c r="I6" s="2">
        <v>43629</v>
      </c>
      <c r="J6" s="2"/>
      <c r="K6" s="1" t="s">
        <v>12</v>
      </c>
      <c r="L6" s="2">
        <f>IF(ISNUMBER(Manquant[[#This Row],[Date de réapprovisionnement]]),Manquant[[#This Row],[Date de réapprovisionnement]],"")</f>
        <v>43629</v>
      </c>
      <c r="M6" s="2" t="str">
        <f>IF(ISNUMBER(Manquant[[#This Row],[Date de réappro estimée]]),Manquant[[#This Row],[Date de réappro estimée]],"")</f>
        <v/>
      </c>
      <c r="N6" s="2">
        <f>IF(Manquant[[#This Row],[DATE Réappro]]="",(IF(Manquant[[#This Row],[Date Estimée]]="","NO DATE",Manquant[[#This Row],[Date Estimée]])),Manquant[[#This Row],[DATE Réappro]])</f>
        <v>43629</v>
      </c>
      <c r="O6" s="2">
        <v>43282</v>
      </c>
      <c r="P6" s="1" t="b">
        <f>IF(Manquant[[#This Row],[Besoin Client]]="","NO DATE CLIENT",(IF(Manquant[[#This Row],[DATE]]="NO DATE",TRUE,(IF(Manquant[[#This Row],[Besoin Client]]-Manquant[[#This Row],[DATE]]&lt;25,TRUE,"")))))</f>
        <v>1</v>
      </c>
      <c r="Q6" s="2" t="str">
        <f>IF(ISTEXT(Manquant[[#This Row],[Date de réapprovisionnement]]),Manquant[[#This Row],[Date de réapprovisionnement]],"")</f>
        <v/>
      </c>
      <c r="R6" s="2" t="str">
        <f>IF(ISTEXT(Manquant[[#This Row],[Date de réappro estimée]]),Manquant[[#This Row],[Date de réappro estimée]],"")</f>
        <v/>
      </c>
      <c r="S6" s="2" t="str">
        <f>IF((Manquant[Commentaires]=""),"",Manquant[Commentaires])</f>
        <v/>
      </c>
      <c r="T6" s="13" t="str">
        <f>Manquant[Commentaires1]&amp;CHAR(10)&amp;Manquant[Commentaires2]&amp;CHAR(10)&amp;Manquant[Commentaires3]</f>
        <v xml:space="preserve">
</v>
      </c>
    </row>
    <row r="7" spans="1:20" ht="45" x14ac:dyDescent="0.25">
      <c r="A7" s="1" t="s">
        <v>57</v>
      </c>
      <c r="B7" s="1" t="s">
        <v>62</v>
      </c>
      <c r="C7" s="2">
        <v>43595</v>
      </c>
      <c r="D7" s="1"/>
      <c r="E7" s="1"/>
      <c r="F7" s="1" t="s">
        <v>71</v>
      </c>
      <c r="G7" s="1" t="s">
        <v>71</v>
      </c>
      <c r="H7" s="1" t="s">
        <v>13</v>
      </c>
      <c r="I7" s="2" t="s">
        <v>14</v>
      </c>
      <c r="J7" s="2">
        <v>43588</v>
      </c>
      <c r="K7" s="1" t="s">
        <v>77</v>
      </c>
      <c r="L7" s="2" t="str">
        <f>IF(ISNUMBER(Manquant[[#This Row],[Date de réapprovisionnement]]),Manquant[[#This Row],[Date de réapprovisionnement]],"")</f>
        <v/>
      </c>
      <c r="M7" s="2">
        <f>IF(ISNUMBER(Manquant[[#This Row],[Date de réappro estimée]]),Manquant[[#This Row],[Date de réappro estimée]],"")</f>
        <v>43588</v>
      </c>
      <c r="N7" s="2">
        <f>IF(Manquant[[#This Row],[DATE Réappro]]="",(IF(Manquant[[#This Row],[Date Estimée]]="","NO DATE",Manquant[[#This Row],[Date Estimée]])),Manquant[[#This Row],[DATE Réappro]])</f>
        <v>43588</v>
      </c>
      <c r="O7" s="2">
        <v>43282</v>
      </c>
      <c r="P7" s="1" t="b">
        <f>IF(Manquant[[#This Row],[Besoin Client]]="","NO DATE CLIENT",(IF(Manquant[[#This Row],[DATE]]="NO DATE",TRUE,(IF(Manquant[[#This Row],[Besoin Client]]-Manquant[[#This Row],[DATE]]&lt;25,TRUE,"")))))</f>
        <v>1</v>
      </c>
      <c r="Q7" s="2" t="str">
        <f>IF(ISTEXT(Manquant[[#This Row],[Date de réapprovisionnement]]),Manquant[[#This Row],[Date de réapprovisionnement]],"")</f>
        <v>Attente AR</v>
      </c>
      <c r="R7" s="2" t="str">
        <f>IF(ISTEXT(Manquant[[#This Row],[Date de réappro estimée]]),Manquant[[#This Row],[Date de réappro estimée]],"")</f>
        <v/>
      </c>
      <c r="S7" s="2" t="str">
        <f>IF((Manquant[Commentaires]=""),"",Manquant[Commentaires])</f>
        <v>Commande en attente</v>
      </c>
      <c r="T7" s="13" t="str">
        <f>Manquant[Commentaires1]&amp;CHAR(10)&amp;Manquant[Commentaires2]&amp;CHAR(10)&amp;Manquant[Commentaires3]</f>
        <v>Attente AR
Commande en attente</v>
      </c>
    </row>
    <row r="8" spans="1:20" ht="45" x14ac:dyDescent="0.25">
      <c r="A8" s="1" t="s">
        <v>58</v>
      </c>
      <c r="B8" s="1" t="s">
        <v>63</v>
      </c>
      <c r="C8" s="2">
        <v>43600</v>
      </c>
      <c r="D8" s="1"/>
      <c r="E8" s="1"/>
      <c r="F8" s="1" t="s">
        <v>72</v>
      </c>
      <c r="G8" s="1" t="s">
        <v>72</v>
      </c>
      <c r="H8" s="1" t="s">
        <v>11</v>
      </c>
      <c r="I8" s="2">
        <v>43584</v>
      </c>
      <c r="J8" s="2"/>
      <c r="K8" s="1" t="s">
        <v>12</v>
      </c>
      <c r="L8" s="2">
        <f>IF(ISNUMBER(Manquant[[#This Row],[Date de réapprovisionnement]]),Manquant[[#This Row],[Date de réapprovisionnement]],"")</f>
        <v>43584</v>
      </c>
      <c r="M8" s="2" t="str">
        <f>IF(ISNUMBER(Manquant[[#This Row],[Date de réappro estimée]]),Manquant[[#This Row],[Date de réappro estimée]],"")</f>
        <v/>
      </c>
      <c r="N8" s="2">
        <f>IF(Manquant[[#This Row],[DATE Réappro]]="",(IF(Manquant[[#This Row],[Date Estimée]]="","NO DATE",Manquant[[#This Row],[Date Estimée]])),Manquant[[#This Row],[DATE Réappro]])</f>
        <v>43584</v>
      </c>
      <c r="O8" s="2">
        <v>43282</v>
      </c>
      <c r="P8" s="1" t="b">
        <f>IF(Manquant[[#This Row],[Besoin Client]]="","NO DATE CLIENT",(IF(Manquant[[#This Row],[DATE]]="NO DATE",TRUE,(IF(Manquant[[#This Row],[Besoin Client]]-Manquant[[#This Row],[DATE]]&lt;25,TRUE,"")))))</f>
        <v>1</v>
      </c>
      <c r="Q8" s="2" t="str">
        <f>IF(ISTEXT(Manquant[[#This Row],[Date de réapprovisionnement]]),Manquant[[#This Row],[Date de réapprovisionnement]],"")</f>
        <v/>
      </c>
      <c r="R8" s="2" t="str">
        <f>IF(ISTEXT(Manquant[[#This Row],[Date de réappro estimée]]),Manquant[[#This Row],[Date de réappro estimée]],"")</f>
        <v/>
      </c>
      <c r="S8" s="2" t="str">
        <f>IF((Manquant[Commentaires]=""),"",Manquant[Commentaires])</f>
        <v/>
      </c>
      <c r="T8" s="13" t="str">
        <f>Manquant[Commentaires1]&amp;CHAR(10)&amp;Manquant[Commentaires2]&amp;CHAR(10)&amp;Manquant[Commentaires3]</f>
        <v xml:space="preserve">
</v>
      </c>
    </row>
    <row r="9" spans="1:20" ht="45" x14ac:dyDescent="0.25">
      <c r="A9" s="1" t="s">
        <v>58</v>
      </c>
      <c r="B9" s="1" t="s">
        <v>63</v>
      </c>
      <c r="C9" s="2">
        <v>43595</v>
      </c>
      <c r="D9" s="1"/>
      <c r="E9" s="1"/>
      <c r="F9" s="1" t="s">
        <v>73</v>
      </c>
      <c r="G9" s="1" t="s">
        <v>73</v>
      </c>
      <c r="H9" s="1" t="s">
        <v>11</v>
      </c>
      <c r="I9" s="2">
        <v>43600</v>
      </c>
      <c r="J9" s="2"/>
      <c r="K9" s="1" t="s">
        <v>12</v>
      </c>
      <c r="L9" s="2">
        <f>IF(ISNUMBER(Manquant[[#This Row],[Date de réapprovisionnement]]),Manquant[[#This Row],[Date de réapprovisionnement]],"")</f>
        <v>43600</v>
      </c>
      <c r="M9" s="2" t="str">
        <f>IF(ISNUMBER(Manquant[[#This Row],[Date de réappro estimée]]),Manquant[[#This Row],[Date de réappro estimée]],"")</f>
        <v/>
      </c>
      <c r="N9" s="2">
        <f>IF(Manquant[[#This Row],[DATE Réappro]]="",(IF(Manquant[[#This Row],[Date Estimée]]="","NO DATE",Manquant[[#This Row],[Date Estimée]])),Manquant[[#This Row],[DATE Réappro]])</f>
        <v>43600</v>
      </c>
      <c r="O9" s="2">
        <v>43282</v>
      </c>
      <c r="P9" s="1" t="b">
        <f>IF(Manquant[[#This Row],[Besoin Client]]="","NO DATE CLIENT",(IF(Manquant[[#This Row],[DATE]]="NO DATE",TRUE,(IF(Manquant[[#This Row],[Besoin Client]]-Manquant[[#This Row],[DATE]]&lt;25,TRUE,"")))))</f>
        <v>1</v>
      </c>
      <c r="Q9" s="2" t="str">
        <f>IF(ISTEXT(Manquant[[#This Row],[Date de réapprovisionnement]]),Manquant[[#This Row],[Date de réapprovisionnement]],"")</f>
        <v/>
      </c>
      <c r="R9" s="2" t="str">
        <f>IF(ISTEXT(Manquant[[#This Row],[Date de réappro estimée]]),Manquant[[#This Row],[Date de réappro estimée]],"")</f>
        <v/>
      </c>
      <c r="S9" s="2" t="str">
        <f>IF((Manquant[Commentaires]=""),"",Manquant[Commentaires])</f>
        <v/>
      </c>
      <c r="T9" s="13" t="str">
        <f>Manquant[Commentaires1]&amp;CHAR(10)&amp;Manquant[Commentaires2]&amp;CHAR(10)&amp;Manquant[Commentaires3]</f>
        <v xml:space="preserve">
</v>
      </c>
    </row>
    <row r="10" spans="1:20" ht="45" x14ac:dyDescent="0.25">
      <c r="A10" s="1" t="s">
        <v>59</v>
      </c>
      <c r="B10" s="1" t="s">
        <v>64</v>
      </c>
      <c r="C10" s="2">
        <v>43600</v>
      </c>
      <c r="D10" s="1"/>
      <c r="E10" s="1"/>
      <c r="F10" s="1" t="s">
        <v>74</v>
      </c>
      <c r="G10" s="1" t="s">
        <v>74</v>
      </c>
      <c r="H10" s="1" t="s">
        <v>13</v>
      </c>
      <c r="I10" s="2" t="s">
        <v>14</v>
      </c>
      <c r="J10" s="2">
        <v>43610</v>
      </c>
      <c r="K10" s="1" t="s">
        <v>77</v>
      </c>
      <c r="L10" s="2" t="str">
        <f>IF(ISNUMBER(Manquant[[#This Row],[Date de réapprovisionnement]]),Manquant[[#This Row],[Date de réapprovisionnement]],"")</f>
        <v/>
      </c>
      <c r="M10" s="2">
        <f>IF(ISNUMBER(Manquant[[#This Row],[Date de réappro estimée]]),Manquant[[#This Row],[Date de réappro estimée]],"")</f>
        <v>43610</v>
      </c>
      <c r="N10" s="2">
        <f>IF(Manquant[[#This Row],[DATE Réappro]]="",(IF(Manquant[[#This Row],[Date Estimée]]="","NO DATE",Manquant[[#This Row],[Date Estimée]])),Manquant[[#This Row],[DATE Réappro]])</f>
        <v>43610</v>
      </c>
      <c r="O10" s="2">
        <v>43282</v>
      </c>
      <c r="P10" s="1" t="b">
        <f>IF(Manquant[[#This Row],[Besoin Client]]="","NO DATE CLIENT",(IF(Manquant[[#This Row],[DATE]]="NO DATE",TRUE,(IF(Manquant[[#This Row],[Besoin Client]]-Manquant[[#This Row],[DATE]]&lt;25,TRUE,"")))))</f>
        <v>1</v>
      </c>
      <c r="Q10" s="2" t="str">
        <f>IF(ISTEXT(Manquant[[#This Row],[Date de réapprovisionnement]]),Manquant[[#This Row],[Date de réapprovisionnement]],"")</f>
        <v>Attente AR</v>
      </c>
      <c r="R10" s="2" t="str">
        <f>IF(ISTEXT(Manquant[[#This Row],[Date de réappro estimée]]),Manquant[[#This Row],[Date de réappro estimée]],"")</f>
        <v/>
      </c>
      <c r="S10" s="2" t="str">
        <f>IF((Manquant[Commentaires]=""),"",Manquant[Commentaires])</f>
        <v>Commande en attente</v>
      </c>
      <c r="T10" s="13" t="str">
        <f>Manquant[Commentaires1]&amp;CHAR(10)&amp;Manquant[Commentaires2]&amp;CHAR(10)&amp;Manquant[Commentaires3]</f>
        <v>Attente AR
Commande en attente</v>
      </c>
    </row>
    <row r="11" spans="1:20" ht="45" x14ac:dyDescent="0.25">
      <c r="A11" s="1" t="s">
        <v>59</v>
      </c>
      <c r="B11" s="1" t="s">
        <v>64</v>
      </c>
      <c r="C11" s="2">
        <v>43595</v>
      </c>
      <c r="D11" s="1"/>
      <c r="E11" s="1"/>
      <c r="F11" s="1" t="s">
        <v>75</v>
      </c>
      <c r="G11" s="1" t="s">
        <v>75</v>
      </c>
      <c r="H11" s="1" t="s">
        <v>11</v>
      </c>
      <c r="I11" s="2">
        <v>43584</v>
      </c>
      <c r="J11" s="2"/>
      <c r="K11" s="1" t="s">
        <v>12</v>
      </c>
      <c r="L11" s="2">
        <f>IF(ISNUMBER(Manquant[[#This Row],[Date de réapprovisionnement]]),Manquant[[#This Row],[Date de réapprovisionnement]],"")</f>
        <v>43584</v>
      </c>
      <c r="M11" s="2" t="str">
        <f>IF(ISNUMBER(Manquant[[#This Row],[Date de réappro estimée]]),Manquant[[#This Row],[Date de réappro estimée]],"")</f>
        <v/>
      </c>
      <c r="N11" s="2">
        <f>IF(Manquant[[#This Row],[DATE Réappro]]="",(IF(Manquant[[#This Row],[Date Estimée]]="","NO DATE",Manquant[[#This Row],[Date Estimée]])),Manquant[[#This Row],[DATE Réappro]])</f>
        <v>43584</v>
      </c>
      <c r="O11" s="2">
        <v>43282</v>
      </c>
      <c r="P11" s="1" t="b">
        <f>IF(Manquant[[#This Row],[Besoin Client]]="","NO DATE CLIENT",(IF(Manquant[[#This Row],[DATE]]="NO DATE",TRUE,(IF(Manquant[[#This Row],[Besoin Client]]-Manquant[[#This Row],[DATE]]&lt;25,TRUE,"")))))</f>
        <v>1</v>
      </c>
      <c r="Q11" s="2" t="str">
        <f>IF(ISTEXT(Manquant[[#This Row],[Date de réapprovisionnement]]),Manquant[[#This Row],[Date de réapprovisionnement]],"")</f>
        <v/>
      </c>
      <c r="R11" s="2" t="str">
        <f>IF(ISTEXT(Manquant[[#This Row],[Date de réappro estimée]]),Manquant[[#This Row],[Date de réappro estimée]],"")</f>
        <v/>
      </c>
      <c r="S11" s="2" t="str">
        <f>IF((Manquant[Commentaires]=""),"",Manquant[Commentaires])</f>
        <v/>
      </c>
      <c r="T11" s="13" t="str">
        <f>Manquant[Commentaires1]&amp;CHAR(10)&amp;Manquant[Commentaires2]&amp;CHAR(10)&amp;Manquant[Commentaires3]</f>
        <v xml:space="preserve">
</v>
      </c>
    </row>
    <row r="12" spans="1:20" ht="45" x14ac:dyDescent="0.25">
      <c r="A12" s="1" t="s">
        <v>60</v>
      </c>
      <c r="B12" s="1" t="s">
        <v>65</v>
      </c>
      <c r="C12" s="2">
        <v>43600</v>
      </c>
      <c r="D12" s="1"/>
      <c r="E12" s="1"/>
      <c r="F12" s="1" t="s">
        <v>76</v>
      </c>
      <c r="G12" s="1" t="s">
        <v>76</v>
      </c>
      <c r="H12" s="1" t="s">
        <v>11</v>
      </c>
      <c r="I12" s="2">
        <v>43598</v>
      </c>
      <c r="J12" s="2"/>
      <c r="K12" s="1" t="s">
        <v>12</v>
      </c>
      <c r="L12" s="2">
        <f>IF(ISNUMBER(Manquant[[#This Row],[Date de réapprovisionnement]]),Manquant[[#This Row],[Date de réapprovisionnement]],"")</f>
        <v>43598</v>
      </c>
      <c r="M12" s="2" t="str">
        <f>IF(ISNUMBER(Manquant[[#This Row],[Date de réappro estimée]]),Manquant[[#This Row],[Date de réappro estimée]],"")</f>
        <v/>
      </c>
      <c r="N12" s="2">
        <f>IF(Manquant[[#This Row],[DATE Réappro]]="",(IF(Manquant[[#This Row],[Date Estimée]]="","NO DATE",Manquant[[#This Row],[Date Estimée]])),Manquant[[#This Row],[DATE Réappro]])</f>
        <v>43598</v>
      </c>
      <c r="O12" s="2">
        <v>43282</v>
      </c>
      <c r="P12" s="1" t="b">
        <f>IF(Manquant[[#This Row],[Besoin Client]]="","NO DATE CLIENT",(IF(Manquant[[#This Row],[DATE]]="NO DATE",TRUE,(IF(Manquant[[#This Row],[Besoin Client]]-Manquant[[#This Row],[DATE]]&lt;25,TRUE,"")))))</f>
        <v>1</v>
      </c>
      <c r="Q12" s="2" t="str">
        <f>IF(ISTEXT(Manquant[[#This Row],[Date de réapprovisionnement]]),Manquant[[#This Row],[Date de réapprovisionnement]],"")</f>
        <v/>
      </c>
      <c r="R12" s="2" t="str">
        <f>IF(ISTEXT(Manquant[[#This Row],[Date de réappro estimée]]),Manquant[[#This Row],[Date de réappro estimée]],"")</f>
        <v/>
      </c>
      <c r="S12" s="2" t="str">
        <f>IF((Manquant[Commentaires]=""),"",Manquant[Commentaires])</f>
        <v/>
      </c>
      <c r="T12" s="13" t="str">
        <f>Manquant[Commentaires1]&amp;CHAR(10)&amp;Manquant[Commentaires2]&amp;CHAR(10)&amp;Manquant[Commentaires3]</f>
        <v xml:space="preserve">
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"/>
  <sheetViews>
    <sheetView topLeftCell="C1" workbookViewId="0">
      <selection activeCell="E2" sqref="E2:E6"/>
    </sheetView>
  </sheetViews>
  <sheetFormatPr baseColWidth="10" defaultRowHeight="15" x14ac:dyDescent="0.25"/>
  <cols>
    <col min="1" max="1" width="11.7109375" bestFit="1" customWidth="1"/>
    <col min="2" max="2" width="17.28515625" bestFit="1" customWidth="1"/>
    <col min="3" max="3" width="24.7109375" bestFit="1" customWidth="1"/>
    <col min="4" max="4" width="9.85546875" bestFit="1" customWidth="1"/>
    <col min="5" max="5" width="16.85546875" bestFit="1" customWidth="1"/>
    <col min="6" max="6" width="55.42578125" bestFit="1" customWidth="1"/>
    <col min="7" max="7" width="6.5703125" bestFit="1" customWidth="1"/>
    <col min="8" max="8" width="10.85546875" bestFit="1" customWidth="1"/>
    <col min="9" max="9" width="14.7109375" bestFit="1" customWidth="1"/>
    <col min="10" max="10" width="9" bestFit="1" customWidth="1"/>
    <col min="11" max="11" width="12.85546875" bestFit="1" customWidth="1"/>
    <col min="12" max="12" width="14.28515625" bestFit="1" customWidth="1"/>
    <col min="13" max="13" width="19.42578125" bestFit="1" customWidth="1"/>
    <col min="14" max="22" width="11.7109375" bestFit="1" customWidth="1"/>
    <col min="23" max="32" width="12.7109375" bestFit="1" customWidth="1"/>
  </cols>
  <sheetData>
    <row r="1" spans="1:32" ht="30" x14ac:dyDescent="0.25">
      <c r="A1" s="1" t="s">
        <v>20</v>
      </c>
      <c r="B1" s="1" t="s">
        <v>21</v>
      </c>
      <c r="C1" s="3" t="s">
        <v>22</v>
      </c>
      <c r="D1" s="1" t="s">
        <v>23</v>
      </c>
      <c r="E1" s="1" t="s">
        <v>24</v>
      </c>
      <c r="F1" s="1" t="s">
        <v>25</v>
      </c>
      <c r="G1" s="1" t="s">
        <v>26</v>
      </c>
      <c r="H1" s="3" t="s">
        <v>27</v>
      </c>
      <c r="I1" s="1" t="s">
        <v>28</v>
      </c>
      <c r="J1" s="1" t="s">
        <v>29</v>
      </c>
      <c r="K1" s="1" t="s">
        <v>30</v>
      </c>
      <c r="L1" s="1" t="s">
        <v>31</v>
      </c>
      <c r="M1" s="1" t="s">
        <v>32</v>
      </c>
      <c r="N1" s="3"/>
      <c r="O1" s="3"/>
      <c r="P1" s="1"/>
      <c r="Q1" s="3"/>
      <c r="R1" s="1"/>
      <c r="S1" s="1"/>
      <c r="T1" s="1"/>
      <c r="U1" s="1"/>
      <c r="V1" s="1"/>
      <c r="W1" s="1"/>
      <c r="X1" s="1"/>
      <c r="Y1" s="1"/>
      <c r="Z1" s="3"/>
      <c r="AA1" s="3"/>
      <c r="AB1" s="1"/>
      <c r="AC1" s="3"/>
      <c r="AD1" s="3"/>
      <c r="AE1" s="3"/>
      <c r="AF1" s="1"/>
    </row>
    <row r="2" spans="1:32" x14ac:dyDescent="0.25">
      <c r="A2" s="1"/>
      <c r="B2" s="1"/>
      <c r="C2" s="1"/>
      <c r="D2" s="1"/>
      <c r="E2" s="1" t="s">
        <v>56</v>
      </c>
      <c r="F2" s="1" t="s">
        <v>56</v>
      </c>
      <c r="G2" s="1">
        <v>1</v>
      </c>
      <c r="H2" s="1"/>
      <c r="I2" s="1"/>
      <c r="J2" s="1"/>
      <c r="K2" s="1"/>
      <c r="L2" s="1"/>
      <c r="M2" s="2">
        <v>43282</v>
      </c>
      <c r="N2" s="1"/>
      <c r="O2" s="1"/>
      <c r="P2" s="1"/>
      <c r="Q2" s="1"/>
      <c r="R2" s="3"/>
      <c r="S2" s="1"/>
      <c r="T2" s="1"/>
      <c r="U2" s="1"/>
      <c r="V2" s="1"/>
      <c r="W2" s="1"/>
      <c r="X2" s="1"/>
      <c r="Y2" s="2"/>
      <c r="Z2" s="2"/>
      <c r="AA2" s="2"/>
      <c r="AB2" s="2"/>
      <c r="AC2" s="2"/>
      <c r="AD2" s="1"/>
      <c r="AE2" s="1"/>
      <c r="AF2" s="1"/>
    </row>
    <row r="3" spans="1:32" x14ac:dyDescent="0.25">
      <c r="A3" s="1"/>
      <c r="B3" s="1"/>
      <c r="C3" s="1"/>
      <c r="D3" s="1"/>
      <c r="E3" s="1" t="s">
        <v>57</v>
      </c>
      <c r="F3" s="1" t="s">
        <v>57</v>
      </c>
      <c r="G3" s="1">
        <v>9</v>
      </c>
      <c r="H3" s="1"/>
      <c r="I3" s="1"/>
      <c r="J3" s="1"/>
      <c r="K3" s="1"/>
      <c r="L3" s="1"/>
      <c r="M3" s="2">
        <v>43282</v>
      </c>
      <c r="N3" s="1"/>
      <c r="O3" s="1"/>
      <c r="P3" s="1"/>
      <c r="Q3" s="1"/>
      <c r="R3" s="3"/>
      <c r="S3" s="3"/>
      <c r="T3" s="1"/>
      <c r="U3" s="1"/>
      <c r="V3" s="1"/>
      <c r="W3" s="1"/>
      <c r="X3" s="1"/>
      <c r="Y3" s="2"/>
      <c r="Z3" s="2"/>
      <c r="AA3" s="2"/>
      <c r="AB3" s="2"/>
      <c r="AC3" s="2"/>
      <c r="AD3" s="1"/>
      <c r="AE3" s="1"/>
      <c r="AF3" s="1"/>
    </row>
    <row r="4" spans="1:32" x14ac:dyDescent="0.25">
      <c r="A4" s="1"/>
      <c r="B4" s="1"/>
      <c r="C4" s="1"/>
      <c r="D4" s="1"/>
      <c r="E4" s="1" t="s">
        <v>58</v>
      </c>
      <c r="F4" s="1" t="s">
        <v>58</v>
      </c>
      <c r="G4" s="1">
        <v>7</v>
      </c>
      <c r="H4" s="1"/>
      <c r="I4" s="1"/>
      <c r="J4" s="1"/>
      <c r="K4" s="1"/>
      <c r="L4" s="1"/>
      <c r="M4" s="2">
        <v>43282</v>
      </c>
      <c r="N4" s="1"/>
      <c r="O4" s="1"/>
      <c r="P4" s="1"/>
      <c r="Q4" s="1"/>
      <c r="R4" s="3"/>
      <c r="S4" s="3"/>
      <c r="T4" s="1"/>
      <c r="U4" s="1"/>
      <c r="V4" s="1"/>
      <c r="W4" s="1"/>
      <c r="X4" s="1"/>
      <c r="Y4" s="2"/>
      <c r="Z4" s="2"/>
      <c r="AA4" s="2"/>
      <c r="AB4" s="2"/>
      <c r="AC4" s="2"/>
      <c r="AD4" s="1"/>
      <c r="AE4" s="1"/>
      <c r="AF4" s="1"/>
    </row>
    <row r="5" spans="1:32" x14ac:dyDescent="0.25">
      <c r="A5" s="1"/>
      <c r="B5" s="1"/>
      <c r="C5" s="1"/>
      <c r="D5" s="1"/>
      <c r="E5" s="1" t="s">
        <v>59</v>
      </c>
      <c r="F5" s="1" t="s">
        <v>59</v>
      </c>
      <c r="G5" s="1">
        <v>3</v>
      </c>
      <c r="H5" s="1"/>
      <c r="I5" s="1"/>
      <c r="J5" s="1"/>
      <c r="K5" s="1"/>
      <c r="L5" s="1"/>
      <c r="M5" s="2">
        <v>43282</v>
      </c>
      <c r="N5" s="1"/>
      <c r="O5" s="1"/>
      <c r="P5" s="1"/>
      <c r="Q5" s="1"/>
      <c r="R5" s="3"/>
      <c r="S5" s="1"/>
      <c r="T5" s="1"/>
      <c r="U5" s="1"/>
      <c r="V5" s="1"/>
      <c r="W5" s="1"/>
      <c r="X5" s="1"/>
      <c r="Y5" s="2"/>
      <c r="Z5" s="2"/>
      <c r="AA5" s="2"/>
      <c r="AB5" s="2"/>
      <c r="AC5" s="2"/>
      <c r="AD5" s="1"/>
      <c r="AE5" s="1"/>
      <c r="AF5" s="1"/>
    </row>
    <row r="6" spans="1:32" x14ac:dyDescent="0.25">
      <c r="A6" s="1"/>
      <c r="B6" s="1"/>
      <c r="C6" s="1"/>
      <c r="D6" s="1"/>
      <c r="E6" s="1" t="s">
        <v>60</v>
      </c>
      <c r="F6" s="1" t="s">
        <v>60</v>
      </c>
      <c r="G6" s="1">
        <v>2</v>
      </c>
      <c r="H6" s="1"/>
      <c r="I6" s="1"/>
      <c r="J6" s="1"/>
      <c r="K6" s="1"/>
      <c r="L6" s="1"/>
      <c r="M6" s="2">
        <v>43282</v>
      </c>
      <c r="N6" s="1"/>
      <c r="O6" s="1"/>
      <c r="P6" s="1"/>
      <c r="Q6" s="1"/>
      <c r="R6" s="3"/>
      <c r="S6" s="1"/>
      <c r="T6" s="1"/>
      <c r="U6" s="1"/>
      <c r="V6" s="1"/>
      <c r="W6" s="1"/>
      <c r="X6" s="1"/>
      <c r="Y6" s="2"/>
      <c r="Z6" s="2"/>
      <c r="AA6" s="2"/>
      <c r="AB6" s="2"/>
      <c r="AC6" s="2"/>
      <c r="AD6" s="1"/>
      <c r="AE6" s="1"/>
      <c r="AF6" s="1"/>
    </row>
  </sheetData>
  <conditionalFormatting sqref="W1:W1048576">
    <cfRule type="containsText" dxfId="19" priority="1" operator="containsText" text="Soldé">
      <formula>NOT(ISERROR(SEARCH("Soldé",W1)))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workbookViewId="0">
      <selection activeCell="C7" sqref="C7"/>
    </sheetView>
  </sheetViews>
  <sheetFormatPr baseColWidth="10" defaultRowHeight="15" x14ac:dyDescent="0.25"/>
  <cols>
    <col min="1" max="1" width="14" bestFit="1" customWidth="1"/>
    <col min="2" max="2" width="32.42578125" customWidth="1"/>
    <col min="3" max="3" width="18.85546875" customWidth="1"/>
    <col min="4" max="4" width="11.140625" customWidth="1"/>
  </cols>
  <sheetData>
    <row r="1" spans="1:4" x14ac:dyDescent="0.25">
      <c r="A1" s="1" t="s">
        <v>2</v>
      </c>
      <c r="B1" s="1" t="s">
        <v>78</v>
      </c>
      <c r="C1" s="1" t="s">
        <v>79</v>
      </c>
      <c r="D1" s="1"/>
    </row>
    <row r="2" spans="1:4" x14ac:dyDescent="0.25">
      <c r="A2" s="1" t="s">
        <v>56</v>
      </c>
      <c r="B2" s="1">
        <v>66</v>
      </c>
      <c r="C2" s="1">
        <v>10</v>
      </c>
      <c r="D2" s="1"/>
    </row>
    <row r="3" spans="1:4" x14ac:dyDescent="0.25">
      <c r="A3" s="1" t="s">
        <v>57</v>
      </c>
      <c r="B3" s="1">
        <v>58</v>
      </c>
      <c r="C3" s="1">
        <v>4</v>
      </c>
      <c r="D3" s="1"/>
    </row>
    <row r="4" spans="1:4" x14ac:dyDescent="0.25">
      <c r="A4" s="1" t="s">
        <v>58</v>
      </c>
      <c r="B4" s="1">
        <v>142</v>
      </c>
      <c r="C4" s="1">
        <v>5</v>
      </c>
      <c r="D4" s="1"/>
    </row>
    <row r="5" spans="1:4" x14ac:dyDescent="0.25">
      <c r="A5" s="1" t="s">
        <v>59</v>
      </c>
      <c r="B5" s="1">
        <v>236</v>
      </c>
      <c r="C5" s="1">
        <v>8</v>
      </c>
      <c r="D5" s="1"/>
    </row>
    <row r="6" spans="1:4" x14ac:dyDescent="0.25">
      <c r="A6" s="1" t="s">
        <v>60</v>
      </c>
      <c r="B6" s="1">
        <v>144</v>
      </c>
      <c r="C6" s="1">
        <v>7</v>
      </c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B2" sqref="B2"/>
    </sheetView>
  </sheetViews>
  <sheetFormatPr baseColWidth="10" defaultRowHeight="15" x14ac:dyDescent="0.25"/>
  <cols>
    <col min="1" max="1" width="8.28515625" bestFit="1" customWidth="1"/>
    <col min="2" max="2" width="18.140625" customWidth="1"/>
    <col min="3" max="3" width="23.7109375" customWidth="1"/>
    <col min="4" max="4" width="14.7109375" bestFit="1" customWidth="1"/>
    <col min="5" max="5" width="18.5703125" bestFit="1" customWidth="1"/>
    <col min="6" max="6" width="23.140625" bestFit="1" customWidth="1"/>
    <col min="7" max="7" width="25.5703125" bestFit="1" customWidth="1"/>
    <col min="8" max="8" width="22.28515625" bestFit="1" customWidth="1"/>
    <col min="9" max="9" width="18.28515625" bestFit="1" customWidth="1"/>
    <col min="10" max="10" width="16.85546875" bestFit="1" customWidth="1"/>
    <col min="11" max="11" width="25.140625" bestFit="1" customWidth="1"/>
    <col min="12" max="12" width="30.5703125" customWidth="1"/>
  </cols>
  <sheetData>
    <row r="1" spans="1:12" ht="35.25" thickBot="1" x14ac:dyDescent="0.3">
      <c r="A1" s="4" t="s">
        <v>33</v>
      </c>
      <c r="B1" s="5" t="s">
        <v>34</v>
      </c>
      <c r="C1" s="5" t="s">
        <v>25</v>
      </c>
      <c r="D1" s="6" t="s">
        <v>35</v>
      </c>
      <c r="E1" s="6" t="s">
        <v>36</v>
      </c>
      <c r="F1" s="6" t="s">
        <v>37</v>
      </c>
      <c r="G1" s="6" t="s">
        <v>42</v>
      </c>
      <c r="H1" s="6" t="s">
        <v>38</v>
      </c>
      <c r="I1" s="6" t="s">
        <v>39</v>
      </c>
      <c r="J1" s="5" t="s">
        <v>40</v>
      </c>
      <c r="K1" s="6" t="s">
        <v>41</v>
      </c>
      <c r="L1" s="7" t="s">
        <v>10</v>
      </c>
    </row>
    <row r="2" spans="1:12" x14ac:dyDescent="0.25">
      <c r="A2" s="8">
        <v>1</v>
      </c>
      <c r="B2" s="1" t="s">
        <v>56</v>
      </c>
      <c r="C2" s="8" t="str">
        <f>IF((Synthese[[#This Row],[Ref]]=""),"",(VLOOKUP(Synthese[[#This Row],[Ref]],Planning!E:F,2,FALSE)))</f>
        <v>Composé1</v>
      </c>
      <c r="D2" s="8" t="str">
        <f>IF(COUNTIFS(Manquant[Composé],Synthese[[#This Row],[Ref]],Manquant[Désignation article],"*CIU*")=1,"NON","")</f>
        <v/>
      </c>
      <c r="E2" s="9">
        <f>IF((Synthese[[#This Row],[Ref]]=""),"",_xlfn.IFNA(IF((VLOOKUP(Synthese[[#This Row],[Ref]],Planning!E:M,9,FALSE)=0),"NO DATE CLIENT",(VLOOKUP(Synthese[[#This Row],[Ref]],Planning!E:M,9,FALSE))),"NO DATE"))</f>
        <v>43282</v>
      </c>
      <c r="F2" s="9">
        <f>IF((Synthese[[#This Row],[Ref]]=""),"",IF( Synthese[[#This Row],[Date Besoin Client]]="NO DATE CLIENT","NO DATE CLIENT",Synthese[[#This Row],[Date Besoin Client]]-25))</f>
        <v>43257</v>
      </c>
      <c r="G2" s="10">
        <f>IF((Synthese[[#This Row],[Ref]]=""),"",(VLOOKUP(Synthese[[#This Row],[Ref]],'NBR Composants'!A:C,3,FALSE)))</f>
        <v>10</v>
      </c>
      <c r="H2" s="10">
        <f>IF((Synthese[[#This Row],[Ref]]=""),"",(VLOOKUP(Synthese[[#This Row],[Ref]],'NBR Composants'!A:B,2,FALSE)))</f>
        <v>66</v>
      </c>
      <c r="I2" s="11" t="b">
        <f>IF((Synthese[[#This Row],[Ref]]=""),"",(_xlfn.IFNA(IF(VLOOKUP(Synthese[[#This Row],[Ref]],Manquant!A:A,1,FALSE)=Synthese[[#This Row],[Ref]],TRUE,FALSE),FALSE)))</f>
        <v>1</v>
      </c>
      <c r="J2" s="8">
        <f>IF((Synthese[[#This Row],[Ref]]=""),"",COUNTIFS(Manquant!A:A,Synthese[[#This Row],[Ref]]))</f>
        <v>4</v>
      </c>
      <c r="K2" s="12">
        <f t="array" ref="K2">IF((Synthese[[#This Row],[Ref]]=""),"",IF(MAX(IF(Manquant[Composé]=Synthese[[#This Row],[Ref]],Manquant[DATE]))=0,"",MAX(IF(Manquant[Composé]=Synthese[[#This Row],[Ref]],Manquant[DATE]))))</f>
        <v>43627</v>
      </c>
      <c r="L2" s="10" t="str">
        <f t="array" ref="L2">IF((Synthese[[#This Row],[Ref]]=""),"",IF(MAX(IF(Manquant[Composé]=Synthese[[#This Row],[Ref]],Manquant[CommentaireFinal]))=0,"",MAX(IF(Manquant[Composé]=Synthese[[#This Row],[Ref]],Manquant[CommentaireFinal]))))</f>
        <v/>
      </c>
    </row>
    <row r="3" spans="1:12" x14ac:dyDescent="0.25">
      <c r="A3" s="8">
        <v>2</v>
      </c>
      <c r="B3" s="1" t="s">
        <v>57</v>
      </c>
      <c r="C3" s="8" t="str">
        <f>IF((Synthese[[#This Row],[Ref]]=""),"",(VLOOKUP(Synthese[[#This Row],[Ref]],Planning!E:F,2,FALSE)))</f>
        <v>Composé2</v>
      </c>
      <c r="D3" s="8" t="str">
        <f>IF(COUNTIFS(Manquant[Composé],Synthese[[#This Row],[Ref]],Manquant[Désignation article],"*CIU*")=1,"NON","")</f>
        <v/>
      </c>
      <c r="E3" s="9">
        <f>IF((Synthese[[#This Row],[Ref]]=""),"",_xlfn.IFNA(IF((VLOOKUP(Synthese[[#This Row],[Ref]],Planning!E:M,9,FALSE)=0),"NO DATE CLIENT",(VLOOKUP(Synthese[[#This Row],[Ref]],Planning!E:M,9,FALSE))),"NO DATE"))</f>
        <v>43282</v>
      </c>
      <c r="F3" s="9">
        <f>IF((Synthese[[#This Row],[Ref]]=""),"",IF( Synthese[[#This Row],[Date Besoin Client]]="NO DATE CLIENT","NO DATE CLIENT",Synthese[[#This Row],[Date Besoin Client]]-25))</f>
        <v>43257</v>
      </c>
      <c r="G3" s="10">
        <f>IF((Synthese[[#This Row],[Ref]]=""),"",(VLOOKUP(Synthese[[#This Row],[Ref]],'NBR Composants'!A:C,3,FALSE)))</f>
        <v>4</v>
      </c>
      <c r="H3" s="10">
        <f>IF((Synthese[[#This Row],[Ref]]=""),"",(VLOOKUP(Synthese[[#This Row],[Ref]],'NBR Composants'!A:B,2,FALSE)))</f>
        <v>58</v>
      </c>
      <c r="I3" s="11" t="b">
        <f>IF((Synthese[[#This Row],[Ref]]=""),"",(_xlfn.IFNA(IF(VLOOKUP(Synthese[[#This Row],[Ref]],Manquant!A:A,1,FALSE)=Synthese[[#This Row],[Ref]],TRUE,FALSE),FALSE)))</f>
        <v>1</v>
      </c>
      <c r="J3" s="8">
        <f>IF((Synthese[[#This Row],[Ref]]=""),"",COUNTIFS(Manquant!A:A,Synthese[[#This Row],[Ref]]))</f>
        <v>2</v>
      </c>
      <c r="K3" s="12">
        <f t="array" ref="K3">IF((Synthese[[#This Row],[Ref]]=""),"",IF(MAX(IF(Manquant[Composé]=Synthese[[#This Row],[Ref]],Manquant[DATE]))=0,"",MAX(IF(Manquant[Composé]=Synthese[[#This Row],[Ref]],Manquant[DATE]))))</f>
        <v>43629</v>
      </c>
      <c r="L3" s="10">
        <f t="array" ref="L3">IF((Synthese[[#This Row],[Ref]]=""),"",IF(MAX(IF(Manquant[Composé]=Synthese[[#This Row],[Ref]],Manquant[DATE]))=0,"",MAX(IF(Manquant[Composé]=Synthese[[#This Row],[Ref]],Manquant[CommentaireFinal]))))</f>
        <v>0</v>
      </c>
    </row>
    <row r="4" spans="1:12" x14ac:dyDescent="0.25">
      <c r="A4" s="8">
        <v>3</v>
      </c>
      <c r="B4" s="1" t="s">
        <v>58</v>
      </c>
      <c r="C4" s="8" t="str">
        <f>IF((Synthese[[#This Row],[Ref]]=""),"",(VLOOKUP(Synthese[[#This Row],[Ref]],Planning!E:F,2,FALSE)))</f>
        <v>Composé3</v>
      </c>
      <c r="D4" s="8" t="str">
        <f>IF(COUNTIFS(Manquant[Composé],Synthese[[#This Row],[Ref]],Manquant[Désignation article],"*CIU*")=1,"NON","")</f>
        <v/>
      </c>
      <c r="E4" s="9">
        <f>IF((Synthese[[#This Row],[Ref]]=""),"",_xlfn.IFNA(IF((VLOOKUP(Synthese[[#This Row],[Ref]],Planning!E:M,9,FALSE)=0),"NO DATE CLIENT",(VLOOKUP(Synthese[[#This Row],[Ref]],Planning!E:M,9,FALSE))),"NO DATE"))</f>
        <v>43282</v>
      </c>
      <c r="F4" s="9">
        <f>IF((Synthese[[#This Row],[Ref]]=""),"",IF( Synthese[[#This Row],[Date Besoin Client]]="NO DATE CLIENT","NO DATE CLIENT",Synthese[[#This Row],[Date Besoin Client]]-25))</f>
        <v>43257</v>
      </c>
      <c r="G4" s="10">
        <f>IF((Synthese[[#This Row],[Ref]]=""),"",(VLOOKUP(Synthese[[#This Row],[Ref]],'NBR Composants'!A:C,3,FALSE)))</f>
        <v>5</v>
      </c>
      <c r="H4" s="10">
        <f>IF((Synthese[[#This Row],[Ref]]=""),"",(VLOOKUP(Synthese[[#This Row],[Ref]],'NBR Composants'!A:B,2,FALSE)))</f>
        <v>142</v>
      </c>
      <c r="I4" s="11" t="b">
        <f>IF((Synthese[[#This Row],[Ref]]=""),"",(_xlfn.IFNA(IF(VLOOKUP(Synthese[[#This Row],[Ref]],Manquant!A:A,1,FALSE)=Synthese[[#This Row],[Ref]],TRUE,FALSE),FALSE)))</f>
        <v>1</v>
      </c>
      <c r="J4" s="8">
        <f>IF((Synthese[[#This Row],[Ref]]=""),"",COUNTIFS(Manquant!A:A,Synthese[[#This Row],[Ref]]))</f>
        <v>2</v>
      </c>
      <c r="K4" s="12">
        <f t="array" ref="K4">IF((Synthese[[#This Row],[Ref]]=""),"",IF(MAX(IF(Manquant[Composé]=Synthese[[#This Row],[Ref]],Manquant[DATE]))=0,"",MAX(IF(Manquant[Composé]=Synthese[[#This Row],[Ref]],Manquant[DATE]))))</f>
        <v>43600</v>
      </c>
      <c r="L4" s="10">
        <f t="array" ref="L4">IF((Synthese[[#This Row],[Ref]]=""),"",IF(MAX(IF(Manquant[Composé]=Synthese[[#This Row],[Ref]],Manquant[DATE]))=0,"",MAX(IF(Manquant[Composé]=Synthese[[#This Row],[Ref]],Manquant[CommentaireFinal]))))</f>
        <v>0</v>
      </c>
    </row>
    <row r="5" spans="1:12" x14ac:dyDescent="0.25">
      <c r="A5" s="8">
        <v>4</v>
      </c>
      <c r="B5" s="1" t="s">
        <v>59</v>
      </c>
      <c r="C5" s="8" t="str">
        <f>IF((Synthese[[#This Row],[Ref]]=""),"",(VLOOKUP(Synthese[[#This Row],[Ref]],Planning!E:F,2,FALSE)))</f>
        <v>Composé4</v>
      </c>
      <c r="D5" s="8" t="str">
        <f>IF(COUNTIFS(Manquant[Composé],Synthese[[#This Row],[Ref]],Manquant[Désignation article],"*CIU*")=1,"NON","")</f>
        <v/>
      </c>
      <c r="E5" s="9">
        <f>IF((Synthese[[#This Row],[Ref]]=""),"",_xlfn.IFNA(IF((VLOOKUP(Synthese[[#This Row],[Ref]],Planning!E:M,9,FALSE)=0),"NO DATE CLIENT",(VLOOKUP(Synthese[[#This Row],[Ref]],Planning!E:M,9,FALSE))),"NO DATE"))</f>
        <v>43282</v>
      </c>
      <c r="F5" s="9">
        <f>IF((Synthese[[#This Row],[Ref]]=""),"",IF( Synthese[[#This Row],[Date Besoin Client]]="NO DATE CLIENT","NO DATE CLIENT",Synthese[[#This Row],[Date Besoin Client]]-25))</f>
        <v>43257</v>
      </c>
      <c r="G5" s="10">
        <f>IF((Synthese[[#This Row],[Ref]]=""),"",(VLOOKUP(Synthese[[#This Row],[Ref]],'NBR Composants'!A:C,3,FALSE)))</f>
        <v>8</v>
      </c>
      <c r="H5" s="10">
        <f>IF((Synthese[[#This Row],[Ref]]=""),"",(VLOOKUP(Synthese[[#This Row],[Ref]],'NBR Composants'!A:B,2,FALSE)))</f>
        <v>236</v>
      </c>
      <c r="I5" s="11" t="b">
        <f>IF((Synthese[[#This Row],[Ref]]=""),"",(_xlfn.IFNA(IF(VLOOKUP(Synthese[[#This Row],[Ref]],Manquant!A:A,1,FALSE)=Synthese[[#This Row],[Ref]],TRUE,FALSE),FALSE)))</f>
        <v>1</v>
      </c>
      <c r="J5" s="8">
        <f>IF((Synthese[[#This Row],[Ref]]=""),"",COUNTIFS(Manquant!A:A,Synthese[[#This Row],[Ref]]))</f>
        <v>2</v>
      </c>
      <c r="K5" s="12">
        <f t="array" ref="K5">IF((Synthese[[#This Row],[Ref]]=""),"",IF(MAX(IF(Manquant[Composé]=Synthese[[#This Row],[Ref]],Manquant[DATE]))=0,"",MAX(IF(Manquant[Composé]=Synthese[[#This Row],[Ref]],Manquant[DATE]))))</f>
        <v>43610</v>
      </c>
      <c r="L5" s="10">
        <f t="array" ref="L5">IF((Synthese[[#This Row],[Ref]]=""),"",IF(MAX(IF(Manquant[Composé]=Synthese[[#This Row],[Ref]],Manquant[DATE]))=0,"",MAX(IF(Manquant[Composé]=Synthese[[#This Row],[Ref]],Manquant[CommentaireFinal]))))</f>
        <v>0</v>
      </c>
    </row>
    <row r="6" spans="1:12" x14ac:dyDescent="0.25">
      <c r="A6" s="8">
        <v>5</v>
      </c>
      <c r="B6" s="1" t="s">
        <v>60</v>
      </c>
      <c r="C6" s="8" t="str">
        <f>IF((Synthese[[#This Row],[Ref]]=""),"",(VLOOKUP(Synthese[[#This Row],[Ref]],Planning!E:F,2,FALSE)))</f>
        <v>Composé5</v>
      </c>
      <c r="D6" s="8" t="str">
        <f>IF(COUNTIFS(Manquant[Composé],Synthese[[#This Row],[Ref]],Manquant[Désignation article],"*CIU*")=1,"NON","")</f>
        <v/>
      </c>
      <c r="E6" s="9">
        <f>IF((Synthese[[#This Row],[Ref]]=""),"",_xlfn.IFNA(IF((VLOOKUP(Synthese[[#This Row],[Ref]],Planning!E:M,9,FALSE)=0),"NO DATE CLIENT",(VLOOKUP(Synthese[[#This Row],[Ref]],Planning!E:M,9,FALSE))),"NO DATE"))</f>
        <v>43282</v>
      </c>
      <c r="F6" s="9">
        <f>IF((Synthese[[#This Row],[Ref]]=""),"",IF( Synthese[[#This Row],[Date Besoin Client]]="NO DATE CLIENT","NO DATE CLIENT",Synthese[[#This Row],[Date Besoin Client]]-25))</f>
        <v>43257</v>
      </c>
      <c r="G6" s="10">
        <f>IF((Synthese[[#This Row],[Ref]]=""),"",(VLOOKUP(Synthese[[#This Row],[Ref]],'NBR Composants'!A:C,3,FALSE)))</f>
        <v>7</v>
      </c>
      <c r="H6" s="10">
        <f>IF((Synthese[[#This Row],[Ref]]=""),"",(VLOOKUP(Synthese[[#This Row],[Ref]],'NBR Composants'!A:B,2,FALSE)))</f>
        <v>144</v>
      </c>
      <c r="I6" s="11" t="b">
        <f>IF((Synthese[[#This Row],[Ref]]=""),"",(_xlfn.IFNA(IF(VLOOKUP(Synthese[[#This Row],[Ref]],Manquant!A:A,1,FALSE)=Synthese[[#This Row],[Ref]],TRUE,FALSE),FALSE)))</f>
        <v>1</v>
      </c>
      <c r="J6" s="8">
        <f>IF((Synthese[[#This Row],[Ref]]=""),"",COUNTIFS(Manquant!A:A,Synthese[[#This Row],[Ref]]))</f>
        <v>1</v>
      </c>
      <c r="K6" s="12">
        <f t="array" ref="K6">IF((Synthese[[#This Row],[Ref]]=""),"",IF(MAX(IF(Manquant[Composé]=Synthese[[#This Row],[Ref]],Manquant[DATE]))=0,"",MAX(IF(Manquant[Composé]=Synthese[[#This Row],[Ref]],Manquant[DATE]))))</f>
        <v>43598</v>
      </c>
      <c r="L6" s="10">
        <f t="array" ref="L6">IF((Synthese[[#This Row],[Ref]]=""),"",IF(MAX(IF(Manquant[Composé]=Synthese[[#This Row],[Ref]],Manquant[DATE]))=0,"",MAX(IF(Manquant[Composé]=Synthese[[#This Row],[Ref]],Manquant[CommentaireFinal]))))</f>
        <v>0</v>
      </c>
    </row>
    <row r="7" spans="1:12" x14ac:dyDescent="0.25">
      <c r="A7" s="8">
        <v>6</v>
      </c>
      <c r="B7" s="8"/>
      <c r="C7" s="8" t="str">
        <f>IF((Synthese[[#This Row],[Ref]]=""),"",(VLOOKUP(Synthese[[#This Row],[Ref]],Planning!E:F,2,FALSE)))</f>
        <v/>
      </c>
      <c r="D7" s="8" t="str">
        <f>IF(COUNTIFS(Manquant[Composé],Synthese[[#This Row],[Ref]],Manquant[Désignation article],"*CIU*")=1,"NON","")</f>
        <v/>
      </c>
      <c r="E7" s="9" t="str">
        <f>IF((Synthese[[#This Row],[Ref]]=""),"",_xlfn.IFNA(IF((VLOOKUP(Synthese[[#This Row],[Ref]],Planning!E:M,9,FALSE)=0),"NO DATE CLIENT",(VLOOKUP(Synthese[[#This Row],[Ref]],Planning!E:M,9,FALSE))),"NO DATE"))</f>
        <v/>
      </c>
      <c r="F7" s="9" t="str">
        <f>IF((Synthese[[#This Row],[Ref]]=""),"",IF( Synthese[[#This Row],[Date Besoin Client]]="NO DATE CLIENT","NO DATE CLIENT",Synthese[[#This Row],[Date Besoin Client]]-25))</f>
        <v/>
      </c>
      <c r="G7" s="9" t="str">
        <f>IF((Synthese[[#This Row],[Ref]]=""),"",(VLOOKUP(Synthese[[#This Row],[Ref]],'NBR Composants'!A:C,3,FALSE)))</f>
        <v/>
      </c>
      <c r="H7" s="10" t="str">
        <f>IF((Synthese[[#This Row],[Ref]]=""),"",(VLOOKUP(Synthese[[#This Row],[Ref]],'NBR Composants'!A:B,2,FALSE)))</f>
        <v/>
      </c>
      <c r="I7" s="11" t="str">
        <f>IF((Synthese[[#This Row],[Ref]]=""),"",(_xlfn.IFNA(IF(VLOOKUP(Synthese[[#This Row],[Ref]],Manquant!A:A,1,FALSE)=Synthese[[#This Row],[Ref]],TRUE,FALSE),FALSE)))</f>
        <v/>
      </c>
      <c r="J7" s="8" t="str">
        <f>IF((Synthese[[#This Row],[Ref]]=""),"",COUNTIFS(Manquant!A:A,Synthese[[#This Row],[Ref]]))</f>
        <v/>
      </c>
      <c r="K7" s="12" t="str">
        <f t="array" ref="K7">IF((Synthese[[#This Row],[Ref]]=""),"",IF(MAX(IF(Manquant[Composé]=Synthese[[#This Row],[Ref]],Manquant[DATE]))=0,"",MAX(IF(Manquant[Composé]=Synthese[[#This Row],[Ref]],Manquant[DATE]))))</f>
        <v/>
      </c>
      <c r="L7" s="10" t="str">
        <f t="array" ref="L7">IF((Synthese[[#This Row],[Ref]]=""),"",IF(MAX(IF(Manquant[Composé]=Synthese[[#This Row],[Ref]],Manquant[DATE]))=0,"",MAX(IF(Manquant[Composé]=Synthese[[#This Row],[Ref]],Manquant[CommentaireFinal]))))</f>
        <v/>
      </c>
    </row>
    <row r="8" spans="1:12" x14ac:dyDescent="0.25">
      <c r="A8" s="8">
        <v>7</v>
      </c>
      <c r="B8" s="8"/>
      <c r="C8" s="8" t="str">
        <f>IF((Synthese[[#This Row],[Ref]]=""),"",(VLOOKUP(Synthese[[#This Row],[Ref]],Planning!E:F,2,FALSE)))</f>
        <v/>
      </c>
      <c r="D8" s="8" t="str">
        <f>IF(COUNTIFS(Manquant[Composé],Synthese[[#This Row],[Ref]],Manquant[Désignation article],"*CIU*")=1,"NON","")</f>
        <v/>
      </c>
      <c r="E8" s="9" t="str">
        <f>IF((Synthese[[#This Row],[Ref]]=""),"",_xlfn.IFNA(IF((VLOOKUP(Synthese[[#This Row],[Ref]],Planning!E:M,9,FALSE)=0),"NO DATE CLIENT",(VLOOKUP(Synthese[[#This Row],[Ref]],Planning!E:M,9,FALSE))),"NO DATE"))</f>
        <v/>
      </c>
      <c r="F8" s="9" t="str">
        <f>IF((Synthese[[#This Row],[Ref]]=""),"",IF( Synthese[[#This Row],[Date Besoin Client]]="NO DATE CLIENT","NO DATE CLIENT",Synthese[[#This Row],[Date Besoin Client]]-25))</f>
        <v/>
      </c>
      <c r="G8" s="9" t="str">
        <f>IF((Synthese[[#This Row],[Ref]]=""),"",(VLOOKUP(Synthese[[#This Row],[Ref]],'NBR Composants'!A:C,3,FALSE)))</f>
        <v/>
      </c>
      <c r="H8" s="10" t="str">
        <f>IF((Synthese[[#This Row],[Ref]]=""),"",(VLOOKUP(Synthese[[#This Row],[Ref]],'NBR Composants'!A:B,2,FALSE)))</f>
        <v/>
      </c>
      <c r="I8" s="11" t="str">
        <f>IF((Synthese[[#This Row],[Ref]]=""),"",(_xlfn.IFNA(IF(VLOOKUP(Synthese[[#This Row],[Ref]],Manquant!A:A,1,FALSE)=Synthese[[#This Row],[Ref]],TRUE,FALSE),FALSE)))</f>
        <v/>
      </c>
      <c r="J8" s="8" t="str">
        <f>IF((Synthese[[#This Row],[Ref]]=""),"",COUNTIFS(Manquant!A:A,Synthese[[#This Row],[Ref]]))</f>
        <v/>
      </c>
      <c r="K8" s="12" t="str">
        <f t="array" ref="K8">IF((Synthese[[#This Row],[Ref]]=""),"",IF(MAX(IF(Manquant[Composé]=Synthese[[#This Row],[Ref]],Manquant[DATE]))=0,"",MAX(IF(Manquant[Composé]=Synthese[[#This Row],[Ref]],Manquant[DATE]))))</f>
        <v/>
      </c>
      <c r="L8" s="10" t="str">
        <f t="array" ref="L8">IF((Synthese[[#This Row],[Ref]]=""),"",IF(MAX(IF(Manquant[Composé]=Synthese[[#This Row],[Ref]],Manquant[DATE]))=0,"",MAX(IF(Manquant[Composé]=Synthese[[#This Row],[Ref]],Manquant[CommentaireFinal]))))</f>
        <v/>
      </c>
    </row>
    <row r="9" spans="1:12" x14ac:dyDescent="0.25">
      <c r="A9" s="8">
        <v>8</v>
      </c>
      <c r="B9" s="8"/>
      <c r="C9" s="8" t="str">
        <f>IF((Synthese[[#This Row],[Ref]]=""),"",(VLOOKUP(Synthese[[#This Row],[Ref]],Planning!E:F,2,FALSE)))</f>
        <v/>
      </c>
      <c r="D9" s="8" t="str">
        <f>IF(COUNTIFS(Manquant[Composé],Synthese[[#This Row],[Ref]],Manquant[Désignation article],"*CIU*")=1,"NON","")</f>
        <v/>
      </c>
      <c r="E9" s="9" t="str">
        <f>IF((Synthese[[#This Row],[Ref]]=""),"",_xlfn.IFNA(IF((VLOOKUP(Synthese[[#This Row],[Ref]],Planning!E:M,9,FALSE)=0),"NO DATE CLIENT",(VLOOKUP(Synthese[[#This Row],[Ref]],Planning!E:M,9,FALSE))),"NO DATE"))</f>
        <v/>
      </c>
      <c r="F9" s="9" t="str">
        <f>IF((Synthese[[#This Row],[Ref]]=""),"",IF( Synthese[[#This Row],[Date Besoin Client]]="NO DATE CLIENT","NO DATE CLIENT",Synthese[[#This Row],[Date Besoin Client]]-25))</f>
        <v/>
      </c>
      <c r="G9" s="9" t="str">
        <f>IF((Synthese[[#This Row],[Ref]]=""),"",(VLOOKUP(Synthese[[#This Row],[Ref]],'NBR Composants'!A:C,3,FALSE)))</f>
        <v/>
      </c>
      <c r="H9" s="10" t="str">
        <f>IF((Synthese[[#This Row],[Ref]]=""),"",(VLOOKUP(Synthese[[#This Row],[Ref]],'NBR Composants'!A:B,2,FALSE)))</f>
        <v/>
      </c>
      <c r="I9" s="11" t="str">
        <f>IF((Synthese[[#This Row],[Ref]]=""),"",(_xlfn.IFNA(IF(VLOOKUP(Synthese[[#This Row],[Ref]],Manquant!A:A,1,FALSE)=Synthese[[#This Row],[Ref]],TRUE,FALSE),FALSE)))</f>
        <v/>
      </c>
      <c r="J9" s="8" t="str">
        <f>IF((Synthese[[#This Row],[Ref]]=""),"",COUNTIFS(Manquant!A:A,Synthese[[#This Row],[Ref]]))</f>
        <v/>
      </c>
      <c r="K9" s="12" t="str">
        <f t="array" ref="K9">IF((Synthese[[#This Row],[Ref]]=""),"",IF(MAX(IF(Manquant[Composé]=Synthese[[#This Row],[Ref]],Manquant[DATE]))=0,"",MAX(IF(Manquant[Composé]=Synthese[[#This Row],[Ref]],Manquant[DATE]))))</f>
        <v/>
      </c>
      <c r="L9" s="10" t="str">
        <f t="array" ref="L9">IF((Synthese[[#This Row],[Ref]]=""),"",IF(MAX(IF(Manquant[Composé]=Synthese[[#This Row],[Ref]],Manquant[DATE]))=0,"",MAX(IF(Manquant[Composé]=Synthese[[#This Row],[Ref]],Manquant[CommentaireFinal]))))</f>
        <v/>
      </c>
    </row>
    <row r="10" spans="1:12" x14ac:dyDescent="0.25">
      <c r="A10" s="8">
        <v>9</v>
      </c>
      <c r="B10" s="8"/>
      <c r="C10" s="8" t="str">
        <f>IF((Synthese[[#This Row],[Ref]]=""),"",(VLOOKUP(Synthese[[#This Row],[Ref]],Planning!E:F,2,FALSE)))</f>
        <v/>
      </c>
      <c r="D10" s="8" t="str">
        <f>IF(COUNTIFS(Manquant[Composé],Synthese[[#This Row],[Ref]],Manquant[Désignation article],"*CIU*")=1,"NON","")</f>
        <v/>
      </c>
      <c r="E10" s="9" t="str">
        <f>IF((Synthese[[#This Row],[Ref]]=""),"",_xlfn.IFNA(IF((VLOOKUP(Synthese[[#This Row],[Ref]],Planning!E:M,9,FALSE)=0),"NO DATE CLIENT",(VLOOKUP(Synthese[[#This Row],[Ref]],Planning!E:M,9,FALSE))),"NO DATE"))</f>
        <v/>
      </c>
      <c r="F10" s="9" t="str">
        <f>IF((Synthese[[#This Row],[Ref]]=""),"",IF( Synthese[[#This Row],[Date Besoin Client]]="NO DATE CLIENT","NO DATE CLIENT",Synthese[[#This Row],[Date Besoin Client]]-25))</f>
        <v/>
      </c>
      <c r="G10" s="9" t="str">
        <f>IF((Synthese[[#This Row],[Ref]]=""),"",(VLOOKUP(Synthese[[#This Row],[Ref]],'NBR Composants'!A:C,3,FALSE)))</f>
        <v/>
      </c>
      <c r="H10" s="10" t="str">
        <f>IF((Synthese[[#This Row],[Ref]]=""),"",(VLOOKUP(Synthese[[#This Row],[Ref]],'NBR Composants'!A:B,2,FALSE)))</f>
        <v/>
      </c>
      <c r="I10" s="11" t="str">
        <f>IF((Synthese[[#This Row],[Ref]]=""),"",(_xlfn.IFNA(IF(VLOOKUP(Synthese[[#This Row],[Ref]],Manquant!A:A,1,FALSE)=Synthese[[#This Row],[Ref]],TRUE,FALSE),FALSE)))</f>
        <v/>
      </c>
      <c r="J10" s="8" t="str">
        <f>IF((Synthese[[#This Row],[Ref]]=""),"",COUNTIFS(Manquant!A:A,Synthese[[#This Row],[Ref]]))</f>
        <v/>
      </c>
      <c r="K10" s="12" t="str">
        <f t="array" ref="K10">IF((Synthese[[#This Row],[Ref]]=""),"",IF(MAX(IF(Manquant[Composé]=Synthese[[#This Row],[Ref]],Manquant[DATE]))=0,"",MAX(IF(Manquant[Composé]=Synthese[[#This Row],[Ref]],Manquant[DATE]))))</f>
        <v/>
      </c>
      <c r="L10" s="10" t="str">
        <f t="array" ref="L10">IF((Synthese[[#This Row],[Ref]]=""),"",IF(MAX(IF(Manquant[Composé]=Synthese[[#This Row],[Ref]],Manquant[DATE]))=0,"",MAX(IF(Manquant[Composé]=Synthese[[#This Row],[Ref]],Manquant[CommentaireFinal]))))</f>
        <v/>
      </c>
    </row>
    <row r="11" spans="1:12" x14ac:dyDescent="0.25">
      <c r="A11" s="8">
        <v>10</v>
      </c>
      <c r="B11" s="8"/>
      <c r="C11" s="8" t="str">
        <f>IF((Synthese[[#This Row],[Ref]]=""),"",(VLOOKUP(Synthese[[#This Row],[Ref]],Planning!E:F,2,FALSE)))</f>
        <v/>
      </c>
      <c r="D11" s="8" t="str">
        <f>IF(COUNTIFS(Manquant[Composé],Synthese[[#This Row],[Ref]],Manquant[Désignation article],"*CIU*")=1,"NON","")</f>
        <v/>
      </c>
      <c r="E11" s="9" t="str">
        <f>IF((Synthese[[#This Row],[Ref]]=""),"",_xlfn.IFNA(IF((VLOOKUP(Synthese[[#This Row],[Ref]],Planning!E:M,9,FALSE)=0),"NO DATE CLIENT",(VLOOKUP(Synthese[[#This Row],[Ref]],Planning!E:M,9,FALSE))),"NO DATE"))</f>
        <v/>
      </c>
      <c r="F11" s="9" t="str">
        <f>IF((Synthese[[#This Row],[Ref]]=""),"",IF( Synthese[[#This Row],[Date Besoin Client]]="NO DATE CLIENT","NO DATE CLIENT",Synthese[[#This Row],[Date Besoin Client]]-25))</f>
        <v/>
      </c>
      <c r="G11" s="9" t="str">
        <f>IF((Synthese[[#This Row],[Ref]]=""),"",(VLOOKUP(Synthese[[#This Row],[Ref]],'NBR Composants'!A:C,3,FALSE)))</f>
        <v/>
      </c>
      <c r="H11" s="10" t="str">
        <f>IF((Synthese[[#This Row],[Ref]]=""),"",(VLOOKUP(Synthese[[#This Row],[Ref]],'NBR Composants'!A:B,2,FALSE)))</f>
        <v/>
      </c>
      <c r="I11" s="11" t="str">
        <f>IF((Synthese[[#This Row],[Ref]]=""),"",(_xlfn.IFNA(IF(VLOOKUP(Synthese[[#This Row],[Ref]],Manquant!A:A,1,FALSE)=Synthese[[#This Row],[Ref]],TRUE,FALSE),FALSE)))</f>
        <v/>
      </c>
      <c r="J11" s="8" t="str">
        <f>IF((Synthese[[#This Row],[Ref]]=""),"",COUNTIFS(Manquant!A:A,Synthese[[#This Row],[Ref]]))</f>
        <v/>
      </c>
      <c r="K11" s="12" t="str">
        <f t="array" ref="K11">IF((Synthese[[#This Row],[Ref]]=""),"",IF(MAX(IF(Manquant[Composé]=Synthese[[#This Row],[Ref]],Manquant[DATE]))=0,"",MAX(IF(Manquant[Composé]=Synthese[[#This Row],[Ref]],Manquant[DATE]))))</f>
        <v/>
      </c>
      <c r="L11" s="10" t="str">
        <f t="array" ref="L11">IF((Synthese[[#This Row],[Ref]]=""),"",IF(MAX(IF(Manquant[Composé]=Synthese[[#This Row],[Ref]],Manquant[DATE]))=0,"",MAX(IF(Manquant[Composé]=Synthese[[#This Row],[Ref]],Manquant[CommentaireFinal]))))</f>
        <v/>
      </c>
    </row>
    <row r="12" spans="1:12" ht="15.75" thickBot="1" x14ac:dyDescent="0.3"/>
    <row r="13" spans="1:12" ht="35.25" thickBot="1" x14ac:dyDescent="0.3">
      <c r="A13" s="4" t="s">
        <v>33</v>
      </c>
      <c r="B13" s="5" t="s">
        <v>34</v>
      </c>
      <c r="C13" s="5" t="s">
        <v>25</v>
      </c>
      <c r="D13" s="6" t="s">
        <v>47</v>
      </c>
      <c r="E13" s="6" t="s">
        <v>48</v>
      </c>
      <c r="F13" s="6" t="s">
        <v>49</v>
      </c>
      <c r="G13" s="6" t="s">
        <v>50</v>
      </c>
      <c r="H13" s="5" t="s">
        <v>51</v>
      </c>
      <c r="I13" s="6" t="s">
        <v>52</v>
      </c>
      <c r="J13" s="5" t="s">
        <v>53</v>
      </c>
      <c r="K13" s="5" t="s">
        <v>54</v>
      </c>
      <c r="L13" s="7" t="s">
        <v>55</v>
      </c>
    </row>
    <row r="14" spans="1:12" x14ac:dyDescent="0.25">
      <c r="A14" s="8">
        <v>1</v>
      </c>
      <c r="B14" s="8" t="str">
        <f t="shared" ref="B14:B23" si="0">IF(ISBLANK(B2),"",B2)</f>
        <v>Composé1</v>
      </c>
      <c r="C14" s="8" t="str">
        <f>IF((SyntheseCommande[[#This Row],[Ref]]=""),"",(VLOOKUP(SyntheseCommande[[#This Row],[Ref]],Planning!E:F,2,FALSE)))</f>
        <v>Composé1</v>
      </c>
      <c r="D14" s="8">
        <f>IF((SyntheseCommande[[#This Row],[Ref]]=""),"",COUNTIFS(Manquant[Composé],SyntheseCommande[[#This Row],[Ref]],Manquant[Type de réapprovisionnement],"Alternatives"))</f>
        <v>0</v>
      </c>
      <c r="E14" s="10">
        <f>IF((SyntheseCommande[[#This Row],[Ref]]=""),"",COUNTIFS(Manquant[Composé],SyntheseCommande[[#This Row],[Ref]],Manquant[Type de réapprovisionnement],"CDE_HA"))</f>
        <v>0</v>
      </c>
      <c r="F14" s="10">
        <f>IF((SyntheseCommande[[#This Row],[Ref]]=""),"",COUNTIFS(Manquant[Composé],SyntheseCommande[[#This Row],[Ref]],Manquant[Type de réapprovisionnement],"CDE_HA_AR"))</f>
        <v>4</v>
      </c>
      <c r="G14" s="10">
        <f>IF((SyntheseCommande[[#This Row],[Ref]]=""),"",COUNTIFS(Manquant[Composé],SyntheseCommande[[#This Row],[Ref]],Manquant[Type de réapprovisionnement],"CDE_HA_AR_C"))</f>
        <v>0</v>
      </c>
      <c r="H14" s="10">
        <f>IF((SyntheseCommande[[#This Row],[Ref]]=""),"",COUNTIFS(Manquant[Composé],SyntheseCommande[[#This Row],[Ref]],Manquant[Type de réapprovisionnement],"DA_LANCEE"))</f>
        <v>0</v>
      </c>
      <c r="I14" s="10">
        <f>IF((SyntheseCommande[[#This Row],[Ref]]=""),"",COUNTIFS(Manquant[Composé],SyntheseCommande[[#This Row],[Ref]],Manquant[Type de réapprovisionnement],"DA"))</f>
        <v>0</v>
      </c>
      <c r="J14" s="10">
        <f>IF((SyntheseCommande[[#This Row],[Ref]]=""),"",COUNTIFS(Manquant[Composé],SyntheseCommande[[#This Row],[Ref]],Manquant[Type de réapprovisionnement],"DEVIS"))</f>
        <v>0</v>
      </c>
      <c r="K14" s="10">
        <f>IF((SyntheseCommande[[#This Row],[Ref]]=""),"",SUM(SyntheseCommande[[#This Row],[NBR Alternatives]:[NBR DEVIS]]))</f>
        <v>4</v>
      </c>
      <c r="L14" s="10">
        <f>IF((SyntheseCommande[[#This Row],[Ref]]=""),"",COUNTIFS(Manquant[Composé],SyntheseCommande[[#This Row],[Ref]],Manquant[Critique (-25j)],TRUE))</f>
        <v>4</v>
      </c>
    </row>
    <row r="15" spans="1:12" x14ac:dyDescent="0.25">
      <c r="A15" s="8">
        <v>2</v>
      </c>
      <c r="B15" s="8" t="str">
        <f t="shared" si="0"/>
        <v>Composé2</v>
      </c>
      <c r="C15" s="8" t="str">
        <f>IF((SyntheseCommande[[#This Row],[Ref]]=""),"",(VLOOKUP(SyntheseCommande[[#This Row],[Ref]],Planning!E:F,2,FALSE)))</f>
        <v>Composé2</v>
      </c>
      <c r="D15" s="8">
        <f>IF((SyntheseCommande[[#This Row],[Ref]]=""),"",COUNTIFS(Manquant[Composé],SyntheseCommande[[#This Row],[Ref]],Manquant[Type de réapprovisionnement],"Alternatives"))</f>
        <v>0</v>
      </c>
      <c r="E15" s="10">
        <f>IF((SyntheseCommande[[#This Row],[Ref]]=""),"",COUNTIFS(Manquant[Composé],SyntheseCommande[[#This Row],[Ref]],Manquant[Type de réapprovisionnement],"CDE_HA"))</f>
        <v>1</v>
      </c>
      <c r="F15" s="10">
        <f>IF((SyntheseCommande[[#This Row],[Ref]]=""),"",COUNTIFS(Manquant[Composé],SyntheseCommande[[#This Row],[Ref]],Manquant[Type de réapprovisionnement],"CDE_HA_AR"))</f>
        <v>1</v>
      </c>
      <c r="G15" s="10">
        <f>IF((SyntheseCommande[[#This Row],[Ref]]=""),"",COUNTIFS(Manquant[Composé],SyntheseCommande[[#This Row],[Ref]],Manquant[Type de réapprovisionnement],"CDE_HA_AR_C"))</f>
        <v>0</v>
      </c>
      <c r="H15" s="10">
        <f>IF((SyntheseCommande[[#This Row],[Ref]]=""),"",COUNTIFS(Manquant[Composé],SyntheseCommande[[#This Row],[Ref]],Manquant[Type de réapprovisionnement],"DA_LANCEE"))</f>
        <v>0</v>
      </c>
      <c r="I15" s="10">
        <f>IF((SyntheseCommande[[#This Row],[Ref]]=""),"",COUNTIFS(Manquant[Composé],SyntheseCommande[[#This Row],[Ref]],Manquant[Type de réapprovisionnement],"DA"))</f>
        <v>0</v>
      </c>
      <c r="J15" s="10">
        <f>IF((SyntheseCommande[[#This Row],[Ref]]=""),"",COUNTIFS(Manquant[Composé],SyntheseCommande[[#This Row],[Ref]],Manquant[Type de réapprovisionnement],"DEVIS"))</f>
        <v>0</v>
      </c>
      <c r="K15" s="10">
        <f>IF((SyntheseCommande[[#This Row],[Ref]]=""),"",SUM(SyntheseCommande[[#This Row],[NBR Alternatives]:[NBR DEVIS]]))</f>
        <v>2</v>
      </c>
      <c r="L15" s="10">
        <f>IF((SyntheseCommande[[#This Row],[Ref]]=""),"",COUNTIFS(Manquant[Composé],SyntheseCommande[[#This Row],[Ref]],Manquant[Critique (-25j)],TRUE))</f>
        <v>2</v>
      </c>
    </row>
    <row r="16" spans="1:12" x14ac:dyDescent="0.25">
      <c r="A16" s="8">
        <v>3</v>
      </c>
      <c r="B16" s="8" t="str">
        <f t="shared" si="0"/>
        <v>Composé3</v>
      </c>
      <c r="C16" s="8" t="str">
        <f>IF((SyntheseCommande[[#This Row],[Ref]]=""),"",(VLOOKUP(SyntheseCommande[[#This Row],[Ref]],Planning!E:F,2,FALSE)))</f>
        <v>Composé3</v>
      </c>
      <c r="D16" s="8">
        <f>IF((SyntheseCommande[[#This Row],[Ref]]=""),"",COUNTIFS(Manquant[Composé],SyntheseCommande[[#This Row],[Ref]],Manquant[Type de réapprovisionnement],"Alternatives"))</f>
        <v>0</v>
      </c>
      <c r="E16" s="10">
        <f>IF((SyntheseCommande[[#This Row],[Ref]]=""),"",COUNTIFS(Manquant[Composé],SyntheseCommande[[#This Row],[Ref]],Manquant[Type de réapprovisionnement],"CDE_HA"))</f>
        <v>0</v>
      </c>
      <c r="F16" s="10">
        <f>IF((SyntheseCommande[[#This Row],[Ref]]=""),"",COUNTIFS(Manquant[Composé],SyntheseCommande[[#This Row],[Ref]],Manquant[Type de réapprovisionnement],"CDE_HA_AR"))</f>
        <v>2</v>
      </c>
      <c r="G16" s="10">
        <f>IF((SyntheseCommande[[#This Row],[Ref]]=""),"",COUNTIFS(Manquant[Composé],SyntheseCommande[[#This Row],[Ref]],Manquant[Type de réapprovisionnement],"CDE_HA_AR_C"))</f>
        <v>0</v>
      </c>
      <c r="H16" s="10">
        <f>IF((SyntheseCommande[[#This Row],[Ref]]=""),"",COUNTIFS(Manquant[Composé],SyntheseCommande[[#This Row],[Ref]],Manquant[Type de réapprovisionnement],"DA_LANCEE"))</f>
        <v>0</v>
      </c>
      <c r="I16" s="10">
        <f>IF((SyntheseCommande[[#This Row],[Ref]]=""),"",COUNTIFS(Manquant[Composé],SyntheseCommande[[#This Row],[Ref]],Manquant[Type de réapprovisionnement],"DA"))</f>
        <v>0</v>
      </c>
      <c r="J16" s="10">
        <f>IF((SyntheseCommande[[#This Row],[Ref]]=""),"",COUNTIFS(Manquant[Composé],SyntheseCommande[[#This Row],[Ref]],Manquant[Type de réapprovisionnement],"DEVIS"))</f>
        <v>0</v>
      </c>
      <c r="K16" s="10">
        <f>IF((SyntheseCommande[[#This Row],[Ref]]=""),"",SUM(SyntheseCommande[[#This Row],[NBR Alternatives]:[NBR DEVIS]]))</f>
        <v>2</v>
      </c>
      <c r="L16" s="10">
        <f>IF((SyntheseCommande[[#This Row],[Ref]]=""),"",COUNTIFS(Manquant[Composé],SyntheseCommande[[#This Row],[Ref]],Manquant[Critique (-25j)],TRUE))</f>
        <v>2</v>
      </c>
    </row>
    <row r="17" spans="1:12" x14ac:dyDescent="0.25">
      <c r="A17" s="8">
        <v>4</v>
      </c>
      <c r="B17" s="8" t="str">
        <f t="shared" si="0"/>
        <v>Composé4</v>
      </c>
      <c r="C17" s="8" t="str">
        <f>IF((SyntheseCommande[[#This Row],[Ref]]=""),"",(VLOOKUP(SyntheseCommande[[#This Row],[Ref]],Planning!E:F,2,FALSE)))</f>
        <v>Composé4</v>
      </c>
      <c r="D17" s="8">
        <f>IF((SyntheseCommande[[#This Row],[Ref]]=""),"",COUNTIFS(Manquant[Composé],SyntheseCommande[[#This Row],[Ref]],Manquant[Type de réapprovisionnement],"Alternatives"))</f>
        <v>0</v>
      </c>
      <c r="E17" s="10">
        <f>IF((SyntheseCommande[[#This Row],[Ref]]=""),"",COUNTIFS(Manquant[Composé],SyntheseCommande[[#This Row],[Ref]],Manquant[Type de réapprovisionnement],"CDE_HA"))</f>
        <v>1</v>
      </c>
      <c r="F17" s="10">
        <f>IF((SyntheseCommande[[#This Row],[Ref]]=""),"",COUNTIFS(Manquant[Composé],SyntheseCommande[[#This Row],[Ref]],Manquant[Type de réapprovisionnement],"CDE_HA_AR"))</f>
        <v>1</v>
      </c>
      <c r="G17" s="10">
        <f>IF((SyntheseCommande[[#This Row],[Ref]]=""),"",COUNTIFS(Manquant[Composé],SyntheseCommande[[#This Row],[Ref]],Manquant[Type de réapprovisionnement],"CDE_HA_AR_C"))</f>
        <v>0</v>
      </c>
      <c r="H17" s="10">
        <f>IF((SyntheseCommande[[#This Row],[Ref]]=""),"",COUNTIFS(Manquant[Composé],SyntheseCommande[[#This Row],[Ref]],Manquant[Type de réapprovisionnement],"DA_LANCEE"))</f>
        <v>0</v>
      </c>
      <c r="I17" s="10">
        <f>IF((SyntheseCommande[[#This Row],[Ref]]=""),"",COUNTIFS(Manquant[Composé],SyntheseCommande[[#This Row],[Ref]],Manquant[Type de réapprovisionnement],"DA"))</f>
        <v>0</v>
      </c>
      <c r="J17" s="10">
        <f>IF((SyntheseCommande[[#This Row],[Ref]]=""),"",COUNTIFS(Manquant[Composé],SyntheseCommande[[#This Row],[Ref]],Manquant[Type de réapprovisionnement],"DEVIS"))</f>
        <v>0</v>
      </c>
      <c r="K17" s="10">
        <f>IF((SyntheseCommande[[#This Row],[Ref]]=""),"",SUM(SyntheseCommande[[#This Row],[NBR Alternatives]:[NBR DEVIS]]))</f>
        <v>2</v>
      </c>
      <c r="L17" s="10">
        <f>IF((SyntheseCommande[[#This Row],[Ref]]=""),"",COUNTIFS(Manquant[Composé],SyntheseCommande[[#This Row],[Ref]],Manquant[Critique (-25j)],TRUE))</f>
        <v>2</v>
      </c>
    </row>
    <row r="18" spans="1:12" x14ac:dyDescent="0.25">
      <c r="A18" s="8">
        <v>5</v>
      </c>
      <c r="B18" s="8" t="str">
        <f t="shared" si="0"/>
        <v>Composé5</v>
      </c>
      <c r="C18" s="8" t="str">
        <f>IF((SyntheseCommande[[#This Row],[Ref]]=""),"",(VLOOKUP(SyntheseCommande[[#This Row],[Ref]],Planning!E:F,2,FALSE)))</f>
        <v>Composé5</v>
      </c>
      <c r="D18" s="8">
        <f>IF((SyntheseCommande[[#This Row],[Ref]]=""),"",COUNTIFS(Manquant[Composé],SyntheseCommande[[#This Row],[Ref]],Manquant[Type de réapprovisionnement],"Alternatives"))</f>
        <v>0</v>
      </c>
      <c r="E18" s="10">
        <f>IF((SyntheseCommande[[#This Row],[Ref]]=""),"",COUNTIFS(Manquant[Composé],SyntheseCommande[[#This Row],[Ref]],Manquant[Type de réapprovisionnement],"CDE_HA"))</f>
        <v>0</v>
      </c>
      <c r="F18" s="10">
        <f>IF((SyntheseCommande[[#This Row],[Ref]]=""),"",COUNTIFS(Manquant[Composé],SyntheseCommande[[#This Row],[Ref]],Manquant[Type de réapprovisionnement],"CDE_HA_AR"))</f>
        <v>1</v>
      </c>
      <c r="G18" s="10">
        <f>IF((SyntheseCommande[[#This Row],[Ref]]=""),"",COUNTIFS(Manquant[Composé],SyntheseCommande[[#This Row],[Ref]],Manquant[Type de réapprovisionnement],"CDE_HA_AR_C"))</f>
        <v>0</v>
      </c>
      <c r="H18" s="10">
        <f>IF((SyntheseCommande[[#This Row],[Ref]]=""),"",COUNTIFS(Manquant[Composé],SyntheseCommande[[#This Row],[Ref]],Manquant[Type de réapprovisionnement],"DA_LANCEE"))</f>
        <v>0</v>
      </c>
      <c r="I18" s="10">
        <f>IF((SyntheseCommande[[#This Row],[Ref]]=""),"",COUNTIFS(Manquant[Composé],SyntheseCommande[[#This Row],[Ref]],Manquant[Type de réapprovisionnement],"DA"))</f>
        <v>0</v>
      </c>
      <c r="J18" s="10">
        <f>IF((SyntheseCommande[[#This Row],[Ref]]=""),"",COUNTIFS(Manquant[Composé],SyntheseCommande[[#This Row],[Ref]],Manquant[Type de réapprovisionnement],"DEVIS"))</f>
        <v>0</v>
      </c>
      <c r="K18" s="10">
        <f>IF((SyntheseCommande[[#This Row],[Ref]]=""),"",SUM(SyntheseCommande[[#This Row],[NBR Alternatives]:[NBR DEVIS]]))</f>
        <v>1</v>
      </c>
      <c r="L18" s="10">
        <f>IF((SyntheseCommande[[#This Row],[Ref]]=""),"",COUNTIFS(Manquant[Composé],SyntheseCommande[[#This Row],[Ref]],Manquant[Critique (-25j)],TRUE))</f>
        <v>1</v>
      </c>
    </row>
    <row r="19" spans="1:12" x14ac:dyDescent="0.25">
      <c r="A19" s="8">
        <v>6</v>
      </c>
      <c r="B19" s="8" t="str">
        <f t="shared" si="0"/>
        <v/>
      </c>
      <c r="C19" s="8" t="str">
        <f>IF((SyntheseCommande[[#This Row],[Ref]]=""),"",(VLOOKUP(SyntheseCommande[[#This Row],[Ref]],Planning!E:F,2,FALSE)))</f>
        <v/>
      </c>
      <c r="D19" s="8" t="str">
        <f>IF((SyntheseCommande[[#This Row],[Ref]]=""),"",COUNTIFS(Manquant[Composé],SyntheseCommande[[#This Row],[Ref]],Manquant[Type de réapprovisionnement],"Alternatives"))</f>
        <v/>
      </c>
      <c r="E19" s="10" t="str">
        <f>IF((SyntheseCommande[[#This Row],[Ref]]=""),"",COUNTIFS(Manquant[Composé],SyntheseCommande[[#This Row],[Ref]],Manquant[Type de réapprovisionnement],"CDE_HA"))</f>
        <v/>
      </c>
      <c r="F19" s="10" t="str">
        <f>IF((SyntheseCommande[[#This Row],[Ref]]=""),"",COUNTIFS(Manquant[Composé],SyntheseCommande[[#This Row],[Ref]],Manquant[Type de réapprovisionnement],"CDE_HA_AR"))</f>
        <v/>
      </c>
      <c r="G19" s="10" t="str">
        <f>IF((SyntheseCommande[[#This Row],[Ref]]=""),"",COUNTIFS(Manquant[Composé],SyntheseCommande[[#This Row],[Ref]],Manquant[Type de réapprovisionnement],"CDE_HA_AR_C"))</f>
        <v/>
      </c>
      <c r="H19" s="10" t="str">
        <f>IF((SyntheseCommande[[#This Row],[Ref]]=""),"",COUNTIFS(Manquant[Composé],SyntheseCommande[[#This Row],[Ref]],Manquant[Type de réapprovisionnement],"DA_LANCEE"))</f>
        <v/>
      </c>
      <c r="I19" s="10" t="str">
        <f>IF((SyntheseCommande[[#This Row],[Ref]]=""),"",COUNTIFS(Manquant[Composé],SyntheseCommande[[#This Row],[Ref]],Manquant[Type de réapprovisionnement],"DA"))</f>
        <v/>
      </c>
      <c r="J19" s="10" t="str">
        <f>IF((SyntheseCommande[[#This Row],[Ref]]=""),"",COUNTIFS(Manquant[Composé],SyntheseCommande[[#This Row],[Ref]],Manquant[Type de réapprovisionnement],"DEVIS"))</f>
        <v/>
      </c>
      <c r="K19" s="10" t="str">
        <f>IF((SyntheseCommande[[#This Row],[Ref]]=""),"",SUM(SyntheseCommande[[#This Row],[NBR Alternatives]:[NBR DEVIS]]))</f>
        <v/>
      </c>
      <c r="L19" s="10" t="str">
        <f>IF((SyntheseCommande[[#This Row],[Ref]]=""),"",COUNTIFS(Manquant[Composé],SyntheseCommande[[#This Row],[Ref]],Manquant[Critique (-25j)],TRUE))</f>
        <v/>
      </c>
    </row>
    <row r="20" spans="1:12" x14ac:dyDescent="0.25">
      <c r="A20" s="8">
        <v>7</v>
      </c>
      <c r="B20" s="8" t="str">
        <f t="shared" si="0"/>
        <v/>
      </c>
      <c r="C20" s="8" t="str">
        <f>IF((SyntheseCommande[[#This Row],[Ref]]=""),"",(VLOOKUP(SyntheseCommande[[#This Row],[Ref]],Planning!E:F,2,FALSE)))</f>
        <v/>
      </c>
      <c r="D20" s="8" t="str">
        <f>IF((SyntheseCommande[[#This Row],[Ref]]=""),"",COUNTIFS(Manquant[Composé],SyntheseCommande[[#This Row],[Ref]],Manquant[Type de réapprovisionnement],"Alternatives"))</f>
        <v/>
      </c>
      <c r="E20" s="10" t="str">
        <f>IF((SyntheseCommande[[#This Row],[Ref]]=""),"",COUNTIFS(Manquant[Composé],SyntheseCommande[[#This Row],[Ref]],Manquant[Type de réapprovisionnement],"CDE_HA"))</f>
        <v/>
      </c>
      <c r="F20" s="10" t="str">
        <f>IF((SyntheseCommande[[#This Row],[Ref]]=""),"",COUNTIFS(Manquant[Composé],SyntheseCommande[[#This Row],[Ref]],Manquant[Type de réapprovisionnement],"CDE_HA_AR"))</f>
        <v/>
      </c>
      <c r="G20" s="10" t="str">
        <f>IF((SyntheseCommande[[#This Row],[Ref]]=""),"",COUNTIFS(Manquant[Composé],SyntheseCommande[[#This Row],[Ref]],Manquant[Type de réapprovisionnement],"CDE_HA_AR_C"))</f>
        <v/>
      </c>
      <c r="H20" s="10" t="str">
        <f>IF((SyntheseCommande[[#This Row],[Ref]]=""),"",COUNTIFS(Manquant[Composé],SyntheseCommande[[#This Row],[Ref]],Manquant[Type de réapprovisionnement],"DA_LANCEE"))</f>
        <v/>
      </c>
      <c r="I20" s="10" t="str">
        <f>IF((SyntheseCommande[[#This Row],[Ref]]=""),"",COUNTIFS(Manquant[Composé],SyntheseCommande[[#This Row],[Ref]],Manquant[Type de réapprovisionnement],"DA"))</f>
        <v/>
      </c>
      <c r="J20" s="10" t="str">
        <f>IF((SyntheseCommande[[#This Row],[Ref]]=""),"",COUNTIFS(Manquant[Composé],SyntheseCommande[[#This Row],[Ref]],Manquant[Type de réapprovisionnement],"DEVIS"))</f>
        <v/>
      </c>
      <c r="K20" s="10" t="str">
        <f>IF((SyntheseCommande[[#This Row],[Ref]]=""),"",SUM(SyntheseCommande[[#This Row],[NBR Alternatives]:[NBR DEVIS]]))</f>
        <v/>
      </c>
      <c r="L20" s="10" t="str">
        <f>IF((SyntheseCommande[[#This Row],[Ref]]=""),"",COUNTIFS(Manquant[Composé],SyntheseCommande[[#This Row],[Ref]],Manquant[Critique (-25j)],TRUE))</f>
        <v/>
      </c>
    </row>
    <row r="21" spans="1:12" x14ac:dyDescent="0.25">
      <c r="A21" s="8">
        <v>8</v>
      </c>
      <c r="B21" s="8" t="str">
        <f t="shared" si="0"/>
        <v/>
      </c>
      <c r="C21" s="8" t="str">
        <f>IF((SyntheseCommande[[#This Row],[Ref]]=""),"",(VLOOKUP(SyntheseCommande[[#This Row],[Ref]],Planning!E:F,2,FALSE)))</f>
        <v/>
      </c>
      <c r="D21" s="8" t="str">
        <f>IF((SyntheseCommande[[#This Row],[Ref]]=""),"",COUNTIFS(Manquant[Composé],SyntheseCommande[[#This Row],[Ref]],Manquant[Type de réapprovisionnement],"Alternatives"))</f>
        <v/>
      </c>
      <c r="E21" s="10" t="str">
        <f>IF((SyntheseCommande[[#This Row],[Ref]]=""),"",COUNTIFS(Manquant[Composé],SyntheseCommande[[#This Row],[Ref]],Manquant[Type de réapprovisionnement],"CDE_HA"))</f>
        <v/>
      </c>
      <c r="F21" s="10" t="str">
        <f>IF((SyntheseCommande[[#This Row],[Ref]]=""),"",COUNTIFS(Manquant[Composé],SyntheseCommande[[#This Row],[Ref]],Manquant[Type de réapprovisionnement],"CDE_HA_AR"))</f>
        <v/>
      </c>
      <c r="G21" s="10" t="str">
        <f>IF((SyntheseCommande[[#This Row],[Ref]]=""),"",COUNTIFS(Manquant[Composé],SyntheseCommande[[#This Row],[Ref]],Manquant[Type de réapprovisionnement],"CDE_HA_AR_C"))</f>
        <v/>
      </c>
      <c r="H21" s="10" t="str">
        <f>IF((SyntheseCommande[[#This Row],[Ref]]=""),"",COUNTIFS(Manquant[Composé],SyntheseCommande[[#This Row],[Ref]],Manquant[Type de réapprovisionnement],"DA_LANCEE"))</f>
        <v/>
      </c>
      <c r="I21" s="10" t="str">
        <f>IF((SyntheseCommande[[#This Row],[Ref]]=""),"",COUNTIFS(Manquant[Composé],SyntheseCommande[[#This Row],[Ref]],Manquant[Type de réapprovisionnement],"DA"))</f>
        <v/>
      </c>
      <c r="J21" s="10" t="str">
        <f>IF((SyntheseCommande[[#This Row],[Ref]]=""),"",COUNTIFS(Manquant[Composé],SyntheseCommande[[#This Row],[Ref]],Manquant[Type de réapprovisionnement],"DEVIS"))</f>
        <v/>
      </c>
      <c r="K21" s="10" t="str">
        <f>IF((SyntheseCommande[[#This Row],[Ref]]=""),"",SUM(SyntheseCommande[[#This Row],[NBR Alternatives]:[NBR DEVIS]]))</f>
        <v/>
      </c>
      <c r="L21" s="10" t="str">
        <f>IF((SyntheseCommande[[#This Row],[Ref]]=""),"",COUNTIFS(Manquant[Composé],SyntheseCommande[[#This Row],[Ref]],Manquant[Critique (-25j)],TRUE))</f>
        <v/>
      </c>
    </row>
    <row r="22" spans="1:12" x14ac:dyDescent="0.25">
      <c r="A22" s="8">
        <v>9</v>
      </c>
      <c r="B22" s="8" t="str">
        <f t="shared" si="0"/>
        <v/>
      </c>
      <c r="C22" s="8" t="str">
        <f>IF((SyntheseCommande[[#This Row],[Ref]]=""),"",(VLOOKUP(SyntheseCommande[[#This Row],[Ref]],Planning!E:F,2,FALSE)))</f>
        <v/>
      </c>
      <c r="D22" s="8" t="str">
        <f>IF((SyntheseCommande[[#This Row],[Ref]]=""),"",COUNTIFS(Manquant[Composé],SyntheseCommande[[#This Row],[Ref]],Manquant[Type de réapprovisionnement],"Alternatives"))</f>
        <v/>
      </c>
      <c r="E22" s="10" t="str">
        <f>IF((SyntheseCommande[[#This Row],[Ref]]=""),"",COUNTIFS(Manquant[Composé],SyntheseCommande[[#This Row],[Ref]],Manquant[Type de réapprovisionnement],"CDE_HA"))</f>
        <v/>
      </c>
      <c r="F22" s="10" t="str">
        <f>IF((SyntheseCommande[[#This Row],[Ref]]=""),"",COUNTIFS(Manquant[Composé],SyntheseCommande[[#This Row],[Ref]],Manquant[Type de réapprovisionnement],"CDE_HA_AR"))</f>
        <v/>
      </c>
      <c r="G22" s="10" t="str">
        <f>IF((SyntheseCommande[[#This Row],[Ref]]=""),"",COUNTIFS(Manquant[Composé],SyntheseCommande[[#This Row],[Ref]],Manquant[Type de réapprovisionnement],"CDE_HA_AR_C"))</f>
        <v/>
      </c>
      <c r="H22" s="10" t="str">
        <f>IF((SyntheseCommande[[#This Row],[Ref]]=""),"",COUNTIFS(Manquant[Composé],SyntheseCommande[[#This Row],[Ref]],Manquant[Type de réapprovisionnement],"DA_LANCEE"))</f>
        <v/>
      </c>
      <c r="I22" s="10" t="str">
        <f>IF((SyntheseCommande[[#This Row],[Ref]]=""),"",COUNTIFS(Manquant[Composé],SyntheseCommande[[#This Row],[Ref]],Manquant[Type de réapprovisionnement],"DA"))</f>
        <v/>
      </c>
      <c r="J22" s="10" t="str">
        <f>IF((SyntheseCommande[[#This Row],[Ref]]=""),"",COUNTIFS(Manquant[Composé],SyntheseCommande[[#This Row],[Ref]],Manquant[Type de réapprovisionnement],"DEVIS"))</f>
        <v/>
      </c>
      <c r="K22" s="10" t="str">
        <f>IF((SyntheseCommande[[#This Row],[Ref]]=""),"",SUM(SyntheseCommande[[#This Row],[NBR Alternatives]:[NBR DEVIS]]))</f>
        <v/>
      </c>
      <c r="L22" s="10" t="str">
        <f>IF((SyntheseCommande[[#This Row],[Ref]]=""),"",COUNTIFS(Manquant[Composé],SyntheseCommande[[#This Row],[Ref]],Manquant[Critique (-25j)],TRUE))</f>
        <v/>
      </c>
    </row>
    <row r="23" spans="1:12" x14ac:dyDescent="0.25">
      <c r="A23" s="8">
        <v>10</v>
      </c>
      <c r="B23" s="8" t="str">
        <f t="shared" si="0"/>
        <v/>
      </c>
      <c r="C23" s="8" t="str">
        <f>IF((SyntheseCommande[[#This Row],[Ref]]=""),"",(VLOOKUP(SyntheseCommande[[#This Row],[Ref]],Planning!E:F,2,FALSE)))</f>
        <v/>
      </c>
      <c r="D23" s="8" t="str">
        <f>IF((SyntheseCommande[[#This Row],[Ref]]=""),"",COUNTIFS(Manquant[Composé],SyntheseCommande[[#This Row],[Ref]],Manquant[Type de réapprovisionnement],"Alternatives"))</f>
        <v/>
      </c>
      <c r="E23" s="10" t="str">
        <f>IF((SyntheseCommande[[#This Row],[Ref]]=""),"",COUNTIFS(Manquant[Composé],SyntheseCommande[[#This Row],[Ref]],Manquant[Type de réapprovisionnement],"CDE_HA"))</f>
        <v/>
      </c>
      <c r="F23" s="10" t="str">
        <f>IF((SyntheseCommande[[#This Row],[Ref]]=""),"",COUNTIFS(Manquant[Composé],SyntheseCommande[[#This Row],[Ref]],Manquant[Type de réapprovisionnement],"CDE_HA_AR"))</f>
        <v/>
      </c>
      <c r="G23" s="10" t="str">
        <f>IF((SyntheseCommande[[#This Row],[Ref]]=""),"",COUNTIFS(Manquant[Composé],SyntheseCommande[[#This Row],[Ref]],Manquant[Type de réapprovisionnement],"CDE_HA_AR_C"))</f>
        <v/>
      </c>
      <c r="H23" s="10" t="str">
        <f>IF((SyntheseCommande[[#This Row],[Ref]]=""),"",COUNTIFS(Manquant[Composé],SyntheseCommande[[#This Row],[Ref]],Manquant[Type de réapprovisionnement],"DA_LANCEE"))</f>
        <v/>
      </c>
      <c r="I23" s="10" t="str">
        <f>IF((SyntheseCommande[[#This Row],[Ref]]=""),"",COUNTIFS(Manquant[Composé],SyntheseCommande[[#This Row],[Ref]],Manquant[Type de réapprovisionnement],"DA"))</f>
        <v/>
      </c>
      <c r="J23" s="10" t="str">
        <f>IF((SyntheseCommande[[#This Row],[Ref]]=""),"",COUNTIFS(Manquant[Composé],SyntheseCommande[[#This Row],[Ref]],Manquant[Type de réapprovisionnement],"DEVIS"))</f>
        <v/>
      </c>
      <c r="K23" s="10" t="str">
        <f>IF((SyntheseCommande[[#This Row],[Ref]]=""),"",SUM(SyntheseCommande[[#This Row],[NBR Alternatives]:[NBR DEVIS]]))</f>
        <v/>
      </c>
      <c r="L23" s="10" t="str">
        <f>IF((SyntheseCommande[[#This Row],[Ref]]=""),"",COUNTIFS(Manquant[Composé],SyntheseCommande[[#This Row],[Ref]],Manquant[Critique (-25j)],TRUE))</f>
        <v/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workbookViewId="0">
      <selection activeCell="A7" sqref="A7"/>
    </sheetView>
  </sheetViews>
  <sheetFormatPr baseColWidth="10" defaultRowHeight="15" x14ac:dyDescent="0.25"/>
  <cols>
    <col min="1" max="1" width="11.5703125" bestFit="1" customWidth="1"/>
    <col min="2" max="2" width="9" bestFit="1" customWidth="1"/>
    <col min="3" max="3" width="16.5703125" bestFit="1" customWidth="1"/>
    <col min="4" max="4" width="8.42578125" bestFit="1" customWidth="1"/>
    <col min="5" max="5" width="31.5703125" bestFit="1" customWidth="1"/>
    <col min="6" max="6" width="13.42578125" bestFit="1" customWidth="1"/>
    <col min="7" max="7" width="20" bestFit="1" customWidth="1"/>
    <col min="8" max="8" width="30.42578125" bestFit="1" customWidth="1"/>
    <col min="9" max="9" width="30.28515625" bestFit="1" customWidth="1"/>
    <col min="10" max="10" width="25.5703125" bestFit="1" customWidth="1"/>
    <col min="11" max="11" width="21" bestFit="1" customWidth="1"/>
    <col min="12" max="12" width="15.7109375" bestFit="1" customWidth="1"/>
    <col min="13" max="13" width="15" bestFit="1" customWidth="1"/>
    <col min="14" max="14" width="10.7109375" bestFit="1" customWidth="1"/>
    <col min="15" max="15" width="15" bestFit="1" customWidth="1"/>
    <col min="16" max="16" width="15.5703125" bestFit="1" customWidth="1"/>
    <col min="17" max="18" width="17.28515625" bestFit="1" customWidth="1"/>
    <col min="19" max="20" width="21" bestFit="1" customWidth="1"/>
  </cols>
  <sheetData>
    <row r="1" spans="1:20" x14ac:dyDescent="0.25">
      <c r="A1" s="1" t="s">
        <v>2</v>
      </c>
      <c r="B1" s="1" t="s">
        <v>3</v>
      </c>
      <c r="C1" s="1" t="s">
        <v>0</v>
      </c>
      <c r="D1" s="1" t="s">
        <v>1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1" t="s">
        <v>10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43</v>
      </c>
      <c r="R1" t="s">
        <v>44</v>
      </c>
      <c r="S1" t="s">
        <v>45</v>
      </c>
      <c r="T1" t="s">
        <v>46</v>
      </c>
    </row>
    <row r="2" spans="1:20" ht="45" x14ac:dyDescent="0.25">
      <c r="A2" s="1" t="s">
        <v>56</v>
      </c>
      <c r="B2" s="1" t="s">
        <v>61</v>
      </c>
      <c r="C2" s="2">
        <v>43571</v>
      </c>
      <c r="D2" s="1"/>
      <c r="E2" s="1"/>
      <c r="F2" s="1" t="s">
        <v>66</v>
      </c>
      <c r="G2" s="1" t="s">
        <v>66</v>
      </c>
      <c r="H2" s="1" t="s">
        <v>11</v>
      </c>
      <c r="I2" s="2">
        <v>43613</v>
      </c>
      <c r="J2" s="2"/>
      <c r="K2" s="1" t="s">
        <v>12</v>
      </c>
      <c r="L2" s="2">
        <f>IF(ISNUMBER(Manquant2[[#This Row],[Date de réapprovisionnement]]),Manquant2[[#This Row],[Date de réapprovisionnement]],"")</f>
        <v>43613</v>
      </c>
      <c r="M2" s="2" t="str">
        <f>IF(ISNUMBER(Manquant2[[#This Row],[Date de réappro estimée]]),Manquant2[[#This Row],[Date de réappro estimée]],"")</f>
        <v/>
      </c>
      <c r="N2" s="2">
        <f>IF(Manquant2[[#This Row],[DATE Réappro]]="",(IF(Manquant2[[#This Row],[Date Estimée]]="","NO DATE",Manquant2[[#This Row],[Date Estimée]])),Manquant2[[#This Row],[DATE Réappro]])</f>
        <v>43613</v>
      </c>
      <c r="O2" s="2">
        <v>43282</v>
      </c>
      <c r="P2" s="1" t="b">
        <f>IF(Manquant2[[#This Row],[Besoin Client]]="","NO DATE CLIENT",(IF(Manquant2[[#This Row],[DATE]]="NO DATE",TRUE,(IF(Manquant2[[#This Row],[Besoin Client]]-Manquant2[[#This Row],[DATE]]&lt;25,TRUE,"")))))</f>
        <v>1</v>
      </c>
      <c r="Q2" s="2" t="str">
        <f>IF(ISTEXT(Manquant2[[#This Row],[Date de réapprovisionnement]]),Manquant2[[#This Row],[Date de réapprovisionnement]],"")</f>
        <v/>
      </c>
      <c r="R2" s="2" t="str">
        <f>IF(ISTEXT(Manquant2[[#This Row],[Date de réappro estimée]]),Manquant2[[#This Row],[Date de réappro estimée]],"")</f>
        <v/>
      </c>
      <c r="S2" s="2" t="str">
        <f>IF((Manquant2[Commentaires]=""),"",Manquant2[Commentaires])</f>
        <v/>
      </c>
      <c r="T2" s="13" t="str">
        <f>Manquant2[Commentaires1]&amp;CHAR(10)&amp;Manquant2[Commentaires2]&amp;CHAR(10)&amp;Manquant2[Commentaires3]</f>
        <v xml:space="preserve">
</v>
      </c>
    </row>
    <row r="3" spans="1:20" ht="45" x14ac:dyDescent="0.25">
      <c r="A3" s="1" t="s">
        <v>56</v>
      </c>
      <c r="B3" s="1" t="s">
        <v>61</v>
      </c>
      <c r="C3" s="2">
        <v>43571</v>
      </c>
      <c r="D3" s="1"/>
      <c r="E3" s="1"/>
      <c r="F3" s="1" t="s">
        <v>67</v>
      </c>
      <c r="G3" s="1" t="s">
        <v>67</v>
      </c>
      <c r="H3" s="1" t="s">
        <v>11</v>
      </c>
      <c r="I3" s="2">
        <v>43585</v>
      </c>
      <c r="J3" s="2"/>
      <c r="K3" s="1" t="s">
        <v>12</v>
      </c>
      <c r="L3" s="2">
        <f>IF(ISNUMBER(Manquant2[[#This Row],[Date de réapprovisionnement]]),Manquant2[[#This Row],[Date de réapprovisionnement]],"")</f>
        <v>43585</v>
      </c>
      <c r="M3" s="2" t="str">
        <f>IF(ISNUMBER(Manquant2[[#This Row],[Date de réappro estimée]]),Manquant2[[#This Row],[Date de réappro estimée]],"")</f>
        <v/>
      </c>
      <c r="N3" s="2">
        <f>IF(Manquant2[[#This Row],[DATE Réappro]]="",(IF(Manquant2[[#This Row],[Date Estimée]]="","NO DATE",Manquant2[[#This Row],[Date Estimée]])),Manquant2[[#This Row],[DATE Réappro]])</f>
        <v>43585</v>
      </c>
      <c r="O3" s="2">
        <v>43282</v>
      </c>
      <c r="P3" s="1" t="b">
        <f>IF(Manquant2[[#This Row],[Besoin Client]]="","NO DATE CLIENT",(IF(Manquant2[[#This Row],[DATE]]="NO DATE",TRUE,(IF(Manquant2[[#This Row],[Besoin Client]]-Manquant2[[#This Row],[DATE]]&lt;25,TRUE,"")))))</f>
        <v>1</v>
      </c>
      <c r="Q3" s="2" t="str">
        <f>IF(ISTEXT(Manquant2[[#This Row],[Date de réapprovisionnement]]),Manquant2[[#This Row],[Date de réapprovisionnement]],"")</f>
        <v/>
      </c>
      <c r="R3" s="2" t="str">
        <f>IF(ISTEXT(Manquant2[[#This Row],[Date de réappro estimée]]),Manquant2[[#This Row],[Date de réappro estimée]],"")</f>
        <v/>
      </c>
      <c r="S3" s="2" t="str">
        <f>IF((Manquant2[Commentaires]=""),"",Manquant2[Commentaires])</f>
        <v/>
      </c>
      <c r="T3" s="13" t="str">
        <f>Manquant2[Commentaires1]&amp;CHAR(10)&amp;Manquant2[Commentaires2]&amp;CHAR(10)&amp;Manquant2[Commentaires3]</f>
        <v xml:space="preserve">
</v>
      </c>
    </row>
    <row r="4" spans="1:20" ht="45" x14ac:dyDescent="0.25">
      <c r="A4" s="1" t="s">
        <v>56</v>
      </c>
      <c r="B4" s="1" t="s">
        <v>61</v>
      </c>
      <c r="C4" s="2">
        <v>43571</v>
      </c>
      <c r="D4" s="1"/>
      <c r="E4" s="1"/>
      <c r="F4" s="1" t="s">
        <v>68</v>
      </c>
      <c r="G4" s="1" t="s">
        <v>68</v>
      </c>
      <c r="H4" s="1" t="s">
        <v>11</v>
      </c>
      <c r="I4" s="2">
        <v>43627</v>
      </c>
      <c r="J4" s="2"/>
      <c r="K4" s="1" t="s">
        <v>12</v>
      </c>
      <c r="L4" s="2">
        <f>IF(ISNUMBER(Manquant2[[#This Row],[Date de réapprovisionnement]]),Manquant2[[#This Row],[Date de réapprovisionnement]],"")</f>
        <v>43627</v>
      </c>
      <c r="M4" s="2" t="str">
        <f>IF(ISNUMBER(Manquant2[[#This Row],[Date de réappro estimée]]),Manquant2[[#This Row],[Date de réappro estimée]],"")</f>
        <v/>
      </c>
      <c r="N4" s="2">
        <f>IF(Manquant2[[#This Row],[DATE Réappro]]="",(IF(Manquant2[[#This Row],[Date Estimée]]="","NO DATE",Manquant2[[#This Row],[Date Estimée]])),Manquant2[[#This Row],[DATE Réappro]])</f>
        <v>43627</v>
      </c>
      <c r="O4" s="2">
        <v>43282</v>
      </c>
      <c r="P4" s="1" t="b">
        <f>IF(Manquant2[[#This Row],[Besoin Client]]="","NO DATE CLIENT",(IF(Manquant2[[#This Row],[DATE]]="NO DATE",TRUE,(IF(Manquant2[[#This Row],[Besoin Client]]-Manquant2[[#This Row],[DATE]]&lt;25,TRUE,"")))))</f>
        <v>1</v>
      </c>
      <c r="Q4" s="2" t="str">
        <f>IF(ISTEXT(Manquant2[[#This Row],[Date de réapprovisionnement]]),Manquant2[[#This Row],[Date de réapprovisionnement]],"")</f>
        <v/>
      </c>
      <c r="R4" s="2" t="str">
        <f>IF(ISTEXT(Manquant2[[#This Row],[Date de réappro estimée]]),Manquant2[[#This Row],[Date de réappro estimée]],"")</f>
        <v/>
      </c>
      <c r="S4" s="2" t="str">
        <f>IF((Manquant2[Commentaires]=""),"",Manquant2[Commentaires])</f>
        <v/>
      </c>
      <c r="T4" s="13" t="str">
        <f>Manquant2[Commentaires1]&amp;CHAR(10)&amp;Manquant2[Commentaires2]&amp;CHAR(10)&amp;Manquant2[Commentaires3]</f>
        <v xml:space="preserve">
</v>
      </c>
    </row>
    <row r="5" spans="1:20" ht="45" x14ac:dyDescent="0.25">
      <c r="A5" s="1" t="s">
        <v>56</v>
      </c>
      <c r="B5" s="1" t="s">
        <v>61</v>
      </c>
      <c r="C5" s="2">
        <v>43595</v>
      </c>
      <c r="D5" s="1"/>
      <c r="E5" s="1"/>
      <c r="F5" s="1" t="s">
        <v>69</v>
      </c>
      <c r="G5" s="1" t="s">
        <v>69</v>
      </c>
      <c r="H5" s="1" t="s">
        <v>11</v>
      </c>
      <c r="I5" s="2">
        <v>43619</v>
      </c>
      <c r="J5" s="2"/>
      <c r="K5" s="1" t="s">
        <v>12</v>
      </c>
      <c r="L5" s="2">
        <f>IF(ISNUMBER(Manquant2[[#This Row],[Date de réapprovisionnement]]),Manquant2[[#This Row],[Date de réapprovisionnement]],"")</f>
        <v>43619</v>
      </c>
      <c r="M5" s="2" t="str">
        <f>IF(ISNUMBER(Manquant2[[#This Row],[Date de réappro estimée]]),Manquant2[[#This Row],[Date de réappro estimée]],"")</f>
        <v/>
      </c>
      <c r="N5" s="2">
        <f>IF(Manquant2[[#This Row],[DATE Réappro]]="",(IF(Manquant2[[#This Row],[Date Estimée]]="","NO DATE",Manquant2[[#This Row],[Date Estimée]])),Manquant2[[#This Row],[DATE Réappro]])</f>
        <v>43619</v>
      </c>
      <c r="O5" s="2">
        <v>43282</v>
      </c>
      <c r="P5" s="1" t="b">
        <f>IF(Manquant2[[#This Row],[Besoin Client]]="","NO DATE CLIENT",(IF(Manquant2[[#This Row],[DATE]]="NO DATE",TRUE,(IF(Manquant2[[#This Row],[Besoin Client]]-Manquant2[[#This Row],[DATE]]&lt;25,TRUE,"")))))</f>
        <v>1</v>
      </c>
      <c r="Q5" s="2" t="str">
        <f>IF(ISTEXT(Manquant2[[#This Row],[Date de réapprovisionnement]]),Manquant2[[#This Row],[Date de réapprovisionnement]],"")</f>
        <v/>
      </c>
      <c r="R5" s="2" t="str">
        <f>IF(ISTEXT(Manquant2[[#This Row],[Date de réappro estimée]]),Manquant2[[#This Row],[Date de réappro estimée]],"")</f>
        <v/>
      </c>
      <c r="S5" s="2" t="str">
        <f>IF((Manquant2[Commentaires]=""),"",Manquant2[Commentaires])</f>
        <v/>
      </c>
      <c r="T5" s="13" t="str">
        <f>Manquant2[Commentaires1]&amp;CHAR(10)&amp;Manquant2[Commentaires2]&amp;CHAR(10)&amp;Manquant2[Commentaires3]</f>
        <v xml:space="preserve">
</v>
      </c>
    </row>
    <row r="6" spans="1:20" ht="45" x14ac:dyDescent="0.25">
      <c r="A6" s="1" t="s">
        <v>57</v>
      </c>
      <c r="B6" s="1" t="s">
        <v>62</v>
      </c>
      <c r="C6" s="2">
        <v>43595</v>
      </c>
      <c r="D6" s="1"/>
      <c r="E6" s="1"/>
      <c r="F6" s="1" t="s">
        <v>70</v>
      </c>
      <c r="G6" s="1" t="s">
        <v>70</v>
      </c>
      <c r="H6" s="1" t="s">
        <v>11</v>
      </c>
      <c r="I6" s="2">
        <v>43629</v>
      </c>
      <c r="J6" s="2"/>
      <c r="K6" s="1" t="s">
        <v>12</v>
      </c>
      <c r="L6" s="2">
        <f>IF(ISNUMBER(Manquant2[[#This Row],[Date de réapprovisionnement]]),Manquant2[[#This Row],[Date de réapprovisionnement]],"")</f>
        <v>43629</v>
      </c>
      <c r="M6" s="2" t="str">
        <f>IF(ISNUMBER(Manquant2[[#This Row],[Date de réappro estimée]]),Manquant2[[#This Row],[Date de réappro estimée]],"")</f>
        <v/>
      </c>
      <c r="N6" s="2">
        <f>IF(Manquant2[[#This Row],[DATE Réappro]]="",(IF(Manquant2[[#This Row],[Date Estimée]]="","NO DATE",Manquant2[[#This Row],[Date Estimée]])),Manquant2[[#This Row],[DATE Réappro]])</f>
        <v>43629</v>
      </c>
      <c r="O6" s="2">
        <v>43282</v>
      </c>
      <c r="P6" s="1" t="b">
        <f>IF(Manquant2[[#This Row],[Besoin Client]]="","NO DATE CLIENT",(IF(Manquant2[[#This Row],[DATE]]="NO DATE",TRUE,(IF(Manquant2[[#This Row],[Besoin Client]]-Manquant2[[#This Row],[DATE]]&lt;25,TRUE,"")))))</f>
        <v>1</v>
      </c>
      <c r="Q6" s="2" t="str">
        <f>IF(ISTEXT(Manquant2[[#This Row],[Date de réapprovisionnement]]),Manquant2[[#This Row],[Date de réapprovisionnement]],"")</f>
        <v/>
      </c>
      <c r="R6" s="2" t="str">
        <f>IF(ISTEXT(Manquant2[[#This Row],[Date de réappro estimée]]),Manquant2[[#This Row],[Date de réappro estimée]],"")</f>
        <v/>
      </c>
      <c r="S6" s="2" t="str">
        <f>IF((Manquant2[Commentaires]=""),"",Manquant2[Commentaires])</f>
        <v/>
      </c>
      <c r="T6" s="13" t="str">
        <f>Manquant2[Commentaires1]&amp;CHAR(10)&amp;Manquant2[Commentaires2]&amp;CHAR(10)&amp;Manquant2[Commentaires3]</f>
        <v xml:space="preserve">
</v>
      </c>
    </row>
    <row r="7" spans="1:20" ht="45" x14ac:dyDescent="0.25">
      <c r="A7" s="1" t="s">
        <v>57</v>
      </c>
      <c r="B7" s="1" t="s">
        <v>62</v>
      </c>
      <c r="C7" s="2">
        <v>43595</v>
      </c>
      <c r="D7" s="1"/>
      <c r="E7" s="1"/>
      <c r="F7" s="1" t="s">
        <v>71</v>
      </c>
      <c r="G7" s="1" t="s">
        <v>71</v>
      </c>
      <c r="H7" s="1" t="s">
        <v>13</v>
      </c>
      <c r="I7" s="2" t="s">
        <v>14</v>
      </c>
      <c r="J7" s="2">
        <v>43588</v>
      </c>
      <c r="K7" s="1" t="s">
        <v>77</v>
      </c>
      <c r="L7" s="2" t="str">
        <f>IF(ISNUMBER(Manquant2[[#This Row],[Date de réapprovisionnement]]),Manquant2[[#This Row],[Date de réapprovisionnement]],"")</f>
        <v/>
      </c>
      <c r="M7" s="2">
        <f>IF(ISNUMBER(Manquant2[[#This Row],[Date de réappro estimée]]),Manquant2[[#This Row],[Date de réappro estimée]],"")</f>
        <v>43588</v>
      </c>
      <c r="N7" s="2">
        <f>IF(Manquant2[[#This Row],[DATE Réappro]]="",(IF(Manquant2[[#This Row],[Date Estimée]]="","NO DATE",Manquant2[[#This Row],[Date Estimée]])),Manquant2[[#This Row],[DATE Réappro]])</f>
        <v>43588</v>
      </c>
      <c r="O7" s="2">
        <v>43282</v>
      </c>
      <c r="P7" s="1" t="b">
        <f>IF(Manquant2[[#This Row],[Besoin Client]]="","NO DATE CLIENT",(IF(Manquant2[[#This Row],[DATE]]="NO DATE",TRUE,(IF(Manquant2[[#This Row],[Besoin Client]]-Manquant2[[#This Row],[DATE]]&lt;25,TRUE,"")))))</f>
        <v>1</v>
      </c>
      <c r="Q7" s="2" t="str">
        <f>IF(ISTEXT(Manquant2[[#This Row],[Date de réapprovisionnement]]),Manquant2[[#This Row],[Date de réapprovisionnement]],"")</f>
        <v>Attente AR</v>
      </c>
      <c r="R7" s="2" t="str">
        <f>IF(ISTEXT(Manquant2[[#This Row],[Date de réappro estimée]]),Manquant2[[#This Row],[Date de réappro estimée]],"")</f>
        <v/>
      </c>
      <c r="S7" s="2" t="str">
        <f>IF((Manquant2[Commentaires]=""),"",Manquant2[Commentaires])</f>
        <v>Commande en attente</v>
      </c>
      <c r="T7" s="13" t="str">
        <f>Manquant2[Commentaires1]&amp;CHAR(10)&amp;Manquant2[Commentaires2]&amp;CHAR(10)&amp;Manquant2[Commentaires3]</f>
        <v>Attente AR
Commande en attente</v>
      </c>
    </row>
    <row r="8" spans="1:20" ht="45" x14ac:dyDescent="0.25">
      <c r="A8" s="1" t="s">
        <v>58</v>
      </c>
      <c r="B8" s="1" t="s">
        <v>63</v>
      </c>
      <c r="C8" s="2">
        <v>43600</v>
      </c>
      <c r="D8" s="1"/>
      <c r="E8" s="1"/>
      <c r="F8" s="1" t="s">
        <v>72</v>
      </c>
      <c r="G8" s="1" t="s">
        <v>72</v>
      </c>
      <c r="H8" s="1" t="s">
        <v>11</v>
      </c>
      <c r="I8" s="2">
        <v>43584</v>
      </c>
      <c r="J8" s="2"/>
      <c r="K8" s="1" t="s">
        <v>12</v>
      </c>
      <c r="L8" s="2">
        <f>IF(ISNUMBER(Manquant2[[#This Row],[Date de réapprovisionnement]]),Manquant2[[#This Row],[Date de réapprovisionnement]],"")</f>
        <v>43584</v>
      </c>
      <c r="M8" s="2" t="str">
        <f>IF(ISNUMBER(Manquant2[[#This Row],[Date de réappro estimée]]),Manquant2[[#This Row],[Date de réappro estimée]],"")</f>
        <v/>
      </c>
      <c r="N8" s="2">
        <f>IF(Manquant2[[#This Row],[DATE Réappro]]="",(IF(Manquant2[[#This Row],[Date Estimée]]="","NO DATE",Manquant2[[#This Row],[Date Estimée]])),Manquant2[[#This Row],[DATE Réappro]])</f>
        <v>43584</v>
      </c>
      <c r="O8" s="2">
        <v>43282</v>
      </c>
      <c r="P8" s="1" t="b">
        <f>IF(Manquant2[[#This Row],[Besoin Client]]="","NO DATE CLIENT",(IF(Manquant2[[#This Row],[DATE]]="NO DATE",TRUE,(IF(Manquant2[[#This Row],[Besoin Client]]-Manquant2[[#This Row],[DATE]]&lt;25,TRUE,"")))))</f>
        <v>1</v>
      </c>
      <c r="Q8" s="2" t="str">
        <f>IF(ISTEXT(Manquant2[[#This Row],[Date de réapprovisionnement]]),Manquant2[[#This Row],[Date de réapprovisionnement]],"")</f>
        <v/>
      </c>
      <c r="R8" s="2" t="str">
        <f>IF(ISTEXT(Manquant2[[#This Row],[Date de réappro estimée]]),Manquant2[[#This Row],[Date de réappro estimée]],"")</f>
        <v/>
      </c>
      <c r="S8" s="2" t="str">
        <f>IF((Manquant2[Commentaires]=""),"",Manquant2[Commentaires])</f>
        <v/>
      </c>
      <c r="T8" s="13" t="str">
        <f>Manquant2[Commentaires1]&amp;CHAR(10)&amp;Manquant2[Commentaires2]&amp;CHAR(10)&amp;Manquant2[Commentaires3]</f>
        <v xml:space="preserve">
</v>
      </c>
    </row>
    <row r="9" spans="1:20" ht="45" x14ac:dyDescent="0.25">
      <c r="A9" s="1" t="s">
        <v>58</v>
      </c>
      <c r="B9" s="1" t="s">
        <v>63</v>
      </c>
      <c r="C9" s="2">
        <v>43595</v>
      </c>
      <c r="D9" s="1"/>
      <c r="E9" s="1"/>
      <c r="F9" s="1" t="s">
        <v>73</v>
      </c>
      <c r="G9" s="1" t="s">
        <v>73</v>
      </c>
      <c r="H9" s="1" t="s">
        <v>11</v>
      </c>
      <c r="I9" s="2">
        <v>43600</v>
      </c>
      <c r="J9" s="2"/>
      <c r="K9" s="1" t="s">
        <v>12</v>
      </c>
      <c r="L9" s="2">
        <f>IF(ISNUMBER(Manquant2[[#This Row],[Date de réapprovisionnement]]),Manquant2[[#This Row],[Date de réapprovisionnement]],"")</f>
        <v>43600</v>
      </c>
      <c r="M9" s="2" t="str">
        <f>IF(ISNUMBER(Manquant2[[#This Row],[Date de réappro estimée]]),Manquant2[[#This Row],[Date de réappro estimée]],"")</f>
        <v/>
      </c>
      <c r="N9" s="2">
        <f>IF(Manquant2[[#This Row],[DATE Réappro]]="",(IF(Manquant2[[#This Row],[Date Estimée]]="","NO DATE",Manquant2[[#This Row],[Date Estimée]])),Manquant2[[#This Row],[DATE Réappro]])</f>
        <v>43600</v>
      </c>
      <c r="O9" s="2">
        <v>43282</v>
      </c>
      <c r="P9" s="1" t="b">
        <f>IF(Manquant2[[#This Row],[Besoin Client]]="","NO DATE CLIENT",(IF(Manquant2[[#This Row],[DATE]]="NO DATE",TRUE,(IF(Manquant2[[#This Row],[Besoin Client]]-Manquant2[[#This Row],[DATE]]&lt;25,TRUE,"")))))</f>
        <v>1</v>
      </c>
      <c r="Q9" s="2" t="str">
        <f>IF(ISTEXT(Manquant2[[#This Row],[Date de réapprovisionnement]]),Manquant2[[#This Row],[Date de réapprovisionnement]],"")</f>
        <v/>
      </c>
      <c r="R9" s="2" t="str">
        <f>IF(ISTEXT(Manquant2[[#This Row],[Date de réappro estimée]]),Manquant2[[#This Row],[Date de réappro estimée]],"")</f>
        <v/>
      </c>
      <c r="S9" s="2" t="str">
        <f>IF((Manquant2[Commentaires]=""),"",Manquant2[Commentaires])</f>
        <v/>
      </c>
      <c r="T9" s="13" t="str">
        <f>Manquant2[Commentaires1]&amp;CHAR(10)&amp;Manquant2[Commentaires2]&amp;CHAR(10)&amp;Manquant2[Commentaires3]</f>
        <v xml:space="preserve">
</v>
      </c>
    </row>
    <row r="10" spans="1:20" ht="45" x14ac:dyDescent="0.25">
      <c r="A10" s="1" t="s">
        <v>59</v>
      </c>
      <c r="B10" s="1" t="s">
        <v>64</v>
      </c>
      <c r="C10" s="2">
        <v>43600</v>
      </c>
      <c r="D10" s="1"/>
      <c r="E10" s="1"/>
      <c r="F10" s="1" t="s">
        <v>74</v>
      </c>
      <c r="G10" s="1" t="s">
        <v>74</v>
      </c>
      <c r="H10" s="1" t="s">
        <v>13</v>
      </c>
      <c r="I10" s="2" t="s">
        <v>14</v>
      </c>
      <c r="J10" s="2">
        <v>43610</v>
      </c>
      <c r="K10" s="1" t="s">
        <v>77</v>
      </c>
      <c r="L10" s="2" t="str">
        <f>IF(ISNUMBER(Manquant2[[#This Row],[Date de réapprovisionnement]]),Manquant2[[#This Row],[Date de réapprovisionnement]],"")</f>
        <v/>
      </c>
      <c r="M10" s="2">
        <f>IF(ISNUMBER(Manquant2[[#This Row],[Date de réappro estimée]]),Manquant2[[#This Row],[Date de réappro estimée]],"")</f>
        <v>43610</v>
      </c>
      <c r="N10" s="2">
        <f>IF(Manquant2[[#This Row],[DATE Réappro]]="",(IF(Manquant2[[#This Row],[Date Estimée]]="","NO DATE",Manquant2[[#This Row],[Date Estimée]])),Manquant2[[#This Row],[DATE Réappro]])</f>
        <v>43610</v>
      </c>
      <c r="O10" s="2">
        <v>43282</v>
      </c>
      <c r="P10" s="1" t="b">
        <f>IF(Manquant2[[#This Row],[Besoin Client]]="","NO DATE CLIENT",(IF(Manquant2[[#This Row],[DATE]]="NO DATE",TRUE,(IF(Manquant2[[#This Row],[Besoin Client]]-Manquant2[[#This Row],[DATE]]&lt;25,TRUE,"")))))</f>
        <v>1</v>
      </c>
      <c r="Q10" s="2" t="str">
        <f>IF(ISTEXT(Manquant2[[#This Row],[Date de réapprovisionnement]]),Manquant2[[#This Row],[Date de réapprovisionnement]],"")</f>
        <v>Attente AR</v>
      </c>
      <c r="R10" s="2" t="str">
        <f>IF(ISTEXT(Manquant2[[#This Row],[Date de réappro estimée]]),Manquant2[[#This Row],[Date de réappro estimée]],"")</f>
        <v/>
      </c>
      <c r="S10" s="2" t="str">
        <f>IF((Manquant2[Commentaires]=""),"",Manquant2[Commentaires])</f>
        <v>Commande en attente</v>
      </c>
      <c r="T10" s="13" t="str">
        <f>Manquant2[Commentaires1]&amp;CHAR(10)&amp;Manquant2[Commentaires2]&amp;CHAR(10)&amp;Manquant2[Commentaires3]</f>
        <v>Attente AR
Commande en attente</v>
      </c>
    </row>
    <row r="11" spans="1:20" ht="45" x14ac:dyDescent="0.25">
      <c r="A11" s="1" t="s">
        <v>59</v>
      </c>
      <c r="B11" s="1" t="s">
        <v>64</v>
      </c>
      <c r="C11" s="2">
        <v>43595</v>
      </c>
      <c r="D11" s="1"/>
      <c r="E11" s="1"/>
      <c r="F11" s="1" t="s">
        <v>75</v>
      </c>
      <c r="G11" s="1" t="s">
        <v>75</v>
      </c>
      <c r="H11" s="1" t="s">
        <v>11</v>
      </c>
      <c r="I11" s="2">
        <v>43584</v>
      </c>
      <c r="J11" s="2"/>
      <c r="K11" s="1" t="s">
        <v>12</v>
      </c>
      <c r="L11" s="2">
        <f>IF(ISNUMBER(Manquant2[[#This Row],[Date de réapprovisionnement]]),Manquant2[[#This Row],[Date de réapprovisionnement]],"")</f>
        <v>43584</v>
      </c>
      <c r="M11" s="2" t="str">
        <f>IF(ISNUMBER(Manquant2[[#This Row],[Date de réappro estimée]]),Manquant2[[#This Row],[Date de réappro estimée]],"")</f>
        <v/>
      </c>
      <c r="N11" s="2">
        <f>IF(Manquant2[[#This Row],[DATE Réappro]]="",(IF(Manquant2[[#This Row],[Date Estimée]]="","NO DATE",Manquant2[[#This Row],[Date Estimée]])),Manquant2[[#This Row],[DATE Réappro]])</f>
        <v>43584</v>
      </c>
      <c r="O11" s="2">
        <v>43282</v>
      </c>
      <c r="P11" s="1" t="b">
        <f>IF(Manquant2[[#This Row],[Besoin Client]]="","NO DATE CLIENT",(IF(Manquant2[[#This Row],[DATE]]="NO DATE",TRUE,(IF(Manquant2[[#This Row],[Besoin Client]]-Manquant2[[#This Row],[DATE]]&lt;25,TRUE,"")))))</f>
        <v>1</v>
      </c>
      <c r="Q11" s="2" t="str">
        <f>IF(ISTEXT(Manquant2[[#This Row],[Date de réapprovisionnement]]),Manquant2[[#This Row],[Date de réapprovisionnement]],"")</f>
        <v/>
      </c>
      <c r="R11" s="2" t="str">
        <f>IF(ISTEXT(Manquant2[[#This Row],[Date de réappro estimée]]),Manquant2[[#This Row],[Date de réappro estimée]],"")</f>
        <v/>
      </c>
      <c r="S11" s="2" t="str">
        <f>IF((Manquant2[Commentaires]=""),"",Manquant2[Commentaires])</f>
        <v/>
      </c>
      <c r="T11" s="13" t="str">
        <f>Manquant2[Commentaires1]&amp;CHAR(10)&amp;Manquant2[Commentaires2]&amp;CHAR(10)&amp;Manquant2[Commentaires3]</f>
        <v xml:space="preserve">
</v>
      </c>
    </row>
    <row r="12" spans="1:20" ht="45" x14ac:dyDescent="0.25">
      <c r="A12" s="1" t="s">
        <v>60</v>
      </c>
      <c r="B12" s="1" t="s">
        <v>65</v>
      </c>
      <c r="C12" s="2">
        <v>43600</v>
      </c>
      <c r="D12" s="1"/>
      <c r="E12" s="1"/>
      <c r="F12" s="1" t="s">
        <v>76</v>
      </c>
      <c r="G12" s="1" t="s">
        <v>76</v>
      </c>
      <c r="H12" s="1" t="s">
        <v>11</v>
      </c>
      <c r="I12" s="2">
        <v>43598</v>
      </c>
      <c r="J12" s="2"/>
      <c r="K12" s="1" t="s">
        <v>12</v>
      </c>
      <c r="L12" s="2">
        <f>IF(ISNUMBER(Manquant2[[#This Row],[Date de réapprovisionnement]]),Manquant2[[#This Row],[Date de réapprovisionnement]],"")</f>
        <v>43598</v>
      </c>
      <c r="M12" s="2" t="str">
        <f>IF(ISNUMBER(Manquant2[[#This Row],[Date de réappro estimée]]),Manquant2[[#This Row],[Date de réappro estimée]],"")</f>
        <v/>
      </c>
      <c r="N12" s="2">
        <f>IF(Manquant2[[#This Row],[DATE Réappro]]="",(IF(Manquant2[[#This Row],[Date Estimée]]="","NO DATE",Manquant2[[#This Row],[Date Estimée]])),Manquant2[[#This Row],[DATE Réappro]])</f>
        <v>43598</v>
      </c>
      <c r="O12" s="2">
        <v>43282</v>
      </c>
      <c r="P12" s="1" t="b">
        <f>IF(Manquant2[[#This Row],[Besoin Client]]="","NO DATE CLIENT",(IF(Manquant2[[#This Row],[DATE]]="NO DATE",TRUE,(IF(Manquant2[[#This Row],[Besoin Client]]-Manquant2[[#This Row],[DATE]]&lt;25,TRUE,"")))))</f>
        <v>1</v>
      </c>
      <c r="Q12" s="2" t="str">
        <f>IF(ISTEXT(Manquant2[[#This Row],[Date de réapprovisionnement]]),Manquant2[[#This Row],[Date de réapprovisionnement]],"")</f>
        <v/>
      </c>
      <c r="R12" s="2" t="str">
        <f>IF(ISTEXT(Manquant2[[#This Row],[Date de réappro estimée]]),Manquant2[[#This Row],[Date de réappro estimée]],"")</f>
        <v/>
      </c>
      <c r="S12" s="2" t="str">
        <f>IF((Manquant2[Commentaires]=""),"",Manquant2[Commentaires])</f>
        <v/>
      </c>
      <c r="T12" s="13" t="str">
        <f>Manquant2[Commentaires1]&amp;CHAR(10)&amp;Manquant2[Commentaires2]&amp;CHAR(10)&amp;Manquant2[Commentaires3]</f>
        <v xml:space="preserve">
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AB7F7A-7964-4B91-BAE3-3A8AC2F5EF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Manquant</vt:lpstr>
      <vt:lpstr>Planning</vt:lpstr>
      <vt:lpstr>NBR Composants</vt:lpstr>
      <vt:lpstr>Synthese</vt:lpstr>
      <vt:lpstr>Manquant REF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Mael</dc:creator>
  <cp:lastModifiedBy>ROBIN Mael</cp:lastModifiedBy>
  <dcterms:created xsi:type="dcterms:W3CDTF">2019-04-29T07:05:11Z</dcterms:created>
  <dcterms:modified xsi:type="dcterms:W3CDTF">2019-04-29T11:00:34Z</dcterms:modified>
</cp:coreProperties>
</file>