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6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1610" tabRatio="794" activeTab="7"/>
  </bookViews>
  <sheets>
    <sheet name="Data (2)" sheetId="34" r:id="rId1"/>
    <sheet name="donnees d entree" sheetId="1" r:id="rId2"/>
    <sheet name="Data" sheetId="16" r:id="rId3"/>
    <sheet name="PARETO Articles " sheetId="32" r:id="rId4"/>
    <sheet name="PARETO Familles" sheetId="31" r:id="rId5"/>
    <sheet name="PARETO Frns par Entonnoirs" sheetId="33" r:id="rId6"/>
    <sheet name="A faire" sheetId="28" r:id="rId7"/>
    <sheet name="Feuil2" sheetId="36" r:id="rId8"/>
    <sheet name="Feuil1" sheetId="35" r:id="rId9"/>
  </sheets>
  <definedNames>
    <definedName name="_xlnm._FilterDatabase" localSheetId="1" hidden="1">'donnees d entree'!$A$11:$G$59</definedName>
    <definedName name="DonnéesExternes_1" localSheetId="8" hidden="1">Feuil1!$A$1:$P$145</definedName>
  </definedNames>
  <calcPr calcId="162913" calcOnSave="0"/>
  <pivotCaches>
    <pivotCache cacheId="17" r:id="rId10"/>
    <pivotCache cacheId="18" r:id="rId11"/>
  </pivotCaches>
</workbook>
</file>

<file path=xl/calcChain.xml><?xml version="1.0" encoding="utf-8"?>
<calcChain xmlns="http://schemas.openxmlformats.org/spreadsheetml/2006/main">
  <c r="H49" i="34" l="1"/>
  <c r="A49" i="34"/>
  <c r="H48" i="34"/>
  <c r="A48" i="34"/>
  <c r="H47" i="34"/>
  <c r="A47" i="34"/>
  <c r="H46" i="34"/>
  <c r="A46" i="34"/>
  <c r="H45" i="34"/>
  <c r="A45" i="34"/>
  <c r="H44" i="34"/>
  <c r="A44" i="34"/>
  <c r="H43" i="34"/>
  <c r="A43" i="34"/>
  <c r="H42" i="34"/>
  <c r="A42" i="34"/>
  <c r="H41" i="34"/>
  <c r="A41" i="34"/>
  <c r="H40" i="34"/>
  <c r="A40" i="34"/>
  <c r="H39" i="34"/>
  <c r="A39" i="34"/>
  <c r="H38" i="34"/>
  <c r="A38" i="34"/>
  <c r="H37" i="34"/>
  <c r="A37" i="34"/>
  <c r="H36" i="34"/>
  <c r="A36" i="34"/>
  <c r="H35" i="34"/>
  <c r="A35" i="34"/>
  <c r="H34" i="34"/>
  <c r="A34" i="34"/>
  <c r="H33" i="34"/>
  <c r="A33" i="34"/>
  <c r="H32" i="34"/>
  <c r="A32" i="34"/>
  <c r="H31" i="34"/>
  <c r="A31" i="34"/>
  <c r="H30" i="34"/>
  <c r="A30" i="34"/>
  <c r="H29" i="34"/>
  <c r="A29" i="34"/>
  <c r="H28" i="34"/>
  <c r="A28" i="34"/>
  <c r="H27" i="34"/>
  <c r="A27" i="34"/>
  <c r="H26" i="34"/>
  <c r="A26" i="34"/>
  <c r="H25" i="34"/>
  <c r="A25" i="34"/>
  <c r="H24" i="34"/>
  <c r="A24" i="34"/>
  <c r="H23" i="34"/>
  <c r="A23" i="34"/>
  <c r="H22" i="34"/>
  <c r="A22" i="34"/>
  <c r="H21" i="34"/>
  <c r="A21" i="34"/>
  <c r="H20" i="34"/>
  <c r="A20" i="34"/>
  <c r="H19" i="34"/>
  <c r="A19" i="34"/>
  <c r="Q18" i="34"/>
  <c r="H18" i="34"/>
  <c r="A18" i="34"/>
  <c r="Q17" i="34"/>
  <c r="H17" i="34"/>
  <c r="A17" i="34"/>
  <c r="H16" i="34"/>
  <c r="Q16" i="34" s="1"/>
  <c r="A16" i="34"/>
  <c r="H15" i="34"/>
  <c r="Q15" i="34" s="1"/>
  <c r="A15" i="34"/>
  <c r="Q14" i="34"/>
  <c r="H14" i="34"/>
  <c r="A14" i="34"/>
  <c r="H13" i="34"/>
  <c r="Q13" i="34" s="1"/>
  <c r="A13" i="34"/>
  <c r="O12" i="34"/>
  <c r="M12" i="34"/>
  <c r="H12" i="34"/>
  <c r="A12" i="34"/>
  <c r="Q11" i="34"/>
  <c r="O11" i="34"/>
  <c r="M11" i="34"/>
  <c r="H11" i="34"/>
  <c r="A11" i="34"/>
  <c r="O10" i="34"/>
  <c r="M10" i="34"/>
  <c r="H10" i="34"/>
  <c r="A10" i="34"/>
  <c r="Q9" i="34"/>
  <c r="O9" i="34"/>
  <c r="M9" i="34"/>
  <c r="H9" i="34"/>
  <c r="A9" i="34"/>
  <c r="H8" i="34"/>
  <c r="Q8" i="34" s="1"/>
  <c r="A8" i="34"/>
  <c r="Q7" i="34"/>
  <c r="M7" i="34"/>
  <c r="H7" i="34"/>
  <c r="O7" i="34" s="1"/>
  <c r="A7" i="34"/>
  <c r="Q6" i="34"/>
  <c r="O6" i="34"/>
  <c r="M6" i="34"/>
  <c r="H6" i="34"/>
  <c r="A6" i="34"/>
  <c r="H5" i="34"/>
  <c r="Q5" i="34" s="1"/>
  <c r="A5" i="34"/>
  <c r="Q4" i="34"/>
  <c r="H4" i="34"/>
  <c r="M4" i="34" s="1"/>
  <c r="A4" i="34"/>
  <c r="H3" i="34"/>
  <c r="O3" i="34" s="1"/>
  <c r="A3" i="34"/>
  <c r="O2" i="34"/>
  <c r="H2" i="34"/>
  <c r="H50" i="34" s="1"/>
  <c r="A2" i="34"/>
  <c r="A2" i="16"/>
  <c r="O4" i="34" l="1"/>
  <c r="M3" i="34"/>
  <c r="M8" i="34"/>
  <c r="Q3" i="34"/>
  <c r="M5" i="34"/>
  <c r="O8" i="34"/>
  <c r="M2" i="34"/>
  <c r="O5" i="34"/>
  <c r="Q2" i="34"/>
  <c r="I22" i="34"/>
  <c r="I6" i="34"/>
  <c r="I18" i="34"/>
  <c r="I3" i="34"/>
  <c r="I26" i="34"/>
  <c r="I34" i="34"/>
  <c r="I42" i="34"/>
  <c r="I46" i="34"/>
  <c r="I13" i="34"/>
  <c r="I30" i="34"/>
  <c r="I38" i="34"/>
  <c r="I8" i="34"/>
  <c r="I16" i="34"/>
  <c r="I5" i="34"/>
  <c r="I23" i="34"/>
  <c r="I27" i="34"/>
  <c r="I31" i="34"/>
  <c r="I35" i="34"/>
  <c r="I39" i="34"/>
  <c r="I43" i="34"/>
  <c r="I47" i="34"/>
  <c r="I12" i="34"/>
  <c r="I11" i="34"/>
  <c r="I10" i="34"/>
  <c r="I14" i="34"/>
  <c r="I19" i="34"/>
  <c r="I7" i="34"/>
  <c r="I20" i="34"/>
  <c r="I24" i="34"/>
  <c r="I28" i="34"/>
  <c r="I32" i="34"/>
  <c r="I36" i="34"/>
  <c r="I40" i="34"/>
  <c r="I44" i="34"/>
  <c r="I48" i="34"/>
  <c r="I17" i="34"/>
  <c r="I4" i="34"/>
  <c r="I9" i="34"/>
  <c r="I15" i="34"/>
  <c r="I21" i="34"/>
  <c r="I25" i="34"/>
  <c r="I29" i="34"/>
  <c r="I33" i="34"/>
  <c r="I37" i="34"/>
  <c r="I41" i="34"/>
  <c r="I45" i="34"/>
  <c r="I49" i="34"/>
  <c r="M20" i="34"/>
  <c r="M21" i="34"/>
  <c r="M22" i="34"/>
  <c r="M23" i="34"/>
  <c r="M24" i="34"/>
  <c r="M25" i="34"/>
  <c r="M26" i="34"/>
  <c r="M27" i="34"/>
  <c r="M28" i="34"/>
  <c r="M29" i="34"/>
  <c r="M30" i="34"/>
  <c r="M31" i="34"/>
  <c r="M32" i="34"/>
  <c r="M33" i="34"/>
  <c r="M34" i="34"/>
  <c r="M35" i="34"/>
  <c r="M36" i="34"/>
  <c r="M37" i="34"/>
  <c r="M38" i="34"/>
  <c r="M39" i="34"/>
  <c r="M40" i="34"/>
  <c r="M41" i="34"/>
  <c r="M42" i="34"/>
  <c r="M43" i="34"/>
  <c r="M44" i="34"/>
  <c r="M45" i="34"/>
  <c r="M46" i="34"/>
  <c r="M47" i="34"/>
  <c r="M48" i="34"/>
  <c r="M49" i="34"/>
  <c r="J2" i="34"/>
  <c r="M13" i="34"/>
  <c r="M14" i="34"/>
  <c r="M15" i="34"/>
  <c r="M16" i="34"/>
  <c r="M17" i="34"/>
  <c r="M18" i="34"/>
  <c r="M19" i="34"/>
  <c r="O20" i="34"/>
  <c r="O21" i="34"/>
  <c r="O22" i="34"/>
  <c r="O23" i="34"/>
  <c r="O24" i="34"/>
  <c r="O25" i="34"/>
  <c r="O26" i="34"/>
  <c r="O27" i="34"/>
  <c r="O28" i="34"/>
  <c r="O29" i="34"/>
  <c r="O30" i="34"/>
  <c r="O31" i="34"/>
  <c r="O32" i="34"/>
  <c r="O33" i="34"/>
  <c r="O34" i="34"/>
  <c r="O35" i="34"/>
  <c r="O36" i="34"/>
  <c r="O37" i="34"/>
  <c r="O38" i="34"/>
  <c r="O39" i="34"/>
  <c r="O40" i="34"/>
  <c r="O41" i="34"/>
  <c r="O42" i="34"/>
  <c r="O43" i="34"/>
  <c r="O44" i="34"/>
  <c r="O45" i="34"/>
  <c r="O46" i="34"/>
  <c r="O47" i="34"/>
  <c r="O48" i="34"/>
  <c r="O49" i="34"/>
  <c r="I2" i="34"/>
  <c r="O13" i="34"/>
  <c r="O14" i="34"/>
  <c r="O15" i="34"/>
  <c r="O16" i="34"/>
  <c r="O17" i="34"/>
  <c r="O18" i="34"/>
  <c r="O19" i="34"/>
  <c r="Q20" i="34"/>
  <c r="Q21" i="34"/>
  <c r="Q22" i="34"/>
  <c r="Q23" i="34"/>
  <c r="Q24" i="34"/>
  <c r="Q25" i="34"/>
  <c r="Q26" i="34"/>
  <c r="Q27" i="34"/>
  <c r="Q28" i="34"/>
  <c r="Q29" i="34"/>
  <c r="Q30" i="34"/>
  <c r="Q31" i="34"/>
  <c r="Q32" i="34"/>
  <c r="Q33" i="34"/>
  <c r="Q34" i="34"/>
  <c r="Q35" i="34"/>
  <c r="Q36" i="34"/>
  <c r="Q37" i="34"/>
  <c r="Q38" i="34"/>
  <c r="Q39" i="34"/>
  <c r="Q40" i="34"/>
  <c r="Q41" i="34"/>
  <c r="Q42" i="34"/>
  <c r="Q43" i="34"/>
  <c r="Q44" i="34"/>
  <c r="Q45" i="34"/>
  <c r="Q46" i="34"/>
  <c r="Q47" i="34"/>
  <c r="Q48" i="34"/>
  <c r="Q49" i="34"/>
  <c r="H50" i="16"/>
  <c r="I10" i="16" s="1"/>
  <c r="Q49" i="16"/>
  <c r="H49" i="16"/>
  <c r="M49" i="16" s="1"/>
  <c r="A49" i="16"/>
  <c r="Q48" i="16"/>
  <c r="H48" i="16"/>
  <c r="M48" i="16" s="1"/>
  <c r="A48" i="16"/>
  <c r="Q47" i="16"/>
  <c r="H47" i="16"/>
  <c r="M47" i="16" s="1"/>
  <c r="A47" i="16"/>
  <c r="Q46" i="16"/>
  <c r="H46" i="16"/>
  <c r="M46" i="16" s="1"/>
  <c r="A46" i="16"/>
  <c r="Q45" i="16"/>
  <c r="H45" i="16"/>
  <c r="M45" i="16" s="1"/>
  <c r="A45" i="16"/>
  <c r="Q44" i="16"/>
  <c r="H44" i="16"/>
  <c r="M44" i="16" s="1"/>
  <c r="A44" i="16"/>
  <c r="Q43" i="16"/>
  <c r="H43" i="16"/>
  <c r="M43" i="16" s="1"/>
  <c r="A43" i="16"/>
  <c r="Q42" i="16"/>
  <c r="H42" i="16"/>
  <c r="M42" i="16" s="1"/>
  <c r="A42" i="16"/>
  <c r="Q41" i="16"/>
  <c r="H41" i="16"/>
  <c r="M41" i="16" s="1"/>
  <c r="A41" i="16"/>
  <c r="Q40" i="16"/>
  <c r="H40" i="16"/>
  <c r="M40" i="16" s="1"/>
  <c r="A40" i="16"/>
  <c r="Q39" i="16"/>
  <c r="H39" i="16"/>
  <c r="M39" i="16" s="1"/>
  <c r="A39" i="16"/>
  <c r="Q38" i="16"/>
  <c r="H38" i="16"/>
  <c r="M38" i="16" s="1"/>
  <c r="A38" i="16"/>
  <c r="Q37" i="16"/>
  <c r="H37" i="16"/>
  <c r="M37" i="16" s="1"/>
  <c r="A37" i="16"/>
  <c r="Q36" i="16"/>
  <c r="H36" i="16"/>
  <c r="M36" i="16" s="1"/>
  <c r="A36" i="16"/>
  <c r="Q35" i="16"/>
  <c r="H35" i="16"/>
  <c r="M35" i="16" s="1"/>
  <c r="A35" i="16"/>
  <c r="Q34" i="16"/>
  <c r="H34" i="16"/>
  <c r="M34" i="16" s="1"/>
  <c r="A34" i="16"/>
  <c r="Q33" i="16"/>
  <c r="H33" i="16"/>
  <c r="M33" i="16" s="1"/>
  <c r="A33" i="16"/>
  <c r="Q32" i="16"/>
  <c r="H32" i="16"/>
  <c r="M32" i="16" s="1"/>
  <c r="A32" i="16"/>
  <c r="Q31" i="16"/>
  <c r="H31" i="16"/>
  <c r="M31" i="16" s="1"/>
  <c r="A31" i="16"/>
  <c r="Q30" i="16"/>
  <c r="H30" i="16"/>
  <c r="M30" i="16" s="1"/>
  <c r="A30" i="16"/>
  <c r="Q29" i="16"/>
  <c r="H29" i="16"/>
  <c r="M29" i="16" s="1"/>
  <c r="A29" i="16"/>
  <c r="Q28" i="16"/>
  <c r="H28" i="16"/>
  <c r="M28" i="16" s="1"/>
  <c r="A28" i="16"/>
  <c r="Q27" i="16"/>
  <c r="H27" i="16"/>
  <c r="M27" i="16" s="1"/>
  <c r="A27" i="16"/>
  <c r="Q26" i="16"/>
  <c r="H26" i="16"/>
  <c r="M26" i="16" s="1"/>
  <c r="A26" i="16"/>
  <c r="Q25" i="16"/>
  <c r="H25" i="16"/>
  <c r="M25" i="16" s="1"/>
  <c r="A25" i="16"/>
  <c r="Q24" i="16"/>
  <c r="H24" i="16"/>
  <c r="M24" i="16" s="1"/>
  <c r="A24" i="16"/>
  <c r="Q23" i="16"/>
  <c r="H23" i="16"/>
  <c r="M23" i="16" s="1"/>
  <c r="A23" i="16"/>
  <c r="Q22" i="16"/>
  <c r="H22" i="16"/>
  <c r="M22" i="16" s="1"/>
  <c r="A22" i="16"/>
  <c r="Q21" i="16"/>
  <c r="H21" i="16"/>
  <c r="M21" i="16" s="1"/>
  <c r="A21" i="16"/>
  <c r="Q20" i="16"/>
  <c r="H20" i="16"/>
  <c r="M20" i="16" s="1"/>
  <c r="A20" i="16"/>
  <c r="O19" i="16"/>
  <c r="H19" i="16"/>
  <c r="I19" i="16" s="1"/>
  <c r="A19" i="16"/>
  <c r="Q18" i="16"/>
  <c r="O18" i="16"/>
  <c r="H18" i="16"/>
  <c r="I18" i="16" s="1"/>
  <c r="A18" i="16"/>
  <c r="Q17" i="16"/>
  <c r="O17" i="16"/>
  <c r="H17" i="16"/>
  <c r="I17" i="16" s="1"/>
  <c r="A17" i="16"/>
  <c r="Q16" i="16"/>
  <c r="O16" i="16"/>
  <c r="H16" i="16"/>
  <c r="I16" i="16" s="1"/>
  <c r="A16" i="16"/>
  <c r="Q15" i="16"/>
  <c r="O15" i="16"/>
  <c r="H15" i="16"/>
  <c r="I15" i="16" s="1"/>
  <c r="A15" i="16"/>
  <c r="Q14" i="16"/>
  <c r="O14" i="16"/>
  <c r="H14" i="16"/>
  <c r="I14" i="16" s="1"/>
  <c r="A14" i="16"/>
  <c r="Q13" i="16"/>
  <c r="O13" i="16"/>
  <c r="H13" i="16"/>
  <c r="I13" i="16" s="1"/>
  <c r="A13" i="16"/>
  <c r="O12" i="16"/>
  <c r="M12" i="16"/>
  <c r="H12" i="16"/>
  <c r="A12" i="16"/>
  <c r="Q11" i="16"/>
  <c r="O11" i="16"/>
  <c r="M11" i="16"/>
  <c r="H11" i="16"/>
  <c r="A11" i="16"/>
  <c r="O10" i="16"/>
  <c r="M10" i="16"/>
  <c r="H10" i="16"/>
  <c r="A10" i="16"/>
  <c r="Q9" i="16"/>
  <c r="O9" i="16"/>
  <c r="M9" i="16"/>
  <c r="H9" i="16"/>
  <c r="A9" i="16"/>
  <c r="Q8" i="16"/>
  <c r="O8" i="16"/>
  <c r="M8" i="16"/>
  <c r="H8" i="16"/>
  <c r="A8" i="16"/>
  <c r="Q7" i="16"/>
  <c r="O7" i="16"/>
  <c r="M7" i="16"/>
  <c r="H7" i="16"/>
  <c r="A7" i="16"/>
  <c r="Q6" i="16"/>
  <c r="O6" i="16"/>
  <c r="M6" i="16"/>
  <c r="H6" i="16"/>
  <c r="A6" i="16"/>
  <c r="Q5" i="16"/>
  <c r="O5" i="16"/>
  <c r="M5" i="16"/>
  <c r="H5" i="16"/>
  <c r="A5" i="16"/>
  <c r="Q4" i="16"/>
  <c r="O4" i="16"/>
  <c r="M4" i="16"/>
  <c r="H4" i="16"/>
  <c r="A4" i="16"/>
  <c r="Q3" i="16"/>
  <c r="O3" i="16"/>
  <c r="M3" i="16"/>
  <c r="H3" i="16"/>
  <c r="A3" i="16"/>
  <c r="Q2" i="16"/>
  <c r="Q50" i="16" s="1"/>
  <c r="O2" i="16"/>
  <c r="M2" i="16"/>
  <c r="H2" i="16"/>
  <c r="J2" i="16" s="1"/>
  <c r="K2" i="16" l="1"/>
  <c r="J3" i="16"/>
  <c r="I3" i="16"/>
  <c r="I5" i="16"/>
  <c r="I7" i="16"/>
  <c r="I9" i="16"/>
  <c r="M13" i="16"/>
  <c r="M14" i="16"/>
  <c r="M15" i="16"/>
  <c r="M50" i="16" s="1"/>
  <c r="M16" i="16"/>
  <c r="M17" i="16"/>
  <c r="M18" i="16"/>
  <c r="M19" i="16"/>
  <c r="O20" i="16"/>
  <c r="O50" i="16" s="1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Q50" i="34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11" i="16"/>
  <c r="I12" i="16"/>
  <c r="O50" i="34"/>
  <c r="I2" i="16"/>
  <c r="I4" i="16"/>
  <c r="I6" i="16"/>
  <c r="I8" i="16"/>
  <c r="M50" i="34"/>
  <c r="K2" i="34"/>
  <c r="J3" i="34"/>
  <c r="K3" i="16" l="1"/>
  <c r="J4" i="16"/>
  <c r="K3" i="34"/>
  <c r="J4" i="34"/>
  <c r="J5" i="16" l="1"/>
  <c r="K4" i="16"/>
  <c r="K4" i="34"/>
  <c r="J5" i="34"/>
  <c r="K5" i="16" l="1"/>
  <c r="J6" i="16"/>
  <c r="K5" i="34"/>
  <c r="J6" i="34"/>
  <c r="K6" i="16" l="1"/>
  <c r="J7" i="16"/>
  <c r="K6" i="34"/>
  <c r="J7" i="34"/>
  <c r="K7" i="16" l="1"/>
  <c r="J8" i="16"/>
  <c r="K7" i="34"/>
  <c r="J8" i="34"/>
  <c r="K8" i="16" l="1"/>
  <c r="J9" i="16"/>
  <c r="K8" i="34"/>
  <c r="J9" i="34"/>
  <c r="J10" i="16" l="1"/>
  <c r="K9" i="16"/>
  <c r="K9" i="34"/>
  <c r="J10" i="34"/>
  <c r="K10" i="16" l="1"/>
  <c r="J11" i="16"/>
  <c r="K10" i="34"/>
  <c r="J11" i="34"/>
  <c r="J12" i="16" l="1"/>
  <c r="K11" i="16"/>
  <c r="K11" i="34"/>
  <c r="J12" i="34"/>
  <c r="J13" i="16" l="1"/>
  <c r="K12" i="16"/>
  <c r="K12" i="34"/>
  <c r="J13" i="34"/>
  <c r="J14" i="16" l="1"/>
  <c r="K13" i="16"/>
  <c r="K13" i="34"/>
  <c r="J14" i="34"/>
  <c r="K14" i="16" l="1"/>
  <c r="J15" i="16"/>
  <c r="K14" i="34"/>
  <c r="J15" i="34"/>
  <c r="K15" i="16" l="1"/>
  <c r="J16" i="16"/>
  <c r="K15" i="34"/>
  <c r="J16" i="34"/>
  <c r="J17" i="16" l="1"/>
  <c r="K16" i="16"/>
  <c r="K16" i="34"/>
  <c r="J17" i="34"/>
  <c r="K17" i="16" l="1"/>
  <c r="J18" i="16"/>
  <c r="K17" i="34"/>
  <c r="J18" i="34"/>
  <c r="K18" i="16" l="1"/>
  <c r="J19" i="16"/>
  <c r="K18" i="34"/>
  <c r="J19" i="34"/>
  <c r="K19" i="16" l="1"/>
  <c r="J20" i="16"/>
  <c r="J20" i="34"/>
  <c r="K19" i="34"/>
  <c r="K20" i="16" l="1"/>
  <c r="J21" i="16"/>
  <c r="J21" i="34"/>
  <c r="K20" i="34"/>
  <c r="K21" i="16" l="1"/>
  <c r="J22" i="16"/>
  <c r="J22" i="34"/>
  <c r="K21" i="34"/>
  <c r="K22" i="16" l="1"/>
  <c r="J23" i="16"/>
  <c r="J23" i="34"/>
  <c r="K22" i="34"/>
  <c r="K23" i="16" l="1"/>
  <c r="J24" i="16"/>
  <c r="J24" i="34"/>
  <c r="K23" i="34"/>
  <c r="K24" i="16" l="1"/>
  <c r="J25" i="16"/>
  <c r="J25" i="34"/>
  <c r="K24" i="34"/>
  <c r="K25" i="16" l="1"/>
  <c r="J26" i="16"/>
  <c r="J26" i="34"/>
  <c r="K25" i="34"/>
  <c r="K26" i="16" l="1"/>
  <c r="J27" i="16"/>
  <c r="J27" i="34"/>
  <c r="K26" i="34"/>
  <c r="K27" i="16" l="1"/>
  <c r="J28" i="16"/>
  <c r="J28" i="34"/>
  <c r="K27" i="34"/>
  <c r="K28" i="16" l="1"/>
  <c r="J29" i="16"/>
  <c r="J29" i="34"/>
  <c r="K28" i="34"/>
  <c r="K29" i="16" l="1"/>
  <c r="J30" i="16"/>
  <c r="J30" i="34"/>
  <c r="K29" i="34"/>
  <c r="K30" i="16" l="1"/>
  <c r="J31" i="16"/>
  <c r="J31" i="34"/>
  <c r="K30" i="34"/>
  <c r="K31" i="16" l="1"/>
  <c r="J32" i="16"/>
  <c r="J32" i="34"/>
  <c r="K31" i="34"/>
  <c r="K32" i="16" l="1"/>
  <c r="J33" i="16"/>
  <c r="J33" i="34"/>
  <c r="K32" i="34"/>
  <c r="K33" i="16" l="1"/>
  <c r="J34" i="16"/>
  <c r="J34" i="34"/>
  <c r="K33" i="34"/>
  <c r="K34" i="16" l="1"/>
  <c r="J35" i="16"/>
  <c r="J35" i="34"/>
  <c r="K34" i="34"/>
  <c r="K35" i="16" l="1"/>
  <c r="J36" i="16"/>
  <c r="J36" i="34"/>
  <c r="K35" i="34"/>
  <c r="K36" i="16" l="1"/>
  <c r="J37" i="16"/>
  <c r="J37" i="34"/>
  <c r="K36" i="34"/>
  <c r="K37" i="16" l="1"/>
  <c r="J38" i="16"/>
  <c r="J38" i="34"/>
  <c r="K37" i="34"/>
  <c r="K38" i="16" l="1"/>
  <c r="J39" i="16"/>
  <c r="J39" i="34"/>
  <c r="K38" i="34"/>
  <c r="K39" i="16" l="1"/>
  <c r="J40" i="16"/>
  <c r="J40" i="34"/>
  <c r="K39" i="34"/>
  <c r="K40" i="16" l="1"/>
  <c r="J41" i="16"/>
  <c r="J41" i="34"/>
  <c r="K40" i="34"/>
  <c r="K41" i="16" l="1"/>
  <c r="J42" i="16"/>
  <c r="J42" i="34"/>
  <c r="K41" i="34"/>
  <c r="K42" i="16" l="1"/>
  <c r="J43" i="16"/>
  <c r="J43" i="34"/>
  <c r="K42" i="34"/>
  <c r="K43" i="16" l="1"/>
  <c r="J44" i="16"/>
  <c r="J44" i="34"/>
  <c r="K43" i="34"/>
  <c r="K44" i="16" l="1"/>
  <c r="J45" i="16"/>
  <c r="J45" i="34"/>
  <c r="K44" i="34"/>
  <c r="K45" i="16" l="1"/>
  <c r="J46" i="16"/>
  <c r="J46" i="34"/>
  <c r="K45" i="34"/>
  <c r="K46" i="16" l="1"/>
  <c r="J47" i="16"/>
  <c r="J47" i="34"/>
  <c r="K46" i="34"/>
  <c r="K47" i="16" l="1"/>
  <c r="J48" i="16"/>
  <c r="J48" i="34"/>
  <c r="K47" i="34"/>
  <c r="K48" i="16" l="1"/>
  <c r="J49" i="16"/>
  <c r="K49" i="16" s="1"/>
  <c r="J49" i="34"/>
  <c r="K49" i="34" s="1"/>
  <c r="K48" i="34"/>
</calcChain>
</file>

<file path=xl/connections.xml><?xml version="1.0" encoding="utf-8"?>
<connections xmlns="http://schemas.openxmlformats.org/spreadsheetml/2006/main">
  <connection id="1" keepAlive="1" name="Requête - Tableau13" description="Connexion à la requête « Tableau13 » dans le classeur." type="5" refreshedVersion="6" background="1" saveData="1">
    <dbPr connection="Provider=Microsoft.Mashup.OleDb.1;Data Source=$Workbook$;Location=Tableau13;Extended Properties=&quot;&quot;" command="SELECT * FROM [Tableau13]"/>
  </connection>
</connections>
</file>

<file path=xl/sharedStrings.xml><?xml version="1.0" encoding="utf-8"?>
<sst xmlns="http://schemas.openxmlformats.org/spreadsheetml/2006/main" count="1532" uniqueCount="101">
  <si>
    <t>Vernis Synthétique</t>
  </si>
  <si>
    <t>Tôles G 1000 x 2000 x 5</t>
  </si>
  <si>
    <t>Tube acier 6m50 x 60</t>
  </si>
  <si>
    <t>Acétylène</t>
  </si>
  <si>
    <t>Oxygène</t>
  </si>
  <si>
    <t>Planche Sipo 12 x</t>
  </si>
  <si>
    <t>Fer béton 12 m,0=4</t>
  </si>
  <si>
    <t>Cornières 6m30 x 30 x 5</t>
  </si>
  <si>
    <t>Tube acier 6m15 x 21</t>
  </si>
  <si>
    <t>Tube acier 6m26 x 34</t>
  </si>
  <si>
    <t>Chaudière Fioul</t>
  </si>
  <si>
    <t>Tôles G 1000 x 2000 x 2</t>
  </si>
  <si>
    <t>Robinet 1/420</t>
  </si>
  <si>
    <t>Tube acier 6m20 x 27</t>
  </si>
  <si>
    <t>Armoire Toilette</t>
  </si>
  <si>
    <t>Fer béton 12 m,0=6</t>
  </si>
  <si>
    <t>Pied de lavabo</t>
  </si>
  <si>
    <t>Huile de lin</t>
  </si>
  <si>
    <t>Receveur Douche</t>
  </si>
  <si>
    <t>Tôles G 1000 x 2000 x 4</t>
  </si>
  <si>
    <t>Fer béton 12,0=5</t>
  </si>
  <si>
    <t>Bidet</t>
  </si>
  <si>
    <t>Plaque Polystyrène</t>
  </si>
  <si>
    <t>Convecteur</t>
  </si>
  <si>
    <t xml:space="preserve">Planche chêne </t>
  </si>
  <si>
    <t>Vanne 20 x 27</t>
  </si>
  <si>
    <t>Baignoire</t>
  </si>
  <si>
    <t>Planche Sapin 10 x</t>
  </si>
  <si>
    <t>Lavabo</t>
  </si>
  <si>
    <t>Radiateur Fonte</t>
  </si>
  <si>
    <t>Lave-vaisselle</t>
  </si>
  <si>
    <t>Vanne 26 x 34</t>
  </si>
  <si>
    <t>Vanne fonte 50 x 60</t>
  </si>
  <si>
    <t>Vanne  15 x 21</t>
  </si>
  <si>
    <t>Bastaings</t>
  </si>
  <si>
    <t>Contreplaque de 4</t>
  </si>
  <si>
    <t>Contreplaqué de 2</t>
  </si>
  <si>
    <t>Cuisinière</t>
  </si>
  <si>
    <t>Plaque Laine verre</t>
  </si>
  <si>
    <t>Lave-Linge</t>
  </si>
  <si>
    <t>Chaudière Gaz</t>
  </si>
  <si>
    <t>Plaque Novopan 15 mm</t>
  </si>
  <si>
    <t>Plaque Novopan 10 mm</t>
  </si>
  <si>
    <t>Peinture Vinyl</t>
  </si>
  <si>
    <t>Rouleaux laine verre</t>
  </si>
  <si>
    <t>Peinture Glycero</t>
  </si>
  <si>
    <t>Peinture Glycéro Blanche</t>
  </si>
  <si>
    <t>Quantité</t>
  </si>
  <si>
    <t>Prix Unitaire H.T.</t>
  </si>
  <si>
    <t>Désignation</t>
  </si>
  <si>
    <t>Références</t>
  </si>
  <si>
    <t>F1</t>
  </si>
  <si>
    <t>F2</t>
  </si>
  <si>
    <t>F3</t>
  </si>
  <si>
    <t>F4</t>
  </si>
  <si>
    <t>Peinture Sous Marine marque XYLOPRO</t>
  </si>
  <si>
    <t>F5</t>
  </si>
  <si>
    <t>F6</t>
  </si>
  <si>
    <t>F7</t>
  </si>
  <si>
    <t>Prix unitaire</t>
  </si>
  <si>
    <t>CA Annuel</t>
  </si>
  <si>
    <t>CA Cumulé</t>
  </si>
  <si>
    <t>Étiquettes de lignes</t>
  </si>
  <si>
    <t>Total général</t>
  </si>
  <si>
    <t>Somme de CA Annuel</t>
  </si>
  <si>
    <t>% du CA cumulé</t>
  </si>
  <si>
    <t>N°</t>
  </si>
  <si>
    <t>%</t>
  </si>
  <si>
    <t>% du CA / Prdt</t>
  </si>
  <si>
    <t>Famille</t>
  </si>
  <si>
    <t>PARETO : Par Article</t>
  </si>
  <si>
    <t>Somme de % du CA / Prdt</t>
  </si>
  <si>
    <t>PARETO : Par Famille</t>
  </si>
  <si>
    <t>Têtes de Pareto</t>
  </si>
  <si>
    <t xml:space="preserve">% CA cumulé </t>
  </si>
  <si>
    <t>% CA Annuel</t>
  </si>
  <si>
    <t xml:space="preserve"> % du CA</t>
  </si>
  <si>
    <t>% CA Frns Antonoir 3 cumulé</t>
  </si>
  <si>
    <t xml:space="preserve">Graphabule </t>
  </si>
  <si>
    <t>Frns Entonnoir 1</t>
  </si>
  <si>
    <t>CA Frns Entonnoir 1</t>
  </si>
  <si>
    <t>Frns Entonnoir 2</t>
  </si>
  <si>
    <t>CA Frns Entonnoir 2</t>
  </si>
  <si>
    <t>Frns Entonnoir 3</t>
  </si>
  <si>
    <t>CA Frns Entonnoir 3</t>
  </si>
  <si>
    <t>PARETO : PAR FOURNISSEURS DE L'ENTONNOIR 3</t>
  </si>
  <si>
    <t>PARETO : PAR FOURNISSEURS DE L'ENTONNOIR 2</t>
  </si>
  <si>
    <t>PARETO : PAR FOURNISSEURS DE L'ENTONNOIR 1</t>
  </si>
  <si>
    <t>% CA Frns entonnoir 2 cumulé</t>
  </si>
  <si>
    <t>% CA Frns entonnoir 1 cumulé</t>
  </si>
  <si>
    <t>% CA Frns entonnoir 1</t>
  </si>
  <si>
    <t>% CA Frns entonnoir 2</t>
  </si>
  <si>
    <t>% CA Frns entonnoir 3</t>
  </si>
  <si>
    <t>Somme de CA Frns entonnoir 3</t>
  </si>
  <si>
    <t>Somme de CA Frns entonnoir 2</t>
  </si>
  <si>
    <t>Somme de CA Frns entonnoir 1</t>
  </si>
  <si>
    <t>Four1</t>
  </si>
  <si>
    <t>Four2</t>
  </si>
  <si>
    <t>Four3</t>
  </si>
  <si>
    <t>Valeur</t>
  </si>
  <si>
    <t>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</si>
</sst>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  <numFmt numFmtId="165" formatCode="_-* #,##0.00\ [$€-1]_-;\-* #,##0.00\ [$€-1]_-;_-* &quot;-&quot;??\ [$€-1]_-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5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05">
    <xf numFmtId="0" fontId="0" fillId="0" borderId="0" xfId="0"/>
    <xf numFmtId="3" fontId="0" fillId="0" borderId="1" xfId="0" applyNumberFormat="1" applyBorder="1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164" fontId="0" fillId="0" borderId="0" xfId="0" applyNumberFormat="1" applyBorder="1"/>
    <xf numFmtId="0" fontId="1" fillId="0" borderId="0" xfId="0" applyFont="1" applyBorder="1"/>
    <xf numFmtId="3" fontId="0" fillId="0" borderId="0" xfId="0" applyNumberFormat="1" applyBorder="1"/>
    <xf numFmtId="44" fontId="0" fillId="0" borderId="0" xfId="3" applyFont="1" applyBorder="1"/>
    <xf numFmtId="2" fontId="0" fillId="0" borderId="0" xfId="0" applyNumberFormat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0" fontId="1" fillId="0" borderId="0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9" fontId="0" fillId="0" borderId="0" xfId="4" applyFont="1" applyBorder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4" applyNumberFormat="1" applyFont="1" applyBorder="1"/>
    <xf numFmtId="44" fontId="0" fillId="0" borderId="0" xfId="3" applyFont="1" applyBorder="1" applyAlignment="1">
      <alignment horizontal="center"/>
    </xf>
    <xf numFmtId="44" fontId="0" fillId="2" borderId="0" xfId="3" applyFont="1" applyFill="1" applyBorder="1" applyAlignment="1">
      <alignment horizontal="center"/>
    </xf>
    <xf numFmtId="44" fontId="1" fillId="0" borderId="0" xfId="3" applyFont="1" applyBorder="1" applyAlignment="1">
      <alignment horizontal="center"/>
    </xf>
    <xf numFmtId="10" fontId="0" fillId="0" borderId="0" xfId="0" applyNumberFormat="1"/>
    <xf numFmtId="9" fontId="7" fillId="0" borderId="0" xfId="0" applyNumberFormat="1" applyFont="1" applyBorder="1" applyAlignment="1">
      <alignment horizontal="center"/>
    </xf>
    <xf numFmtId="44" fontId="7" fillId="0" borderId="0" xfId="0" applyNumberFormat="1" applyFont="1" applyBorder="1"/>
    <xf numFmtId="44" fontId="7" fillId="0" borderId="0" xfId="0" applyNumberFormat="1" applyFont="1" applyBorder="1" applyAlignment="1">
      <alignment horizontal="center"/>
    </xf>
    <xf numFmtId="44" fontId="7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6" borderId="0" xfId="0" applyFill="1" applyAlignment="1">
      <alignment horizontal="left"/>
    </xf>
    <xf numFmtId="44" fontId="0" fillId="6" borderId="0" xfId="0" applyNumberFormat="1" applyFill="1"/>
    <xf numFmtId="10" fontId="0" fillId="6" borderId="0" xfId="0" applyNumberFormat="1" applyFill="1"/>
    <xf numFmtId="0" fontId="0" fillId="6" borderId="5" xfId="0" applyFill="1" applyBorder="1"/>
    <xf numFmtId="0" fontId="1" fillId="0" borderId="5" xfId="0" applyFont="1" applyBorder="1"/>
    <xf numFmtId="0" fontId="1" fillId="3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9" xfId="0" pivotButton="1" applyBorder="1"/>
    <xf numFmtId="44" fontId="0" fillId="0" borderId="0" xfId="0" applyNumberFormat="1" applyBorder="1" applyAlignment="1">
      <alignment horizontal="center"/>
    </xf>
    <xf numFmtId="0" fontId="0" fillId="6" borderId="9" xfId="0" applyFill="1" applyBorder="1" applyAlignment="1">
      <alignment horizontal="left"/>
    </xf>
    <xf numFmtId="44" fontId="0" fillId="6" borderId="0" xfId="0" applyNumberFormat="1" applyFill="1" applyBorder="1"/>
    <xf numFmtId="10" fontId="0" fillId="6" borderId="0" xfId="0" applyNumberFormat="1" applyFill="1" applyBorder="1"/>
    <xf numFmtId="0" fontId="0" fillId="0" borderId="9" xfId="0" applyBorder="1" applyAlignment="1">
      <alignment horizontal="left"/>
    </xf>
    <xf numFmtId="44" fontId="0" fillId="0" borderId="0" xfId="0" applyNumberFormat="1" applyBorder="1"/>
    <xf numFmtId="10" fontId="0" fillId="0" borderId="0" xfId="0" applyNumberFormat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horizontal="left"/>
    </xf>
    <xf numFmtId="44" fontId="0" fillId="0" borderId="12" xfId="0" applyNumberFormat="1" applyBorder="1"/>
    <xf numFmtId="10" fontId="0" fillId="0" borderId="12" xfId="0" applyNumberFormat="1" applyBorder="1"/>
    <xf numFmtId="44" fontId="0" fillId="6" borderId="6" xfId="0" applyNumberFormat="1" applyFill="1" applyBorder="1"/>
    <xf numFmtId="10" fontId="0" fillId="6" borderId="7" xfId="0" applyNumberFormat="1" applyFill="1" applyBorder="1"/>
    <xf numFmtId="44" fontId="0" fillId="6" borderId="9" xfId="0" applyNumberFormat="1" applyFill="1" applyBorder="1"/>
    <xf numFmtId="44" fontId="0" fillId="0" borderId="9" xfId="0" applyNumberFormat="1" applyBorder="1"/>
    <xf numFmtId="44" fontId="0" fillId="0" borderId="11" xfId="0" applyNumberFormat="1" applyBorder="1"/>
    <xf numFmtId="0" fontId="0" fillId="0" borderId="5" xfId="0" pivotButton="1" applyBorder="1"/>
    <xf numFmtId="0" fontId="0" fillId="6" borderId="14" xfId="0" applyFill="1" applyBorder="1" applyAlignment="1">
      <alignment horizontal="left"/>
    </xf>
    <xf numFmtId="0" fontId="0" fillId="6" borderId="15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5" xfId="0" applyBorder="1" applyAlignment="1">
      <alignment horizontal="left"/>
    </xf>
    <xf numFmtId="44" fontId="0" fillId="0" borderId="17" xfId="0" applyNumberFormat="1" applyBorder="1" applyAlignment="1">
      <alignment horizontal="center"/>
    </xf>
    <xf numFmtId="44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0" fontId="0" fillId="6" borderId="10" xfId="0" applyNumberFormat="1" applyFill="1" applyBorder="1"/>
    <xf numFmtId="10" fontId="0" fillId="0" borderId="10" xfId="0" applyNumberFormat="1" applyBorder="1"/>
    <xf numFmtId="10" fontId="0" fillId="0" borderId="13" xfId="0" applyNumberFormat="1" applyBorder="1"/>
    <xf numFmtId="10" fontId="0" fillId="6" borderId="8" xfId="0" applyNumberFormat="1" applyFill="1" applyBorder="1"/>
    <xf numFmtId="0" fontId="0" fillId="0" borderId="0" xfId="0" applyNumberFormat="1"/>
    <xf numFmtId="0" fontId="10" fillId="7" borderId="20" xfId="0" applyNumberFormat="1" applyFont="1" applyFill="1" applyBorder="1"/>
    <xf numFmtId="0" fontId="10" fillId="0" borderId="20" xfId="0" applyNumberFormat="1" applyFont="1" applyBorder="1"/>
    <xf numFmtId="0" fontId="10" fillId="0" borderId="20" xfId="0" applyFont="1" applyBorder="1"/>
    <xf numFmtId="0" fontId="10" fillId="0" borderId="21" xfId="0" applyFont="1" applyBorder="1"/>
    <xf numFmtId="0" fontId="10" fillId="7" borderId="20" xfId="0" applyFont="1" applyFill="1" applyBorder="1"/>
    <xf numFmtId="0" fontId="10" fillId="7" borderId="21" xfId="0" applyFont="1" applyFill="1" applyBorder="1"/>
    <xf numFmtId="43" fontId="0" fillId="0" borderId="0" xfId="5" applyFont="1"/>
    <xf numFmtId="9" fontId="0" fillId="0" borderId="0" xfId="4" applyFont="1"/>
    <xf numFmtId="10" fontId="0" fillId="0" borderId="0" xfId="4" applyNumberFormat="1" applyFont="1"/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3" fontId="0" fillId="0" borderId="0" xfId="0" applyNumberFormat="1"/>
  </cellXfs>
  <cellStyles count="6">
    <cellStyle name="Euro" xfId="1"/>
    <cellStyle name="Milliers" xfId="5" builtinId="3"/>
    <cellStyle name="Monétaire" xfId="3" builtinId="4"/>
    <cellStyle name="Normal" xfId="0" builtinId="0"/>
    <cellStyle name="Normal 2" xfId="2"/>
    <cellStyle name="Pourcentage" xfId="4" builtinId="5"/>
  </cellStyles>
  <dxfs count="131"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14" formatCode="0.00%"/>
    </dxf>
    <dxf>
      <numFmt numFmtId="0" formatCode="General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14" formatCode="0.00%"/>
    </dxf>
    <dxf>
      <numFmt numFmtId="0" formatCode="General"/>
    </dxf>
    <dxf>
      <numFmt numFmtId="0" formatCode="General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14" formatCode="0.00%"/>
    </dxf>
    <dxf>
      <numFmt numFmtId="0" formatCode="General"/>
    </dxf>
    <dxf>
      <numFmt numFmtId="14" formatCode="0.00%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4" formatCode="0.00%"/>
    </dxf>
    <dxf>
      <alignment horizontal="center" readingOrder="0"/>
    </dxf>
    <dxf>
      <numFmt numFmtId="34" formatCode="_-* #,##0.00\ &quot;€&quot;_-;\-* #,##0.00\ &quot;€&quot;_-;_-* &quot;-&quot;??\ &quot;€&quot;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numFmt numFmtId="14" formatCode="0.00%"/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left" readingOrder="0"/>
    </dxf>
    <dxf>
      <numFmt numFmtId="14" formatCode="0.00%"/>
    </dxf>
    <dxf>
      <numFmt numFmtId="14" formatCode="0.00%"/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numFmt numFmtId="14" formatCode="0.00%"/>
    </dxf>
    <dxf>
      <numFmt numFmtId="14" formatCode="0.00%"/>
    </dxf>
    <dxf>
      <numFmt numFmtId="34" formatCode="_-* #,##0.00\ &quot;€&quot;_-;\-* #,##0.00\ &quot;€&quot;_-;_-* &quot;-&quot;??\ &quot;€&quot;_-;_-@_-"/>
    </dxf>
    <dxf>
      <numFmt numFmtId="14" formatCode="0.00%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4" formatCode="0.00%"/>
    </dxf>
    <dxf>
      <numFmt numFmtId="34" formatCode="_-* #,##0.00\ &quot;€&quot;_-;\-* #,##0.00\ &quot;€&quot;_-;_-* &quot;-&quot;??\ &quot;€&quot;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4" formatCode="0.00%"/>
    </dxf>
    <dxf>
      <numFmt numFmtId="14" formatCode="0.00%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numFmt numFmtId="3" formatCode="#,##0"/>
      <border diagonalUp="0" diagonalDown="0" outline="0">
        <left/>
        <right/>
        <top/>
        <bottom/>
      </border>
    </dxf>
    <dxf>
      <numFmt numFmtId="3" formatCode="#,##0"/>
    </dxf>
    <dxf>
      <numFmt numFmtId="164" formatCode="#,##0.00\ [$€-1]"/>
      <border diagonalUp="0" diagonalDown="0" outline="0">
        <left/>
        <right/>
        <top/>
        <bottom/>
      </border>
    </dxf>
    <dxf>
      <numFmt numFmtId="164" formatCode="#,##0.00\ [$€-1]"/>
    </dxf>
    <dxf>
      <border diagonalUp="0" diagonalDown="0" outline="0">
        <left/>
        <right/>
        <top/>
        <bottom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border diagonalUp="0" diagonalDown="0" outline="0">
        <left/>
        <right/>
        <top/>
        <bottom/>
      </border>
    </dxf>
    <dxf>
      <numFmt numFmtId="3" formatCode="#,##0"/>
      <border diagonalUp="0" diagonalDown="0" outline="0">
        <left/>
        <right/>
        <top/>
        <bottom/>
      </border>
    </dxf>
    <dxf>
      <numFmt numFmtId="3" formatCode="#,##0"/>
    </dxf>
    <dxf>
      <numFmt numFmtId="164" formatCode="#,##0.00\ [$€-1]"/>
      <border diagonalUp="0" diagonalDown="0" outline="0">
        <left/>
        <right/>
        <top/>
        <bottom/>
      </border>
    </dxf>
    <dxf>
      <numFmt numFmtId="164" formatCode="#,##0.00\ [$€-1]"/>
    </dxf>
    <dxf>
      <border diagonalUp="0" diagonalDown="0" outline="0">
        <left/>
        <right/>
        <top/>
        <bottom/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[ENNONCE CARTOGRAPHIE PORTEFEUILLE ACHATS (Récupéré).xlsx]PARETO Articles !Tableau croisé dynamique1</c:name>
    <c:fmtId val="4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Diagramme</a:t>
            </a:r>
            <a:r>
              <a:rPr lang="fr-FR" baseline="0"/>
              <a:t> Pareto Articles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'PARETO Articles '!$B$5</c:f>
              <c:strCache>
                <c:ptCount val="1"/>
                <c:pt idx="0">
                  <c:v>Somme de CA Annuel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'PARETO Articles '!$A$6:$A$54</c:f>
              <c:strCache>
                <c:ptCount val="48"/>
                <c:pt idx="0">
                  <c:v>Peinture Glycéro Blanche</c:v>
                </c:pt>
                <c:pt idx="1">
                  <c:v>Rouleaux laine verre</c:v>
                </c:pt>
                <c:pt idx="2">
                  <c:v>Peinture Glycero</c:v>
                </c:pt>
                <c:pt idx="3">
                  <c:v>Peinture Vinyl</c:v>
                </c:pt>
                <c:pt idx="4">
                  <c:v>Plaque Novopan 15 mm</c:v>
                </c:pt>
                <c:pt idx="5">
                  <c:v>Plaque Novopan 10 mm</c:v>
                </c:pt>
                <c:pt idx="6">
                  <c:v>Chaudière Gaz</c:v>
                </c:pt>
                <c:pt idx="7">
                  <c:v>Peinture Sous Marine marque XYLOPRO</c:v>
                </c:pt>
                <c:pt idx="8">
                  <c:v>Lave-Linge</c:v>
                </c:pt>
                <c:pt idx="9">
                  <c:v>Plaque Laine verre</c:v>
                </c:pt>
                <c:pt idx="10">
                  <c:v>Cuisinière</c:v>
                </c:pt>
                <c:pt idx="11">
                  <c:v>Contreplaque de 4</c:v>
                </c:pt>
                <c:pt idx="12">
                  <c:v>Bastaings</c:v>
                </c:pt>
                <c:pt idx="13">
                  <c:v>Contreplaqué de 2</c:v>
                </c:pt>
                <c:pt idx="14">
                  <c:v>Vanne  15 x 21</c:v>
                </c:pt>
                <c:pt idx="15">
                  <c:v>Vanne fonte 50 x 60</c:v>
                </c:pt>
                <c:pt idx="16">
                  <c:v>Vanne 26 x 34</c:v>
                </c:pt>
                <c:pt idx="17">
                  <c:v>Lave-vaisselle</c:v>
                </c:pt>
                <c:pt idx="18">
                  <c:v>Radiateur Fonte</c:v>
                </c:pt>
                <c:pt idx="19">
                  <c:v>Lavabo</c:v>
                </c:pt>
                <c:pt idx="20">
                  <c:v>Planche Sapin 10 x</c:v>
                </c:pt>
                <c:pt idx="21">
                  <c:v>Baignoire</c:v>
                </c:pt>
                <c:pt idx="22">
                  <c:v>Vanne 20 x 27</c:v>
                </c:pt>
                <c:pt idx="23">
                  <c:v>Planche chêne </c:v>
                </c:pt>
                <c:pt idx="24">
                  <c:v>Convecteur</c:v>
                </c:pt>
                <c:pt idx="25">
                  <c:v>Plaque Polystyrène</c:v>
                </c:pt>
                <c:pt idx="26">
                  <c:v>Bidet</c:v>
                </c:pt>
                <c:pt idx="27">
                  <c:v>Fer béton 12,0=5</c:v>
                </c:pt>
                <c:pt idx="28">
                  <c:v>Tôles G 1000 x 2000 x 4</c:v>
                </c:pt>
                <c:pt idx="29">
                  <c:v>Huile de lin</c:v>
                </c:pt>
                <c:pt idx="30">
                  <c:v>Receveur Douche</c:v>
                </c:pt>
                <c:pt idx="31">
                  <c:v>Pied de lavabo</c:v>
                </c:pt>
                <c:pt idx="32">
                  <c:v>Armoire Toilette</c:v>
                </c:pt>
                <c:pt idx="33">
                  <c:v>Fer béton 12 m,0=6</c:v>
                </c:pt>
                <c:pt idx="34">
                  <c:v>Tube acier 6m20 x 27</c:v>
                </c:pt>
                <c:pt idx="35">
                  <c:v>Robinet 1/420</c:v>
                </c:pt>
                <c:pt idx="36">
                  <c:v>Tôles G 1000 x 2000 x 2</c:v>
                </c:pt>
                <c:pt idx="37">
                  <c:v>Chaudière Fioul</c:v>
                </c:pt>
                <c:pt idx="38">
                  <c:v>Tube acier 6m26 x 34</c:v>
                </c:pt>
                <c:pt idx="39">
                  <c:v>Tube acier 6m15 x 21</c:v>
                </c:pt>
                <c:pt idx="40">
                  <c:v>Cornières 6m30 x 30 x 5</c:v>
                </c:pt>
                <c:pt idx="41">
                  <c:v>Fer béton 12 m,0=4</c:v>
                </c:pt>
                <c:pt idx="42">
                  <c:v>Planche Sipo 12 x</c:v>
                </c:pt>
                <c:pt idx="43">
                  <c:v>Oxygène</c:v>
                </c:pt>
                <c:pt idx="44">
                  <c:v>Acétylène</c:v>
                </c:pt>
                <c:pt idx="45">
                  <c:v>Tube acier 6m50 x 60</c:v>
                </c:pt>
                <c:pt idx="46">
                  <c:v>Tôles G 1000 x 2000 x 5</c:v>
                </c:pt>
                <c:pt idx="47">
                  <c:v>Vernis Synthétique</c:v>
                </c:pt>
              </c:strCache>
            </c:strRef>
          </c:cat>
          <c:val>
            <c:numRef>
              <c:f>'PARETO Articles '!$B$6:$B$54</c:f>
              <c:numCache>
                <c:formatCode>_("€"* #,##0.00_);_("€"* \(#,##0.00\);_("€"* "-"??_);_(@_)</c:formatCode>
                <c:ptCount val="48"/>
                <c:pt idx="0">
                  <c:v>2140243.9024390243</c:v>
                </c:pt>
                <c:pt idx="1">
                  <c:v>1902439.0243902442</c:v>
                </c:pt>
                <c:pt idx="2">
                  <c:v>1902439.0243902442</c:v>
                </c:pt>
                <c:pt idx="3">
                  <c:v>951219.51219512208</c:v>
                </c:pt>
                <c:pt idx="4">
                  <c:v>927439.02439024404</c:v>
                </c:pt>
                <c:pt idx="5">
                  <c:v>927439.02439024404</c:v>
                </c:pt>
                <c:pt idx="6">
                  <c:v>749085.36585365853</c:v>
                </c:pt>
                <c:pt idx="7">
                  <c:v>594512.19512195128</c:v>
                </c:pt>
                <c:pt idx="8">
                  <c:v>570731.70731707325</c:v>
                </c:pt>
                <c:pt idx="9">
                  <c:v>535060.97560975607</c:v>
                </c:pt>
                <c:pt idx="10">
                  <c:v>494634.14634146349</c:v>
                </c:pt>
                <c:pt idx="11">
                  <c:v>451829.26829268294</c:v>
                </c:pt>
                <c:pt idx="12">
                  <c:v>451829.26829268294</c:v>
                </c:pt>
                <c:pt idx="13">
                  <c:v>451829.26829268294</c:v>
                </c:pt>
                <c:pt idx="14">
                  <c:v>428048.78048780491</c:v>
                </c:pt>
                <c:pt idx="15">
                  <c:v>332926.8292682927</c:v>
                </c:pt>
                <c:pt idx="16">
                  <c:v>297256.09756097564</c:v>
                </c:pt>
                <c:pt idx="17">
                  <c:v>285365.85365853657</c:v>
                </c:pt>
                <c:pt idx="18">
                  <c:v>261585.36585365856</c:v>
                </c:pt>
                <c:pt idx="19">
                  <c:v>249695.12195121951</c:v>
                </c:pt>
                <c:pt idx="20">
                  <c:v>237567.07317073172</c:v>
                </c:pt>
                <c:pt idx="21">
                  <c:v>231859.75609756098</c:v>
                </c:pt>
                <c:pt idx="22">
                  <c:v>190243.90243902442</c:v>
                </c:pt>
                <c:pt idx="23">
                  <c:v>177560.97560975613</c:v>
                </c:pt>
                <c:pt idx="24">
                  <c:v>152195.12195121954</c:v>
                </c:pt>
                <c:pt idx="25">
                  <c:v>143646.03658536586</c:v>
                </c:pt>
                <c:pt idx="26">
                  <c:v>124847.56097560975</c:v>
                </c:pt>
                <c:pt idx="27">
                  <c:v>104634.14634146342</c:v>
                </c:pt>
                <c:pt idx="28">
                  <c:v>97404.878048780491</c:v>
                </c:pt>
                <c:pt idx="29">
                  <c:v>95121.951219512208</c:v>
                </c:pt>
                <c:pt idx="30">
                  <c:v>95121.951219512208</c:v>
                </c:pt>
                <c:pt idx="31">
                  <c:v>85609.756097560981</c:v>
                </c:pt>
                <c:pt idx="32">
                  <c:v>66585.365853658543</c:v>
                </c:pt>
                <c:pt idx="33">
                  <c:v>66585.365853658543</c:v>
                </c:pt>
                <c:pt idx="34">
                  <c:v>53506.097560975621</c:v>
                </c:pt>
                <c:pt idx="35">
                  <c:v>52317.07317073171</c:v>
                </c:pt>
                <c:pt idx="36">
                  <c:v>39951.219512195123</c:v>
                </c:pt>
                <c:pt idx="37">
                  <c:v>39237.804878048781</c:v>
                </c:pt>
                <c:pt idx="38">
                  <c:v>30439.024390243903</c:v>
                </c:pt>
                <c:pt idx="39">
                  <c:v>26396.341463414636</c:v>
                </c:pt>
                <c:pt idx="40">
                  <c:v>20213.414634146346</c:v>
                </c:pt>
                <c:pt idx="41">
                  <c:v>14981.707317073171</c:v>
                </c:pt>
                <c:pt idx="42">
                  <c:v>14839.024390243903</c:v>
                </c:pt>
                <c:pt idx="43">
                  <c:v>13393.17073170732</c:v>
                </c:pt>
                <c:pt idx="44">
                  <c:v>11719.024390243903</c:v>
                </c:pt>
                <c:pt idx="45">
                  <c:v>11414.634146341465</c:v>
                </c:pt>
                <c:pt idx="46">
                  <c:v>2853.6585365853662</c:v>
                </c:pt>
                <c:pt idx="47">
                  <c:v>346.40243902439022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A3-4060-9C5B-D267B8D96264}"/>
            </c:ext>
          </c:extLst>
        </c:ser>
        <c:ser>
          <c:idx val="1"/>
          <c:order val="1"/>
          <c:tx>
            <c:strRef>
              <c:f>'PARETO Articles '!$C$5</c:f>
              <c:strCache>
                <c:ptCount val="1"/>
                <c:pt idx="0">
                  <c:v>Somme de % du CA / Prdt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'PARETO Articles '!$A$6:$A$54</c:f>
              <c:strCache>
                <c:ptCount val="48"/>
                <c:pt idx="0">
                  <c:v>Peinture Glycéro Blanche</c:v>
                </c:pt>
                <c:pt idx="1">
                  <c:v>Rouleaux laine verre</c:v>
                </c:pt>
                <c:pt idx="2">
                  <c:v>Peinture Glycero</c:v>
                </c:pt>
                <c:pt idx="3">
                  <c:v>Peinture Vinyl</c:v>
                </c:pt>
                <c:pt idx="4">
                  <c:v>Plaque Novopan 15 mm</c:v>
                </c:pt>
                <c:pt idx="5">
                  <c:v>Plaque Novopan 10 mm</c:v>
                </c:pt>
                <c:pt idx="6">
                  <c:v>Chaudière Gaz</c:v>
                </c:pt>
                <c:pt idx="7">
                  <c:v>Peinture Sous Marine marque XYLOPRO</c:v>
                </c:pt>
                <c:pt idx="8">
                  <c:v>Lave-Linge</c:v>
                </c:pt>
                <c:pt idx="9">
                  <c:v>Plaque Laine verre</c:v>
                </c:pt>
                <c:pt idx="10">
                  <c:v>Cuisinière</c:v>
                </c:pt>
                <c:pt idx="11">
                  <c:v>Contreplaque de 4</c:v>
                </c:pt>
                <c:pt idx="12">
                  <c:v>Bastaings</c:v>
                </c:pt>
                <c:pt idx="13">
                  <c:v>Contreplaqué de 2</c:v>
                </c:pt>
                <c:pt idx="14">
                  <c:v>Vanne  15 x 21</c:v>
                </c:pt>
                <c:pt idx="15">
                  <c:v>Vanne fonte 50 x 60</c:v>
                </c:pt>
                <c:pt idx="16">
                  <c:v>Vanne 26 x 34</c:v>
                </c:pt>
                <c:pt idx="17">
                  <c:v>Lave-vaisselle</c:v>
                </c:pt>
                <c:pt idx="18">
                  <c:v>Radiateur Fonte</c:v>
                </c:pt>
                <c:pt idx="19">
                  <c:v>Lavabo</c:v>
                </c:pt>
                <c:pt idx="20">
                  <c:v>Planche Sapin 10 x</c:v>
                </c:pt>
                <c:pt idx="21">
                  <c:v>Baignoire</c:v>
                </c:pt>
                <c:pt idx="22">
                  <c:v>Vanne 20 x 27</c:v>
                </c:pt>
                <c:pt idx="23">
                  <c:v>Planche chêne </c:v>
                </c:pt>
                <c:pt idx="24">
                  <c:v>Convecteur</c:v>
                </c:pt>
                <c:pt idx="25">
                  <c:v>Plaque Polystyrène</c:v>
                </c:pt>
                <c:pt idx="26">
                  <c:v>Bidet</c:v>
                </c:pt>
                <c:pt idx="27">
                  <c:v>Fer béton 12,0=5</c:v>
                </c:pt>
                <c:pt idx="28">
                  <c:v>Tôles G 1000 x 2000 x 4</c:v>
                </c:pt>
                <c:pt idx="29">
                  <c:v>Huile de lin</c:v>
                </c:pt>
                <c:pt idx="30">
                  <c:v>Receveur Douche</c:v>
                </c:pt>
                <c:pt idx="31">
                  <c:v>Pied de lavabo</c:v>
                </c:pt>
                <c:pt idx="32">
                  <c:v>Armoire Toilette</c:v>
                </c:pt>
                <c:pt idx="33">
                  <c:v>Fer béton 12 m,0=6</c:v>
                </c:pt>
                <c:pt idx="34">
                  <c:v>Tube acier 6m20 x 27</c:v>
                </c:pt>
                <c:pt idx="35">
                  <c:v>Robinet 1/420</c:v>
                </c:pt>
                <c:pt idx="36">
                  <c:v>Tôles G 1000 x 2000 x 2</c:v>
                </c:pt>
                <c:pt idx="37">
                  <c:v>Chaudière Fioul</c:v>
                </c:pt>
                <c:pt idx="38">
                  <c:v>Tube acier 6m26 x 34</c:v>
                </c:pt>
                <c:pt idx="39">
                  <c:v>Tube acier 6m15 x 21</c:v>
                </c:pt>
                <c:pt idx="40">
                  <c:v>Cornières 6m30 x 30 x 5</c:v>
                </c:pt>
                <c:pt idx="41">
                  <c:v>Fer béton 12 m,0=4</c:v>
                </c:pt>
                <c:pt idx="42">
                  <c:v>Planche Sipo 12 x</c:v>
                </c:pt>
                <c:pt idx="43">
                  <c:v>Oxygène</c:v>
                </c:pt>
                <c:pt idx="44">
                  <c:v>Acétylène</c:v>
                </c:pt>
                <c:pt idx="45">
                  <c:v>Tube acier 6m50 x 60</c:v>
                </c:pt>
                <c:pt idx="46">
                  <c:v>Tôles G 1000 x 2000 x 5</c:v>
                </c:pt>
                <c:pt idx="47">
                  <c:v>Vernis Synthétique</c:v>
                </c:pt>
              </c:strCache>
            </c:strRef>
          </c:cat>
          <c:val>
            <c:numRef>
              <c:f>'PARETO Articles '!$C$6:$C$54</c:f>
              <c:numCache>
                <c:formatCode>0.00%</c:formatCode>
                <c:ptCount val="48"/>
                <c:pt idx="0">
                  <c:v>0.12511508270663033</c:v>
                </c:pt>
                <c:pt idx="1">
                  <c:v>0.11121340685033809</c:v>
                </c:pt>
                <c:pt idx="2">
                  <c:v>0.11121340685033809</c:v>
                </c:pt>
                <c:pt idx="3">
                  <c:v>5.5606703425169046E-2</c:v>
                </c:pt>
                <c:pt idx="4">
                  <c:v>5.4216535839539823E-2</c:v>
                </c:pt>
                <c:pt idx="5">
                  <c:v>5.4216535839539823E-2</c:v>
                </c:pt>
                <c:pt idx="6">
                  <c:v>4.3790278947320613E-2</c:v>
                </c:pt>
                <c:pt idx="7">
                  <c:v>3.4754189640730654E-2</c:v>
                </c:pt>
                <c:pt idx="8">
                  <c:v>3.336402205510143E-2</c:v>
                </c:pt>
                <c:pt idx="9">
                  <c:v>3.1278770676657582E-2</c:v>
                </c:pt>
                <c:pt idx="10">
                  <c:v>2.8915485781087904E-2</c:v>
                </c:pt>
                <c:pt idx="11">
                  <c:v>2.6413184126955296E-2</c:v>
                </c:pt>
                <c:pt idx="12">
                  <c:v>2.6413184126955296E-2</c:v>
                </c:pt>
                <c:pt idx="13">
                  <c:v>2.6413184126955296E-2</c:v>
                </c:pt>
                <c:pt idx="14">
                  <c:v>2.5023016541326069E-2</c:v>
                </c:pt>
                <c:pt idx="15">
                  <c:v>1.9462346198809165E-2</c:v>
                </c:pt>
                <c:pt idx="16">
                  <c:v>1.7377094820365327E-2</c:v>
                </c:pt>
                <c:pt idx="17">
                  <c:v>1.6682011027550712E-2</c:v>
                </c:pt>
                <c:pt idx="18">
                  <c:v>1.5291843441921487E-2</c:v>
                </c:pt>
                <c:pt idx="19">
                  <c:v>1.4596759649106872E-2</c:v>
                </c:pt>
                <c:pt idx="20">
                  <c:v>1.3887774180435967E-2</c:v>
                </c:pt>
                <c:pt idx="21">
                  <c:v>1.3554133959884954E-2</c:v>
                </c:pt>
                <c:pt idx="22">
                  <c:v>1.112134068503381E-2</c:v>
                </c:pt>
                <c:pt idx="23">
                  <c:v>1.0379917972698221E-2</c:v>
                </c:pt>
                <c:pt idx="24">
                  <c:v>8.897072548027048E-3</c:v>
                </c:pt>
                <c:pt idx="25">
                  <c:v>8.3973073009933393E-3</c:v>
                </c:pt>
                <c:pt idx="26">
                  <c:v>7.2983798245534358E-3</c:v>
                </c:pt>
                <c:pt idx="27">
                  <c:v>6.1167373767685943E-3</c:v>
                </c:pt>
                <c:pt idx="28">
                  <c:v>5.6941264307373094E-3</c:v>
                </c:pt>
                <c:pt idx="29">
                  <c:v>5.5606703425169048E-3</c:v>
                </c:pt>
                <c:pt idx="30">
                  <c:v>5.5606703425169048E-3</c:v>
                </c:pt>
                <c:pt idx="31">
                  <c:v>5.0046033082652135E-3</c:v>
                </c:pt>
                <c:pt idx="32">
                  <c:v>3.8924692397618332E-3</c:v>
                </c:pt>
                <c:pt idx="33">
                  <c:v>3.8924692397618332E-3</c:v>
                </c:pt>
                <c:pt idx="34">
                  <c:v>3.1278770676657591E-3</c:v>
                </c:pt>
                <c:pt idx="35">
                  <c:v>3.0583686883842972E-3</c:v>
                </c:pt>
                <c:pt idx="36">
                  <c:v>2.3354815438570999E-3</c:v>
                </c:pt>
                <c:pt idx="37">
                  <c:v>2.2937765162882231E-3</c:v>
                </c:pt>
                <c:pt idx="38">
                  <c:v>1.7794145096054093E-3</c:v>
                </c:pt>
                <c:pt idx="39">
                  <c:v>1.5430860200484409E-3</c:v>
                </c:pt>
                <c:pt idx="40">
                  <c:v>1.1816424477848423E-3</c:v>
                </c:pt>
                <c:pt idx="41">
                  <c:v>8.758055789464123E-4</c:v>
                </c:pt>
                <c:pt idx="42">
                  <c:v>8.6746457343263696E-4</c:v>
                </c:pt>
                <c:pt idx="43">
                  <c:v>7.8294238422638022E-4</c:v>
                </c:pt>
                <c:pt idx="44">
                  <c:v>6.8507458619808262E-4</c:v>
                </c:pt>
                <c:pt idx="45">
                  <c:v>6.6728044110202851E-4</c:v>
                </c:pt>
                <c:pt idx="46">
                  <c:v>1.6682011027550713E-4</c:v>
                </c:pt>
                <c:pt idx="47">
                  <c:v>2.0250107830665723E-5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A3-4060-9C5B-D267B8D962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285166592"/>
        <c:axId val="285184768"/>
      </c:barChart>
      <c:lineChart>
        <c:grouping val="standard"/>
        <c:varyColors val="0"/>
        <c:ser>
          <c:idx val="2"/>
          <c:order val="2"/>
          <c:tx>
            <c:strRef>
              <c:f>'PARETO Articles '!$D$5</c:f>
              <c:strCache>
                <c:ptCount val="1"/>
                <c:pt idx="0">
                  <c:v>% CA cumulé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'PARETO Articles '!$A$6:$A$54</c:f>
              <c:strCache>
                <c:ptCount val="48"/>
                <c:pt idx="0">
                  <c:v>Peinture Glycéro Blanche</c:v>
                </c:pt>
                <c:pt idx="1">
                  <c:v>Rouleaux laine verre</c:v>
                </c:pt>
                <c:pt idx="2">
                  <c:v>Peinture Glycero</c:v>
                </c:pt>
                <c:pt idx="3">
                  <c:v>Peinture Vinyl</c:v>
                </c:pt>
                <c:pt idx="4">
                  <c:v>Plaque Novopan 15 mm</c:v>
                </c:pt>
                <c:pt idx="5">
                  <c:v>Plaque Novopan 10 mm</c:v>
                </c:pt>
                <c:pt idx="6">
                  <c:v>Chaudière Gaz</c:v>
                </c:pt>
                <c:pt idx="7">
                  <c:v>Peinture Sous Marine marque XYLOPRO</c:v>
                </c:pt>
                <c:pt idx="8">
                  <c:v>Lave-Linge</c:v>
                </c:pt>
                <c:pt idx="9">
                  <c:v>Plaque Laine verre</c:v>
                </c:pt>
                <c:pt idx="10">
                  <c:v>Cuisinière</c:v>
                </c:pt>
                <c:pt idx="11">
                  <c:v>Contreplaque de 4</c:v>
                </c:pt>
                <c:pt idx="12">
                  <c:v>Bastaings</c:v>
                </c:pt>
                <c:pt idx="13">
                  <c:v>Contreplaqué de 2</c:v>
                </c:pt>
                <c:pt idx="14">
                  <c:v>Vanne  15 x 21</c:v>
                </c:pt>
                <c:pt idx="15">
                  <c:v>Vanne fonte 50 x 60</c:v>
                </c:pt>
                <c:pt idx="16">
                  <c:v>Vanne 26 x 34</c:v>
                </c:pt>
                <c:pt idx="17">
                  <c:v>Lave-vaisselle</c:v>
                </c:pt>
                <c:pt idx="18">
                  <c:v>Radiateur Fonte</c:v>
                </c:pt>
                <c:pt idx="19">
                  <c:v>Lavabo</c:v>
                </c:pt>
                <c:pt idx="20">
                  <c:v>Planche Sapin 10 x</c:v>
                </c:pt>
                <c:pt idx="21">
                  <c:v>Baignoire</c:v>
                </c:pt>
                <c:pt idx="22">
                  <c:v>Vanne 20 x 27</c:v>
                </c:pt>
                <c:pt idx="23">
                  <c:v>Planche chêne </c:v>
                </c:pt>
                <c:pt idx="24">
                  <c:v>Convecteur</c:v>
                </c:pt>
                <c:pt idx="25">
                  <c:v>Plaque Polystyrène</c:v>
                </c:pt>
                <c:pt idx="26">
                  <c:v>Bidet</c:v>
                </c:pt>
                <c:pt idx="27">
                  <c:v>Fer béton 12,0=5</c:v>
                </c:pt>
                <c:pt idx="28">
                  <c:v>Tôles G 1000 x 2000 x 4</c:v>
                </c:pt>
                <c:pt idx="29">
                  <c:v>Huile de lin</c:v>
                </c:pt>
                <c:pt idx="30">
                  <c:v>Receveur Douche</c:v>
                </c:pt>
                <c:pt idx="31">
                  <c:v>Pied de lavabo</c:v>
                </c:pt>
                <c:pt idx="32">
                  <c:v>Armoire Toilette</c:v>
                </c:pt>
                <c:pt idx="33">
                  <c:v>Fer béton 12 m,0=6</c:v>
                </c:pt>
                <c:pt idx="34">
                  <c:v>Tube acier 6m20 x 27</c:v>
                </c:pt>
                <c:pt idx="35">
                  <c:v>Robinet 1/420</c:v>
                </c:pt>
                <c:pt idx="36">
                  <c:v>Tôles G 1000 x 2000 x 2</c:v>
                </c:pt>
                <c:pt idx="37">
                  <c:v>Chaudière Fioul</c:v>
                </c:pt>
                <c:pt idx="38">
                  <c:v>Tube acier 6m26 x 34</c:v>
                </c:pt>
                <c:pt idx="39">
                  <c:v>Tube acier 6m15 x 21</c:v>
                </c:pt>
                <c:pt idx="40">
                  <c:v>Cornières 6m30 x 30 x 5</c:v>
                </c:pt>
                <c:pt idx="41">
                  <c:v>Fer béton 12 m,0=4</c:v>
                </c:pt>
                <c:pt idx="42">
                  <c:v>Planche Sipo 12 x</c:v>
                </c:pt>
                <c:pt idx="43">
                  <c:v>Oxygène</c:v>
                </c:pt>
                <c:pt idx="44">
                  <c:v>Acétylène</c:v>
                </c:pt>
                <c:pt idx="45">
                  <c:v>Tube acier 6m50 x 60</c:v>
                </c:pt>
                <c:pt idx="46">
                  <c:v>Tôles G 1000 x 2000 x 5</c:v>
                </c:pt>
                <c:pt idx="47">
                  <c:v>Vernis Synthétique</c:v>
                </c:pt>
              </c:strCache>
            </c:strRef>
          </c:cat>
          <c:val>
            <c:numRef>
              <c:f>'PARETO Articles '!$D$6:$D$54</c:f>
              <c:numCache>
                <c:formatCode>0.00%</c:formatCode>
                <c:ptCount val="48"/>
                <c:pt idx="0">
                  <c:v>0.12511508270663033</c:v>
                </c:pt>
                <c:pt idx="1">
                  <c:v>0.23632848955696842</c:v>
                </c:pt>
                <c:pt idx="2">
                  <c:v>0.34754189640730648</c:v>
                </c:pt>
                <c:pt idx="3">
                  <c:v>0.40314859983247558</c:v>
                </c:pt>
                <c:pt idx="4">
                  <c:v>0.45736513567201537</c:v>
                </c:pt>
                <c:pt idx="5">
                  <c:v>0.5115816715115552</c:v>
                </c:pt>
                <c:pt idx="6">
                  <c:v>0.55537195045887577</c:v>
                </c:pt>
                <c:pt idx="7">
                  <c:v>0.59012614009960651</c:v>
                </c:pt>
                <c:pt idx="8">
                  <c:v>0.62349016215470787</c:v>
                </c:pt>
                <c:pt idx="9">
                  <c:v>0.6547689328313655</c:v>
                </c:pt>
                <c:pt idx="10">
                  <c:v>0.68368441861245344</c:v>
                </c:pt>
                <c:pt idx="11">
                  <c:v>0.7100976027394087</c:v>
                </c:pt>
                <c:pt idx="12">
                  <c:v>0.73651078686636395</c:v>
                </c:pt>
                <c:pt idx="13">
                  <c:v>0.76292397099331921</c:v>
                </c:pt>
                <c:pt idx="14">
                  <c:v>0.78794698753464532</c:v>
                </c:pt>
                <c:pt idx="15">
                  <c:v>0.80740933373345447</c:v>
                </c:pt>
                <c:pt idx="16">
                  <c:v>0.82478642855381989</c:v>
                </c:pt>
                <c:pt idx="17">
                  <c:v>0.84146843958137052</c:v>
                </c:pt>
                <c:pt idx="18">
                  <c:v>0.85676028302329199</c:v>
                </c:pt>
                <c:pt idx="19">
                  <c:v>0.87135704267239888</c:v>
                </c:pt>
                <c:pt idx="20">
                  <c:v>0.88524481685283474</c:v>
                </c:pt>
                <c:pt idx="21">
                  <c:v>0.89879895081271965</c:v>
                </c:pt>
                <c:pt idx="22">
                  <c:v>0.90992029149775344</c:v>
                </c:pt>
                <c:pt idx="23">
                  <c:v>0.92030020947045177</c:v>
                </c:pt>
                <c:pt idx="24">
                  <c:v>0.92919728201847873</c:v>
                </c:pt>
                <c:pt idx="25">
                  <c:v>0.93759458931947215</c:v>
                </c:pt>
                <c:pt idx="26">
                  <c:v>0.94489296914402554</c:v>
                </c:pt>
                <c:pt idx="27">
                  <c:v>0.9510097065207942</c:v>
                </c:pt>
                <c:pt idx="28">
                  <c:v>0.9567038329515315</c:v>
                </c:pt>
                <c:pt idx="29">
                  <c:v>0.96226450329404845</c:v>
                </c:pt>
                <c:pt idx="30">
                  <c:v>0.96782517363656528</c:v>
                </c:pt>
                <c:pt idx="31">
                  <c:v>0.97282977694483053</c:v>
                </c:pt>
                <c:pt idx="32">
                  <c:v>0.97672224618459236</c:v>
                </c:pt>
                <c:pt idx="33">
                  <c:v>0.98061471542435408</c:v>
                </c:pt>
                <c:pt idx="34">
                  <c:v>0.98374259249201979</c:v>
                </c:pt>
                <c:pt idx="35">
                  <c:v>0.98680096118040417</c:v>
                </c:pt>
                <c:pt idx="36">
                  <c:v>0.98913644272426116</c:v>
                </c:pt>
                <c:pt idx="37">
                  <c:v>0.99143021924054942</c:v>
                </c:pt>
                <c:pt idx="38">
                  <c:v>0.9932096337501547</c:v>
                </c:pt>
                <c:pt idx="39">
                  <c:v>0.99475271977020308</c:v>
                </c:pt>
                <c:pt idx="40">
                  <c:v>0.99593436221798792</c:v>
                </c:pt>
                <c:pt idx="41">
                  <c:v>0.99681016779693432</c:v>
                </c:pt>
                <c:pt idx="42">
                  <c:v>0.99767763237036688</c:v>
                </c:pt>
                <c:pt idx="43">
                  <c:v>0.99846057475459338</c:v>
                </c:pt>
                <c:pt idx="44">
                  <c:v>0.99914564934079131</c:v>
                </c:pt>
                <c:pt idx="45">
                  <c:v>0.99981292978189329</c:v>
                </c:pt>
                <c:pt idx="46">
                  <c:v>0.99997974989216887</c:v>
                </c:pt>
                <c:pt idx="47">
                  <c:v>0.99999999999999956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A3-4060-9C5B-D267B8D962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5196288"/>
        <c:axId val="285186304"/>
      </c:lineChart>
      <c:catAx>
        <c:axId val="28516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184768"/>
        <c:crosses val="autoZero"/>
        <c:auto val="1"/>
        <c:lblAlgn val="ctr"/>
        <c:lblOffset val="100"/>
        <c:noMultiLvlLbl val="0"/>
      </c:catAx>
      <c:valAx>
        <c:axId val="28518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166592"/>
        <c:crosses val="autoZero"/>
        <c:crossBetween val="between"/>
      </c:valAx>
      <c:valAx>
        <c:axId val="285186304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196288"/>
        <c:crosses val="max"/>
        <c:crossBetween val="between"/>
      </c:valAx>
      <c:catAx>
        <c:axId val="28519628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851863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[ENNONCE CARTOGRAPHIE PORTEFEUILLE ACHATS (Récupéré).xlsx]PARETO Familles!Tableau croisé dynamique1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Diagramme</a:t>
            </a:r>
            <a:r>
              <a:rPr lang="fr-FR" baseline="0"/>
              <a:t> Pareto Familles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'PARETO Familles'!$B$5</c:f>
              <c:strCache>
                <c:ptCount val="1"/>
                <c:pt idx="0">
                  <c:v>Somme de CA Annuel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'PARETO Familles'!$A$6:$A$19</c:f>
              <c:strCache>
                <c:ptCount val="13"/>
                <c:pt idx="0">
                  <c:v>86</c:v>
                </c:pt>
                <c:pt idx="1">
                  <c:v>17</c:v>
                </c:pt>
                <c:pt idx="2">
                  <c:v>48</c:v>
                </c:pt>
                <c:pt idx="3">
                  <c:v>23</c:v>
                </c:pt>
                <c:pt idx="4">
                  <c:v>65</c:v>
                </c:pt>
                <c:pt idx="5">
                  <c:v>99</c:v>
                </c:pt>
                <c:pt idx="6">
                  <c:v>73</c:v>
                </c:pt>
                <c:pt idx="7">
                  <c:v>33</c:v>
                </c:pt>
                <c:pt idx="8">
                  <c:v>22</c:v>
                </c:pt>
                <c:pt idx="9">
                  <c:v>54</c:v>
                </c:pt>
                <c:pt idx="10">
                  <c:v>79</c:v>
                </c:pt>
                <c:pt idx="11">
                  <c:v>50</c:v>
                </c:pt>
                <c:pt idx="12">
                  <c:v>45</c:v>
                </c:pt>
              </c:strCache>
            </c:strRef>
          </c:cat>
          <c:val>
            <c:numRef>
              <c:f>'PARETO Familles'!$B$6:$B$19</c:f>
              <c:numCache>
                <c:formatCode>_("€"* #,##0.00_);_("€"* \(#,##0.00\);_("€"* "-"??_);_(@_)</c:formatCode>
                <c:ptCount val="13"/>
                <c:pt idx="0">
                  <c:v>5588414.6341463421</c:v>
                </c:pt>
                <c:pt idx="1">
                  <c:v>3640332.9268292692</c:v>
                </c:pt>
                <c:pt idx="2">
                  <c:v>2581146.0365853659</c:v>
                </c:pt>
                <c:pt idx="3">
                  <c:v>1350731.7073170734</c:v>
                </c:pt>
                <c:pt idx="4">
                  <c:v>1300792.6829268294</c:v>
                </c:pt>
                <c:pt idx="5">
                  <c:v>1202103.6585365855</c:v>
                </c:pt>
                <c:pt idx="6">
                  <c:v>853719.51219512185</c:v>
                </c:pt>
                <c:pt idx="7">
                  <c:v>186201.21951219512</c:v>
                </c:pt>
                <c:pt idx="8">
                  <c:v>140209.75609756098</c:v>
                </c:pt>
                <c:pt idx="9">
                  <c:v>121756.09756097561</c:v>
                </c:pt>
                <c:pt idx="10">
                  <c:v>95468.353658536595</c:v>
                </c:pt>
                <c:pt idx="11">
                  <c:v>25112.195121951223</c:v>
                </c:pt>
                <c:pt idx="12">
                  <c:v>20213.414634146346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4D-4F96-9C33-70609D9B5CAF}"/>
            </c:ext>
          </c:extLst>
        </c:ser>
        <c:ser>
          <c:idx val="1"/>
          <c:order val="1"/>
          <c:tx>
            <c:strRef>
              <c:f>'PARETO Familles'!$C$5</c:f>
              <c:strCache>
                <c:ptCount val="1"/>
                <c:pt idx="0">
                  <c:v> % du 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'PARETO Familles'!$A$6:$A$19</c:f>
              <c:strCache>
                <c:ptCount val="13"/>
                <c:pt idx="0">
                  <c:v>86</c:v>
                </c:pt>
                <c:pt idx="1">
                  <c:v>17</c:v>
                </c:pt>
                <c:pt idx="2">
                  <c:v>48</c:v>
                </c:pt>
                <c:pt idx="3">
                  <c:v>23</c:v>
                </c:pt>
                <c:pt idx="4">
                  <c:v>65</c:v>
                </c:pt>
                <c:pt idx="5">
                  <c:v>99</c:v>
                </c:pt>
                <c:pt idx="6">
                  <c:v>73</c:v>
                </c:pt>
                <c:pt idx="7">
                  <c:v>33</c:v>
                </c:pt>
                <c:pt idx="8">
                  <c:v>22</c:v>
                </c:pt>
                <c:pt idx="9">
                  <c:v>54</c:v>
                </c:pt>
                <c:pt idx="10">
                  <c:v>79</c:v>
                </c:pt>
                <c:pt idx="11">
                  <c:v>50</c:v>
                </c:pt>
                <c:pt idx="12">
                  <c:v>45</c:v>
                </c:pt>
              </c:strCache>
            </c:strRef>
          </c:cat>
          <c:val>
            <c:numRef>
              <c:f>'PARETO Familles'!$C$6:$C$19</c:f>
              <c:numCache>
                <c:formatCode>0.00%</c:formatCode>
                <c:ptCount val="13"/>
                <c:pt idx="0">
                  <c:v>0.32668938262286812</c:v>
                </c:pt>
                <c:pt idx="1">
                  <c:v>0.21280778078651236</c:v>
                </c:pt>
                <c:pt idx="2">
                  <c:v>0.15088948482798903</c:v>
                </c:pt>
                <c:pt idx="3">
                  <c:v>7.8961518863740046E-2</c:v>
                </c:pt>
                <c:pt idx="4">
                  <c:v>7.6042166933918673E-2</c:v>
                </c:pt>
                <c:pt idx="5">
                  <c:v>7.0272971453557362E-2</c:v>
                </c:pt>
                <c:pt idx="6">
                  <c:v>4.9907016324089219E-2</c:v>
                </c:pt>
                <c:pt idx="7">
                  <c:v>1.0885012195476839E-2</c:v>
                </c:pt>
                <c:pt idx="8">
                  <c:v>8.196428084869917E-3</c:v>
                </c:pt>
                <c:pt idx="9">
                  <c:v>7.1176580384216381E-3</c:v>
                </c:pt>
                <c:pt idx="10">
                  <c:v>5.5809204503475705E-3</c:v>
                </c:pt>
                <c:pt idx="11">
                  <c:v>1.4680169704244627E-3</c:v>
                </c:pt>
                <c:pt idx="12">
                  <c:v>1.1816424477848423E-3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4D-4F96-9C33-70609D9B5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285341184"/>
        <c:axId val="285342720"/>
      </c:barChart>
      <c:lineChart>
        <c:grouping val="standard"/>
        <c:varyColors val="0"/>
        <c:ser>
          <c:idx val="2"/>
          <c:order val="2"/>
          <c:tx>
            <c:strRef>
              <c:f>'PARETO Familles'!$D$5</c:f>
              <c:strCache>
                <c:ptCount val="1"/>
                <c:pt idx="0">
                  <c:v>% CA Annuel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'PARETO Familles'!$A$6:$A$19</c:f>
              <c:strCache>
                <c:ptCount val="13"/>
                <c:pt idx="0">
                  <c:v>86</c:v>
                </c:pt>
                <c:pt idx="1">
                  <c:v>17</c:v>
                </c:pt>
                <c:pt idx="2">
                  <c:v>48</c:v>
                </c:pt>
                <c:pt idx="3">
                  <c:v>23</c:v>
                </c:pt>
                <c:pt idx="4">
                  <c:v>65</c:v>
                </c:pt>
                <c:pt idx="5">
                  <c:v>99</c:v>
                </c:pt>
                <c:pt idx="6">
                  <c:v>73</c:v>
                </c:pt>
                <c:pt idx="7">
                  <c:v>33</c:v>
                </c:pt>
                <c:pt idx="8">
                  <c:v>22</c:v>
                </c:pt>
                <c:pt idx="9">
                  <c:v>54</c:v>
                </c:pt>
                <c:pt idx="10">
                  <c:v>79</c:v>
                </c:pt>
                <c:pt idx="11">
                  <c:v>50</c:v>
                </c:pt>
                <c:pt idx="12">
                  <c:v>45</c:v>
                </c:pt>
              </c:strCache>
            </c:strRef>
          </c:cat>
          <c:val>
            <c:numRef>
              <c:f>'PARETO Familles'!$D$6:$D$19</c:f>
              <c:numCache>
                <c:formatCode>0.00%</c:formatCode>
                <c:ptCount val="13"/>
                <c:pt idx="0">
                  <c:v>0.32668938262286806</c:v>
                </c:pt>
                <c:pt idx="1">
                  <c:v>0.53949716340938036</c:v>
                </c:pt>
                <c:pt idx="2">
                  <c:v>0.69038664823736939</c:v>
                </c:pt>
                <c:pt idx="3">
                  <c:v>0.76934816710110943</c:v>
                </c:pt>
                <c:pt idx="4">
                  <c:v>0.84539033403502806</c:v>
                </c:pt>
                <c:pt idx="5">
                  <c:v>0.91566330548858543</c:v>
                </c:pt>
                <c:pt idx="6">
                  <c:v>0.96557032181267455</c:v>
                </c:pt>
                <c:pt idx="7">
                  <c:v>0.97645533400815143</c:v>
                </c:pt>
                <c:pt idx="8">
                  <c:v>0.98465176209302141</c:v>
                </c:pt>
                <c:pt idx="9">
                  <c:v>0.99176942013144309</c:v>
                </c:pt>
                <c:pt idx="10">
                  <c:v>0.99735034058179073</c:v>
                </c:pt>
                <c:pt idx="11">
                  <c:v>0.99881835755221515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4D-4F96-9C33-70609D9B5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5817088"/>
        <c:axId val="285815552"/>
      </c:lineChart>
      <c:catAx>
        <c:axId val="285341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342720"/>
        <c:crosses val="autoZero"/>
        <c:auto val="1"/>
        <c:lblAlgn val="ctr"/>
        <c:lblOffset val="100"/>
        <c:noMultiLvlLbl val="0"/>
      </c:catAx>
      <c:valAx>
        <c:axId val="285342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341184"/>
        <c:crosses val="autoZero"/>
        <c:crossBetween val="between"/>
      </c:valAx>
      <c:valAx>
        <c:axId val="285815552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817088"/>
        <c:crosses val="max"/>
        <c:crossBetween val="between"/>
      </c:valAx>
      <c:catAx>
        <c:axId val="28581708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858155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[ENNONCE CARTOGRAPHIE PORTEFEUILLE ACHATS (Récupéré).xlsx]PARETO Frns par Entonnoirs!Tableau croisé dynamique2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Diagramme</a:t>
            </a:r>
            <a:r>
              <a:rPr lang="fr-FR" baseline="0"/>
              <a:t> PARETO : Frns entonnoir 1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'PARETO Frns par Entonnoirs'!$B$4</c:f>
              <c:strCache>
                <c:ptCount val="1"/>
                <c:pt idx="0">
                  <c:v>Somme de CA Frns entonnoir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'PARETO Frns par Entonnoirs'!$A$5:$A$11</c:f>
              <c:strCache>
                <c:ptCount val="6"/>
                <c:pt idx="0">
                  <c:v>F1</c:v>
                </c:pt>
                <c:pt idx="1">
                  <c:v>F7</c:v>
                </c:pt>
                <c:pt idx="2">
                  <c:v>F3</c:v>
                </c:pt>
                <c:pt idx="3">
                  <c:v>F2</c:v>
                </c:pt>
                <c:pt idx="4">
                  <c:v>F6</c:v>
                </c:pt>
                <c:pt idx="5">
                  <c:v>F4</c:v>
                </c:pt>
              </c:strCache>
            </c:strRef>
          </c:cat>
          <c:val>
            <c:numRef>
              <c:f>'PARETO Frns par Entonnoirs'!$B$5:$B$11</c:f>
              <c:numCache>
                <c:formatCode>_("€"* #,##0.00_);_("€"* \(#,##0.00\);_("€"* "-"??_);_(@_)</c:formatCode>
                <c:ptCount val="6"/>
                <c:pt idx="0">
                  <c:v>5383593.2926829252</c:v>
                </c:pt>
                <c:pt idx="1">
                  <c:v>1290573.0182926829</c:v>
                </c:pt>
                <c:pt idx="2">
                  <c:v>675365.85365853668</c:v>
                </c:pt>
                <c:pt idx="3">
                  <c:v>659393.29268292687</c:v>
                </c:pt>
                <c:pt idx="4">
                  <c:v>297429.29878048785</c:v>
                </c:pt>
                <c:pt idx="5">
                  <c:v>246746.34146341469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64-4BD7-9D63-383388231108}"/>
            </c:ext>
          </c:extLst>
        </c:ser>
        <c:ser>
          <c:idx val="1"/>
          <c:order val="1"/>
          <c:tx>
            <c:strRef>
              <c:f>'PARETO Frns par Entonnoirs'!$C$4</c:f>
              <c:strCache>
                <c:ptCount val="1"/>
                <c:pt idx="0">
                  <c:v>% CA Frns entonnoir 1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invertIfNegative val="0"/>
          <c:cat>
            <c:strRef>
              <c:f>'PARETO Frns par Entonnoirs'!$A$5:$A$11</c:f>
              <c:strCache>
                <c:ptCount val="6"/>
                <c:pt idx="0">
                  <c:v>F1</c:v>
                </c:pt>
                <c:pt idx="1">
                  <c:v>F7</c:v>
                </c:pt>
                <c:pt idx="2">
                  <c:v>F3</c:v>
                </c:pt>
                <c:pt idx="3">
                  <c:v>F2</c:v>
                </c:pt>
                <c:pt idx="4">
                  <c:v>F6</c:v>
                </c:pt>
                <c:pt idx="5">
                  <c:v>F4</c:v>
                </c:pt>
              </c:strCache>
            </c:strRef>
          </c:cat>
          <c:val>
            <c:numRef>
              <c:f>'PARETO Frns par Entonnoirs'!$C$5:$C$11</c:f>
              <c:numCache>
                <c:formatCode>0.00%</c:formatCode>
                <c:ptCount val="6"/>
                <c:pt idx="0">
                  <c:v>0.62943173841568711</c:v>
                </c:pt>
                <c:pt idx="1">
                  <c:v>0.15088948482798903</c:v>
                </c:pt>
                <c:pt idx="2">
                  <c:v>7.896151886374006E-2</c:v>
                </c:pt>
                <c:pt idx="3">
                  <c:v>7.7094060407044793E-2</c:v>
                </c:pt>
                <c:pt idx="4">
                  <c:v>3.4774439748561328E-2</c:v>
                </c:pt>
                <c:pt idx="5">
                  <c:v>2.8848757736977711E-2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64-4BD7-9D63-383388231108}"/>
            </c:ext>
          </c:extLst>
        </c:ser>
        <c:ser>
          <c:idx val="2"/>
          <c:order val="2"/>
          <c:tx>
            <c:strRef>
              <c:f>'PARETO Frns par Entonnoirs'!$D$4</c:f>
              <c:strCache>
                <c:ptCount val="1"/>
                <c:pt idx="0">
                  <c:v>% CA Frns entonnoir 1 cumulé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'PARETO Frns par Entonnoirs'!$A$5:$A$11</c:f>
              <c:strCache>
                <c:ptCount val="6"/>
                <c:pt idx="0">
                  <c:v>F1</c:v>
                </c:pt>
                <c:pt idx="1">
                  <c:v>F7</c:v>
                </c:pt>
                <c:pt idx="2">
                  <c:v>F3</c:v>
                </c:pt>
                <c:pt idx="3">
                  <c:v>F2</c:v>
                </c:pt>
                <c:pt idx="4">
                  <c:v>F6</c:v>
                </c:pt>
                <c:pt idx="5">
                  <c:v>F4</c:v>
                </c:pt>
              </c:strCache>
            </c:strRef>
          </c:cat>
          <c:val>
            <c:numRef>
              <c:f>'PARETO Frns par Entonnoirs'!$D$5:$D$11</c:f>
              <c:numCache>
                <c:formatCode>0.00%</c:formatCode>
                <c:ptCount val="6"/>
                <c:pt idx="0">
                  <c:v>0.62943173841568711</c:v>
                </c:pt>
                <c:pt idx="1">
                  <c:v>0.78032122324367614</c:v>
                </c:pt>
                <c:pt idx="2">
                  <c:v>0.85928274210741618</c:v>
                </c:pt>
                <c:pt idx="3">
                  <c:v>0.93637680251446109</c:v>
                </c:pt>
                <c:pt idx="4">
                  <c:v>0.97115124226302241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64-4BD7-9D63-3833882311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287303168"/>
        <c:axId val="287304704"/>
      </c:barChart>
      <c:catAx>
        <c:axId val="28730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7304704"/>
        <c:crosses val="autoZero"/>
        <c:auto val="1"/>
        <c:lblAlgn val="ctr"/>
        <c:lblOffset val="100"/>
        <c:noMultiLvlLbl val="0"/>
      </c:catAx>
      <c:valAx>
        <c:axId val="287304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7303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[ENNONCE CARTOGRAPHIE PORTEFEUILLE ACHATS (Récupéré).xlsx]PARETO Frns par Entonnoirs!Tableau croisé dynamique4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Diagramme PARETO : Frns entonnoir 2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</c:pivotFmt>
      <c:pivotFmt>
        <c:idx val="13"/>
        <c:spPr>
          <a:solidFill>
            <a:schemeClr val="accent2"/>
          </a:solidFill>
          <a:ln>
            <a:noFill/>
          </a:ln>
          <a:effectLst/>
        </c:spPr>
      </c:pivotFmt>
      <c:pivotFmt>
        <c:idx val="14"/>
        <c:spPr>
          <a:ln w="28575" cap="rnd">
            <a:solidFill>
              <a:schemeClr val="accent3"/>
            </a:solidFill>
            <a:round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</c:pivotFmt>
      <c:pivotFmt>
        <c:idx val="16"/>
        <c:spPr>
          <a:solidFill>
            <a:schemeClr val="accent2"/>
          </a:solidFill>
          <a:ln>
            <a:noFill/>
          </a:ln>
          <a:effectLst/>
        </c:spPr>
      </c:pivotFmt>
      <c:pivotFmt>
        <c:idx val="17"/>
        <c:spPr>
          <a:ln w="28575" cap="rnd">
            <a:solidFill>
              <a:schemeClr val="accent3"/>
            </a:solidFill>
            <a:round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</c:pivotFmt>
      <c:pivotFmt>
        <c:idx val="19"/>
        <c:spPr>
          <a:solidFill>
            <a:schemeClr val="accent2"/>
          </a:solidFill>
          <a:ln>
            <a:noFill/>
          </a:ln>
          <a:effectLst/>
        </c:spPr>
      </c:pivotFmt>
      <c:pivotFmt>
        <c:idx val="20"/>
        <c:spPr>
          <a:ln w="28575" cap="rnd">
            <a:solidFill>
              <a:schemeClr val="accent3"/>
            </a:solidFill>
            <a:round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2"/>
          </a:solidFill>
          <a:ln w="28575">
            <a:noFill/>
          </a:ln>
          <a:effectLst/>
        </c:spPr>
        <c:marker>
          <c:symbol val="none"/>
        </c:marker>
      </c:pivotFmt>
      <c:pivotFmt>
        <c:idx val="23"/>
        <c:spPr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'PARETO Frns par Entonnoirs'!$B$17</c:f>
              <c:strCache>
                <c:ptCount val="1"/>
                <c:pt idx="0">
                  <c:v>Somme de CA Frns entonnoir 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'PARETO Frns par Entonnoirs'!$A$18:$A$22</c:f>
              <c:strCache>
                <c:ptCount val="4"/>
                <c:pt idx="0">
                  <c:v>F5</c:v>
                </c:pt>
                <c:pt idx="1">
                  <c:v>F3</c:v>
                </c:pt>
                <c:pt idx="2">
                  <c:v>F1</c:v>
                </c:pt>
                <c:pt idx="3">
                  <c:v>F2</c:v>
                </c:pt>
              </c:strCache>
            </c:strRef>
          </c:cat>
          <c:val>
            <c:numRef>
              <c:f>'PARETO Frns par Entonnoirs'!$B$18:$B$22</c:f>
              <c:numCache>
                <c:formatCode>_("€"* #,##0.00_);_("€"* \(#,##0.00\);_("€"* "-"??_);_(@_)</c:formatCode>
                <c:ptCount val="4"/>
                <c:pt idx="0">
                  <c:v>2924214.5304878047</c:v>
                </c:pt>
                <c:pt idx="1">
                  <c:v>1006984.7560975611</c:v>
                </c:pt>
                <c:pt idx="2">
                  <c:v>774343.81097560981</c:v>
                </c:pt>
                <c:pt idx="3">
                  <c:v>696463.90243902442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51-4204-9881-1ABCCFD9D4F3}"/>
            </c:ext>
          </c:extLst>
        </c:ser>
        <c:ser>
          <c:idx val="1"/>
          <c:order val="1"/>
          <c:tx>
            <c:strRef>
              <c:f>'PARETO Frns par Entonnoirs'!$C$17</c:f>
              <c:strCache>
                <c:ptCount val="1"/>
                <c:pt idx="0">
                  <c:v>% CA Frns entonnoir 2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  <a:effectLst/>
          </c:spPr>
          <c:invertIfNegative val="0"/>
          <c:cat>
            <c:strRef>
              <c:f>'PARETO Frns par Entonnoirs'!$A$18:$A$22</c:f>
              <c:strCache>
                <c:ptCount val="4"/>
                <c:pt idx="0">
                  <c:v>F5</c:v>
                </c:pt>
                <c:pt idx="1">
                  <c:v>F3</c:v>
                </c:pt>
                <c:pt idx="2">
                  <c:v>F1</c:v>
                </c:pt>
                <c:pt idx="3">
                  <c:v>F2</c:v>
                </c:pt>
              </c:strCache>
            </c:strRef>
          </c:cat>
          <c:val>
            <c:numRef>
              <c:f>'PARETO Frns par Entonnoirs'!$C$18:$C$22</c:f>
              <c:numCache>
                <c:formatCode>0.00%</c:formatCode>
                <c:ptCount val="4"/>
                <c:pt idx="0">
                  <c:v>0.54132001874262747</c:v>
                </c:pt>
                <c:pt idx="1">
                  <c:v>0.18640937638502894</c:v>
                </c:pt>
                <c:pt idx="2">
                  <c:v>0.14334372594770978</c:v>
                </c:pt>
                <c:pt idx="3">
                  <c:v>0.12892687892463384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51-4204-9881-1ABCCFD9D4F3}"/>
            </c:ext>
          </c:extLst>
        </c:ser>
        <c:ser>
          <c:idx val="2"/>
          <c:order val="2"/>
          <c:tx>
            <c:strRef>
              <c:f>'PARETO Frns par Entonnoirs'!$D$17</c:f>
              <c:strCache>
                <c:ptCount val="1"/>
                <c:pt idx="0">
                  <c:v>% CA Frns entonnoir 2 cumulé</c:v>
                </c:pt>
              </c:strCache>
            </c:strRef>
          </c:tx>
          <c:spPr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'PARETO Frns par Entonnoirs'!$A$18:$A$22</c:f>
              <c:strCache>
                <c:ptCount val="4"/>
                <c:pt idx="0">
                  <c:v>F5</c:v>
                </c:pt>
                <c:pt idx="1">
                  <c:v>F3</c:v>
                </c:pt>
                <c:pt idx="2">
                  <c:v>F1</c:v>
                </c:pt>
                <c:pt idx="3">
                  <c:v>F2</c:v>
                </c:pt>
              </c:strCache>
            </c:strRef>
          </c:cat>
          <c:val>
            <c:numRef>
              <c:f>'PARETO Frns par Entonnoirs'!$D$18:$D$22</c:f>
              <c:numCache>
                <c:formatCode>0.00%</c:formatCode>
                <c:ptCount val="4"/>
                <c:pt idx="0">
                  <c:v>0.54132001874262747</c:v>
                </c:pt>
                <c:pt idx="1">
                  <c:v>0.72772939512765644</c:v>
                </c:pt>
                <c:pt idx="2">
                  <c:v>0.87107312107536616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651-4204-9881-1ABCCFD9D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73606784"/>
        <c:axId val="173608320"/>
      </c:barChart>
      <c:catAx>
        <c:axId val="17360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08320"/>
        <c:crosses val="autoZero"/>
        <c:auto val="1"/>
        <c:lblAlgn val="ctr"/>
        <c:lblOffset val="100"/>
        <c:noMultiLvlLbl val="0"/>
      </c:catAx>
      <c:valAx>
        <c:axId val="173608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06784"/>
        <c:crosses val="autoZero"/>
        <c:crossBetween val="between"/>
      </c:valAx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[ENNONCE CARTOGRAPHIE PORTEFEUILLE ACHATS (Récupéré).xlsx]PARETO Frns par Entonnoirs!Tableau croisé dynamique5</c:name>
    <c:fmtId val="9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Diagramme</a:t>
            </a:r>
            <a:r>
              <a:rPr lang="fr-FR" baseline="0"/>
              <a:t> PARETO : Frns entonnoir 3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'PARETO Frns par Entonnoirs'!$B$30</c:f>
              <c:strCache>
                <c:ptCount val="1"/>
                <c:pt idx="0">
                  <c:v>Somme de CA Frns entonnoir 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'PARETO Frns par Entonnoirs'!$A$31:$A$35</c:f>
              <c:strCache>
                <c:ptCount val="4"/>
                <c:pt idx="0">
                  <c:v>F5</c:v>
                </c:pt>
                <c:pt idx="1">
                  <c:v>F6</c:v>
                </c:pt>
                <c:pt idx="2">
                  <c:v>F1</c:v>
                </c:pt>
                <c:pt idx="3">
                  <c:v>F3</c:v>
                </c:pt>
              </c:strCache>
            </c:strRef>
          </c:cat>
          <c:val>
            <c:numRef>
              <c:f>'PARETO Frns par Entonnoirs'!$B$31:$B$35</c:f>
              <c:numCache>
                <c:formatCode>_("€"* #,##0.00_);_("€"* \(#,##0.00\);_("€"* "-"??_);_(@_)</c:formatCode>
                <c:ptCount val="4"/>
                <c:pt idx="0">
                  <c:v>1651861.6463414638</c:v>
                </c:pt>
                <c:pt idx="1">
                  <c:v>1017804.8780487806</c:v>
                </c:pt>
                <c:pt idx="2">
                  <c:v>300695.86585365864</c:v>
                </c:pt>
                <c:pt idx="3">
                  <c:v>180731.70731707319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39-471E-BBF6-7BA36D2CEC39}"/>
            </c:ext>
          </c:extLst>
        </c:ser>
        <c:ser>
          <c:idx val="1"/>
          <c:order val="1"/>
          <c:tx>
            <c:strRef>
              <c:f>'PARETO Frns par Entonnoirs'!$C$30</c:f>
              <c:strCache>
                <c:ptCount val="1"/>
                <c:pt idx="0">
                  <c:v>% CA Frns entonnoir 3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invertIfNegative val="0"/>
          <c:cat>
            <c:strRef>
              <c:f>'PARETO Frns par Entonnoirs'!$A$31:$A$35</c:f>
              <c:strCache>
                <c:ptCount val="4"/>
                <c:pt idx="0">
                  <c:v>F5</c:v>
                </c:pt>
                <c:pt idx="1">
                  <c:v>F6</c:v>
                </c:pt>
                <c:pt idx="2">
                  <c:v>F1</c:v>
                </c:pt>
                <c:pt idx="3">
                  <c:v>F3</c:v>
                </c:pt>
              </c:strCache>
            </c:strRef>
          </c:cat>
          <c:val>
            <c:numRef>
              <c:f>'PARETO Frns par Entonnoirs'!$C$31:$C$35</c:f>
              <c:numCache>
                <c:formatCode>0.00%</c:formatCode>
                <c:ptCount val="4"/>
                <c:pt idx="0">
                  <c:v>0.52421844451425481</c:v>
                </c:pt>
                <c:pt idx="1">
                  <c:v>0.32300047111782121</c:v>
                </c:pt>
                <c:pt idx="2">
                  <c:v>9.5425860524572942E-2</c:v>
                </c:pt>
                <c:pt idx="3">
                  <c:v>5.7355223843351427E-2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39-471E-BBF6-7BA36D2CEC39}"/>
            </c:ext>
          </c:extLst>
        </c:ser>
        <c:ser>
          <c:idx val="2"/>
          <c:order val="2"/>
          <c:tx>
            <c:strRef>
              <c:f>'PARETO Frns par Entonnoirs'!$D$30</c:f>
              <c:strCache>
                <c:ptCount val="1"/>
                <c:pt idx="0">
                  <c:v>% CA Frns Antonoir 3 cumulé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'PARETO Frns par Entonnoirs'!$A$31:$A$35</c:f>
              <c:strCache>
                <c:ptCount val="4"/>
                <c:pt idx="0">
                  <c:v>F5</c:v>
                </c:pt>
                <c:pt idx="1">
                  <c:v>F6</c:v>
                </c:pt>
                <c:pt idx="2">
                  <c:v>F1</c:v>
                </c:pt>
                <c:pt idx="3">
                  <c:v>F3</c:v>
                </c:pt>
              </c:strCache>
            </c:strRef>
          </c:cat>
          <c:val>
            <c:numRef>
              <c:f>'PARETO Frns par Entonnoirs'!$D$31:$D$35</c:f>
              <c:numCache>
                <c:formatCode>0.00%</c:formatCode>
                <c:ptCount val="4"/>
                <c:pt idx="0">
                  <c:v>0.48888888888888887</c:v>
                </c:pt>
                <c:pt idx="1">
                  <c:v>0.57777777777777772</c:v>
                </c:pt>
                <c:pt idx="2">
                  <c:v>0.9555555555555556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39-471E-BBF6-7BA36D2CEC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73657472"/>
        <c:axId val="173659264"/>
      </c:barChart>
      <c:catAx>
        <c:axId val="173657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59264"/>
        <c:crosses val="autoZero"/>
        <c:auto val="1"/>
        <c:lblAlgn val="ctr"/>
        <c:lblOffset val="100"/>
        <c:noMultiLvlLbl val="0"/>
      </c:catAx>
      <c:valAx>
        <c:axId val="173659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57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552451</xdr:colOff>
      <xdr:row>9</xdr:row>
      <xdr:rowOff>104774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0"/>
          <a:ext cx="6200776" cy="1562099"/>
        </a:xfrm>
        <a:prstGeom prst="round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Votre  entreprise</a:t>
          </a:r>
          <a:r>
            <a:rPr lang="fr-FR" sz="1050" baseline="0"/>
            <a:t> est une société de négoce implantée régionalement, 70 p. pour un C A ventes de 38 M€. Elle est leader sur son marché, son positionnement est  en milieu de gamme . Malheureusement de plus en plus de produits importés viennent  la concurrencer; elle est donc contrainte d'améliorer ses marges de 15% en 4 mois, faute de quoi , elle sera dans l'obligation de réduire ses effectifs et revoir son organisation en profondeur.</a:t>
          </a:r>
        </a:p>
        <a:p>
          <a:pPr algn="l"/>
          <a:r>
            <a:rPr lang="fr-FR" sz="1050" baseline="0"/>
            <a:t>Vous êtes en charge des achats et votre Dirigeant vous demande si vous avez des idées afin de les présenter aux actionnaires , malheureusement vous n'avez que deux heures  pour présenter votre projet.</a:t>
          </a:r>
        </a:p>
        <a:p>
          <a:pPr algn="l"/>
          <a:r>
            <a:rPr lang="fr-FR" sz="1050" baseline="0"/>
            <a:t>PS: les fournisseurs par produits sont classés par préférence et par chiffre d'affaires achat (50%, 30%, 20%)</a:t>
          </a:r>
          <a:endParaRPr lang="fr-FR" sz="105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210910</xdr:colOff>
      <xdr:row>4</xdr:row>
      <xdr:rowOff>4762</xdr:rowOff>
    </xdr:from>
    <xdr:to>
      <xdr:col>36</xdr:col>
      <xdr:colOff>447674</xdr:colOff>
      <xdr:row>47</xdr:row>
      <xdr:rowOff>153759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509587</xdr:colOff>
      <xdr:row>2</xdr:row>
      <xdr:rowOff>16666</xdr:rowOff>
    </xdr:from>
    <xdr:to>
      <xdr:col>19</xdr:col>
      <xdr:colOff>10822</xdr:colOff>
      <xdr:row>29</xdr:row>
      <xdr:rowOff>100012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257176</xdr:colOff>
      <xdr:row>0</xdr:row>
      <xdr:rowOff>0</xdr:rowOff>
    </xdr:from>
    <xdr:to>
      <xdr:col>16</xdr:col>
      <xdr:colOff>710821</xdr:colOff>
      <xdr:row>10</xdr:row>
      <xdr:rowOff>61913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233363</xdr:colOff>
      <xdr:row>13</xdr:row>
      <xdr:rowOff>4763</xdr:rowOff>
    </xdr:from>
    <xdr:to>
      <xdr:col>16</xdr:col>
      <xdr:colOff>710821</xdr:colOff>
      <xdr:row>23</xdr:row>
      <xdr:rowOff>104777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225133</xdr:colOff>
      <xdr:row>25</xdr:row>
      <xdr:rowOff>69272</xdr:rowOff>
    </xdr:from>
    <xdr:to>
      <xdr:col>16</xdr:col>
      <xdr:colOff>666748</xdr:colOff>
      <xdr:row>36</xdr:row>
      <xdr:rowOff>112569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lim El Malki" refreshedDate="43140.422190277779" createdVersion="6" refreshedVersion="6" minRefreshableVersion="3" recordCount="48">
  <cacheSource type="worksheet">
    <worksheetSource name="Tableau1"/>
  </cacheSource>
  <cacheFields count="17">
    <cacheField name="%" numFmtId="9">
      <sharedItems containsSemiMixedTypes="0" containsString="0" containsNumber="1" minValue="2.0833333333333332E-2" maxValue="1"/>
    </cacheField>
    <cacheField name="N°" numFmtId="1">
      <sharedItems containsSemiMixedTypes="0" containsString="0" containsNumber="1" containsInteger="1" minValue="1" maxValue="48"/>
    </cacheField>
    <cacheField name="Références" numFmtId="0">
      <sharedItems containsSemiMixedTypes="0" containsString="0" containsNumber="1" containsInteger="1" minValue="1710" maxValue="9904"/>
    </cacheField>
    <cacheField name="Famille" numFmtId="0">
      <sharedItems containsSemiMixedTypes="0" containsString="0" containsNumber="1" containsInteger="1" minValue="17" maxValue="99" count="13">
        <n v="86"/>
        <n v="48"/>
        <n v="17"/>
        <n v="99"/>
        <n v="23"/>
        <n v="65"/>
        <n v="73"/>
        <n v="33"/>
        <n v="22"/>
        <n v="79"/>
        <n v="54"/>
        <n v="45"/>
        <n v="50"/>
      </sharedItems>
    </cacheField>
    <cacheField name="Désignation" numFmtId="0">
      <sharedItems count="48">
        <s v="Peinture Glycéro Blanche"/>
        <s v="Peinture Glycero"/>
        <s v="Rouleaux laine verre"/>
        <s v="Peinture Vinyl"/>
        <s v="Plaque Novopan 10 mm"/>
        <s v="Plaque Novopan 15 mm"/>
        <s v="Chaudière Gaz"/>
        <s v="Peinture Sous Marine marque XYLOPRO"/>
        <s v="Lave-Linge"/>
        <s v="Plaque Laine verre"/>
        <s v="Cuisinière"/>
        <s v="Bastaings"/>
        <s v="Contreplaqué de 2"/>
        <s v="Contreplaque de 4"/>
        <s v="Vanne  15 x 21"/>
        <s v="Vanne fonte 50 x 60"/>
        <s v="Vanne 26 x 34"/>
        <s v="Lave-vaisselle"/>
        <s v="Radiateur Fonte"/>
        <s v="Lavabo"/>
        <s v="Planche Sapin 10 x"/>
        <s v="Baignoire"/>
        <s v="Vanne 20 x 27"/>
        <s v="Planche chêne "/>
        <s v="Convecteur"/>
        <s v="Plaque Polystyrène"/>
        <s v="Bidet"/>
        <s v="Fer béton 12,0=5"/>
        <s v="Tôles G 1000 x 2000 x 4"/>
        <s v="Huile de lin"/>
        <s v="Receveur Douche"/>
        <s v="Pied de lavabo"/>
        <s v="Armoire Toilette"/>
        <s v="Fer béton 12 m,0=6"/>
        <s v="Tube acier 6m20 x 27"/>
        <s v="Robinet 1/420"/>
        <s v="Tôles G 1000 x 2000 x 2"/>
        <s v="Chaudière Fioul"/>
        <s v="Tube acier 6m26 x 34"/>
        <s v="Tube acier 6m15 x 21"/>
        <s v="Cornières 6m30 x 30 x 5"/>
        <s v="Fer béton 12 m,0=4"/>
        <s v="Planche Sipo 12 x"/>
        <s v="Oxygène"/>
        <s v="Acétylène"/>
        <s v="Tube acier 6m50 x 60"/>
        <s v="Tôles G 1000 x 2000 x 5"/>
        <s v="Vernis Synthétique"/>
      </sharedItems>
    </cacheField>
    <cacheField name="Prix unitaire" numFmtId="164">
      <sharedItems containsSemiMixedTypes="0" containsString="0" containsNumber="1" minValue="1.9817073170731709" maxValue="1189.0243902439024" count="38">
        <n v="11.890243902439025"/>
        <n v="15.853658536585368"/>
        <n v="7.9268292682926838"/>
        <n v="5.1524390243902447"/>
        <n v="693.59756097560978"/>
        <n v="49.542682926829272"/>
        <n v="792.68292682926835"/>
        <n v="29.725609756097562"/>
        <n v="634.14634146341473"/>
        <n v="18.826219512195124"/>
        <n v="7.5304878048780486"/>
        <n v="35.670731707317074"/>
        <n v="138.71951219512195"/>
        <n v="1189.0243902439024"/>
        <n v="217.98780487804879"/>
        <n v="69.359756097560975"/>
        <n v="53.506097560975611"/>
        <n v="128.8109756097561"/>
        <n v="39.634146341463421"/>
        <n v="79.268292682926841"/>
        <n v="435.97560975609758"/>
        <n v="202.92682926829269"/>
        <n v="1.9817073170731709"/>
        <n v="23.780487804878049"/>
        <n v="55.487804878048784"/>
        <n v="554.8780487804878"/>
        <n v="4.9542682926829276"/>
        <n v="21.79878048780488"/>
        <n v="110.97560975609757"/>
        <n v="1089.939024390244"/>
        <n v="6.3414634146341466"/>
        <n v="3.6661585365853662"/>
        <n v="168.44512195121953"/>
        <n v="416.15853658536588"/>
        <n v="7.7286585365853666"/>
        <n v="2.1798780487804881"/>
        <n v="9.5121951219512209"/>
        <n v="237.80487804878049"/>
      </sharedItems>
    </cacheField>
    <cacheField name="Quantité" numFmtId="3">
      <sharedItems containsSemiMixedTypes="0" containsString="0" containsNumber="1" containsInteger="1" minValue="12" maxValue="180000"/>
    </cacheField>
    <cacheField name="CA Annuel" numFmtId="44">
      <sharedItems containsSemiMixedTypes="0" containsString="0" containsNumber="1" minValue="346.40243902439022" maxValue="2140243.9024390243"/>
    </cacheField>
    <cacheField name="% du CA / Prdt" numFmtId="10">
      <sharedItems containsSemiMixedTypes="0" containsString="0" containsNumber="1" minValue="2.0250107830665733E-5" maxValue="0.12511508270663038"/>
    </cacheField>
    <cacheField name="CA Cumulé" numFmtId="44">
      <sharedItems containsSemiMixedTypes="0" containsString="0" containsNumber="1" minValue="2140243.9024390243" maxValue="17106202.195121944" count="48">
        <n v="2140243.9024390243"/>
        <n v="4042682.9268292682"/>
        <n v="5945121.9512195121"/>
        <n v="6896341.4634146346"/>
        <n v="7823780.4878048785"/>
        <n v="8751219.5121951234"/>
        <n v="9500304.8780487813"/>
        <n v="10094817.073170733"/>
        <n v="10665548.780487806"/>
        <n v="11200609.756097563"/>
        <n v="11695243.902439026"/>
        <n v="12147073.170731708"/>
        <n v="12598902.439024391"/>
        <n v="13050731.707317073"/>
        <n v="13478780.487804879"/>
        <n v="13811707.317073172"/>
        <n v="14108963.414634148"/>
        <n v="14394329.268292684"/>
        <n v="14655914.634146342"/>
        <n v="14905609.756097561"/>
        <n v="15143176.829268292"/>
        <n v="15375036.585365852"/>
        <n v="15565280.487804877"/>
        <n v="15742841.463414634"/>
        <n v="15895036.585365852"/>
        <n v="16038682.621951219"/>
        <n v="16163530.182926828"/>
        <n v="16268164.329268292"/>
        <n v="16365569.207317073"/>
        <n v="16460691.158536585"/>
        <n v="16555813.109756097"/>
        <n v="16641422.865853658"/>
        <n v="16708008.231707316"/>
        <n v="16774593.597560974"/>
        <n v="16828099.695121948"/>
        <n v="16880416.76829268"/>
        <n v="16920367.987804875"/>
        <n v="16959605.792682923"/>
        <n v="16990044.817073166"/>
        <n v="17016441.158536579"/>
        <n v="17036654.573170725"/>
        <n v="17051636.280487798"/>
        <n v="17066475.304878041"/>
        <n v="17079868.47560975"/>
        <n v="17091587.499999993"/>
        <n v="17103002.134146333"/>
        <n v="17105855.79268292"/>
        <n v="17106202.195121944"/>
      </sharedItems>
    </cacheField>
    <cacheField name="% du CA cumulé" numFmtId="10">
      <sharedItems containsSemiMixedTypes="0" containsString="0" containsNumber="1" minValue="0.12511508270663038" maxValue="1"/>
    </cacheField>
    <cacheField name="Frns Antonoir 1" numFmtId="2">
      <sharedItems count="6">
        <s v="F1"/>
        <s v="F7"/>
        <s v="F6"/>
        <s v="F3"/>
        <s v="F2"/>
        <s v="F4"/>
      </sharedItems>
    </cacheField>
    <cacheField name="CA Frns Antonoir 1" numFmtId="44">
      <sharedItems containsSemiMixedTypes="0" containsString="0" containsNumber="1" minValue="173.20121951219511" maxValue="1070121.9512195121" count="42">
        <n v="1070121.9512195121"/>
        <n v="951219.51219512208"/>
        <n v="475609.75609756104"/>
        <n v="463719.51219512202"/>
        <n v="374542.68292682926"/>
        <n v="297256.09756097564"/>
        <n v="285365.85365853662"/>
        <n v="267530.48780487804"/>
        <n v="247317.07317073175"/>
        <n v="225914.63414634147"/>
        <n v="214024.39024390245"/>
        <n v="166463.41463414635"/>
        <n v="148628.04878048782"/>
        <n v="142682.92682926828"/>
        <n v="130792.68292682928"/>
        <n v="124847.56097560975"/>
        <n v="118783.53658536586"/>
        <n v="115929.87804878049"/>
        <n v="95121.951219512208"/>
        <n v="88780.487804878067"/>
        <n v="76097.560975609769"/>
        <n v="71823.018292682929"/>
        <n v="62423.780487804877"/>
        <n v="52317.07317073171"/>
        <n v="48702.439024390245"/>
        <n v="47560.975609756104"/>
        <n v="42804.878048780491"/>
        <n v="33292.682926829271"/>
        <n v="26753.04878048781"/>
        <n v="26158.536585365855"/>
        <n v="19975.609756097561"/>
        <n v="19618.90243902439"/>
        <n v="15219.512195121952"/>
        <n v="13198.170731707318"/>
        <n v="10106.707317073173"/>
        <n v="7490.8536585365855"/>
        <n v="7419.5121951219517"/>
        <n v="6696.5853658536598"/>
        <n v="5859.5121951219517"/>
        <n v="5707.3170731707323"/>
        <n v="1426.8292682926831"/>
        <n v="173.20121951219511"/>
      </sharedItems>
    </cacheField>
    <cacheField name="Frns Antonoir 2" numFmtId="2">
      <sharedItems count="4">
        <s v="F5"/>
        <s v="F1"/>
        <s v="F2"/>
        <s v="F3"/>
      </sharedItems>
    </cacheField>
    <cacheField name="CA Frns Antonoir 2" numFmtId="44">
      <sharedItems containsSemiMixedTypes="0" containsString="0" containsNumber="1" minValue="103.92073170731706" maxValue="642073.17073170724" count="41">
        <n v="642073.17073170724"/>
        <n v="570731.70731707325"/>
        <n v="285365.85365853662"/>
        <n v="278231.70731707319"/>
        <n v="224725.60975609755"/>
        <n v="178353.65853658537"/>
        <n v="160518.29268292681"/>
        <n v="247317.07317073175"/>
        <n v="135548.78048780488"/>
        <n v="128414.63414634147"/>
        <n v="99878.048780487807"/>
        <n v="89176.829268292684"/>
        <n v="142682.92682926828"/>
        <n v="78475.609756097561"/>
        <n v="74908.536585365844"/>
        <n v="71270.121951219509"/>
        <n v="69557.926829268297"/>
        <n v="57073.170731707323"/>
        <n v="53268.29268292684"/>
        <n v="45658.536585365859"/>
        <n v="43093.810975609755"/>
        <n v="37454.268292682922"/>
        <n v="31390.243902439026"/>
        <n v="29221.463414634145"/>
        <n v="28536.585365853662"/>
        <n v="25682.926829268294"/>
        <n v="19975.609756097561"/>
        <n v="16051.829268292686"/>
        <n v="15695.121951219513"/>
        <n v="11985.365853658537"/>
        <n v="11771.341463414634"/>
        <n v="9131.707317073171"/>
        <n v="7918.9024390243903"/>
        <n v="6064.0243902439033"/>
        <n v="4494.5121951219508"/>
        <n v="4451.707317073171"/>
        <n v="4017.9512195121956"/>
        <n v="3515.707317073171"/>
        <n v="3424.3902439024391"/>
        <n v="856.09756097560978"/>
        <n v="103.92073170731706"/>
      </sharedItems>
    </cacheField>
    <cacheField name="Frns Antonoir 3" numFmtId="2">
      <sharedItems containsBlank="1" count="5">
        <s v="F6"/>
        <s v="F5"/>
        <s v="F1"/>
        <m/>
        <s v="F3"/>
      </sharedItems>
    </cacheField>
    <cacheField name="CA Frns Antonoir 3" numFmtId="44">
      <sharedItems containsString="0" containsBlank="1" containsNumber="1" minValue="69.280487804878049" maxValue="428048.7804878049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MK" refreshedDate="43140.549951273148" createdVersion="6" refreshedVersion="6" minRefreshableVersion="3" recordCount="144">
  <cacheSource type="worksheet">
    <worksheetSource name="Tableau13_2"/>
  </cacheSource>
  <cacheFields count="16">
    <cacheField name="%" numFmtId="9">
      <sharedItems containsString="0" containsBlank="1" containsNumber="1" minValue="2.0833333333333332E-2" maxValue="1"/>
    </cacheField>
    <cacheField name="N°" numFmtId="0">
      <sharedItems containsString="0" containsBlank="1" containsNumber="1" containsInteger="1" minValue="1" maxValue="48"/>
    </cacheField>
    <cacheField name="Références" numFmtId="0">
      <sharedItems containsString="0" containsBlank="1" containsNumber="1" containsInteger="1" minValue="1710" maxValue="9904" count="49">
        <n v="8602"/>
        <n v="8601"/>
        <n v="4803"/>
        <n v="8603"/>
        <n v="1714"/>
        <n v="1715"/>
        <n v="9901"/>
        <n v="8604"/>
        <n v="2312"/>
        <n v="4802"/>
        <n v="2310"/>
        <n v="1717"/>
        <n v="1710"/>
        <n v="1711"/>
        <n v="6502"/>
        <n v="6501"/>
        <n v="6504"/>
        <n v="2311"/>
        <n v="9903"/>
        <n v="7302"/>
        <n v="1713"/>
        <n v="7301"/>
        <n v="6503"/>
        <n v="1716"/>
        <n v="9902"/>
        <n v="4801"/>
        <n v="7304"/>
        <n v="3304"/>
        <n v="2202"/>
        <n v="7911"/>
        <n v="7305"/>
        <n v="7303"/>
        <n v="7306"/>
        <n v="3301"/>
        <n v="5402"/>
        <n v="6505"/>
        <n v="2201"/>
        <n v="9904"/>
        <n v="5403"/>
        <n v="5401"/>
        <n v="4501"/>
        <n v="3302"/>
        <n v="1712"/>
        <n v="5002"/>
        <n v="5001"/>
        <n v="5404"/>
        <n v="2203"/>
        <n v="7910"/>
        <m/>
      </sharedItems>
    </cacheField>
    <cacheField name="Famille" numFmtId="0">
      <sharedItems containsString="0" containsBlank="1" containsNumber="1" containsInteger="1" minValue="17" maxValue="99"/>
    </cacheField>
    <cacheField name="Désignation" numFmtId="0">
      <sharedItems containsBlank="1" count="49">
        <s v="Peinture Glycéro Blanche"/>
        <s v="Peinture Glycero"/>
        <s v="Rouleaux laine verre"/>
        <s v="Peinture Vinyl"/>
        <s v="Plaque Novopan 10 mm"/>
        <s v="Plaque Novopan 15 mm"/>
        <s v="Chaudière Gaz"/>
        <s v="Peinture Sous Marine marque XYLOPRO"/>
        <s v="Lave-Linge"/>
        <s v="Plaque Laine verre"/>
        <s v="Cuisinière"/>
        <s v="Bastaings"/>
        <s v="Contreplaqué de 2"/>
        <s v="Contreplaque de 4"/>
        <s v="Vanne  15 x 21"/>
        <s v="Vanne fonte 50 x 60"/>
        <s v="Vanne 26 x 34"/>
        <s v="Lave-vaisselle"/>
        <s v="Radiateur Fonte"/>
        <s v="Lavabo"/>
        <s v="Planche Sapin 10 x"/>
        <s v="Baignoire"/>
        <s v="Vanne 20 x 27"/>
        <s v="Planche chêne "/>
        <s v="Convecteur"/>
        <s v="Plaque Polystyrène"/>
        <s v="Bidet"/>
        <s v="Fer béton 12,0=5"/>
        <s v="Tôles G 1000 x 2000 x 4"/>
        <s v="Huile de lin"/>
        <s v="Receveur Douche"/>
        <s v="Pied de lavabo"/>
        <s v="Armoire Toilette"/>
        <s v="Fer béton 12 m,0=6"/>
        <s v="Tube acier 6m20 x 27"/>
        <s v="Robinet 1/420"/>
        <s v="Tôles G 1000 x 2000 x 2"/>
        <s v="Chaudière Fioul"/>
        <s v="Tube acier 6m26 x 34"/>
        <s v="Tube acier 6m15 x 21"/>
        <s v="Cornières 6m30 x 30 x 5"/>
        <s v="Fer béton 12 m,0=4"/>
        <s v="Planche Sipo 12 x"/>
        <s v="Oxygène"/>
        <s v="Acétylène"/>
        <s v="Tube acier 6m50 x 60"/>
        <s v="Tôles G 1000 x 2000 x 5"/>
        <s v="Vernis Synthétique"/>
        <m/>
      </sharedItems>
    </cacheField>
    <cacheField name="Prix unitaire" numFmtId="0">
      <sharedItems containsString="0" containsBlank="1" containsNumber="1" minValue="1.9817073170731709" maxValue="1189.0243902439024"/>
    </cacheField>
    <cacheField name="Quantité" numFmtId="0">
      <sharedItems containsString="0" containsBlank="1" containsNumber="1" containsInteger="1" minValue="12" maxValue="180000"/>
    </cacheField>
    <cacheField name="CA Annuel" numFmtId="0">
      <sharedItems containsString="0" containsBlank="1" containsNumber="1" minValue="346.4024" maxValue="2140243.9024"/>
    </cacheField>
    <cacheField name="% du CA / Prdt" numFmtId="0">
      <sharedItems containsString="0" containsBlank="1" containsNumber="1" minValue="2.0250107830665733E-5" maxValue="0.12511508270663038"/>
    </cacheField>
    <cacheField name="CA Cumulé" numFmtId="0">
      <sharedItems containsString="0" containsBlank="1" containsNumber="1" minValue="2140243.9024" maxValue="17106202.195099998"/>
    </cacheField>
    <cacheField name="% du CA cumulé" numFmtId="0">
      <sharedItems containsString="0" containsBlank="1" containsNumber="1" minValue="0.12511508270663038" maxValue="1"/>
    </cacheField>
    <cacheField name="Frns Entonnoir 1" numFmtId="0">
      <sharedItems containsBlank="1" count="7">
        <s v="F1"/>
        <s v="F7"/>
        <s v="F6"/>
        <s v="F3"/>
        <s v="F2"/>
        <s v="F4"/>
        <m/>
      </sharedItems>
    </cacheField>
    <cacheField name="Frns Entonnoir 2" numFmtId="0">
      <sharedItems containsBlank="1" count="5">
        <s v="F5"/>
        <s v="F1"/>
        <s v="F2"/>
        <s v="F3"/>
        <m/>
      </sharedItems>
    </cacheField>
    <cacheField name="Frns Entonnoir 3" numFmtId="0">
      <sharedItems containsBlank="1" count="5">
        <s v="F6"/>
        <s v="F5"/>
        <s v="F1"/>
        <m/>
        <s v="F3"/>
      </sharedItems>
    </cacheField>
    <cacheField name="Four" numFmtId="0">
      <sharedItems containsBlank="1" count="4">
        <s v="CA Frns Entonnoir 1"/>
        <s v="CA Frns Entonnoir 2"/>
        <s v="CA Frns Entonnoir 3"/>
        <m/>
      </sharedItems>
    </cacheField>
    <cacheField name="Valeur" numFmtId="0">
      <sharedItems containsString="0" containsBlank="1" containsNumber="1" minValue="69.280500000000004" maxValue="1070121.95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n v="2.0833333333333332E-2"/>
    <n v="1"/>
    <n v="8602"/>
    <x v="0"/>
    <x v="0"/>
    <x v="0"/>
    <n v="180000"/>
    <n v="2140243.9024390243"/>
    <n v="0.12511508270663038"/>
    <x v="0"/>
    <n v="0.12511508270663038"/>
    <x v="0"/>
    <x v="0"/>
    <x v="0"/>
    <x v="0"/>
    <x v="0"/>
    <n v="428048.78048780491"/>
  </r>
  <r>
    <n v="6.25E-2"/>
    <n v="3"/>
    <n v="8601"/>
    <x v="0"/>
    <x v="1"/>
    <x v="1"/>
    <n v="120000"/>
    <n v="1902439.0243902442"/>
    <n v="0.11121340685033815"/>
    <x v="1"/>
    <n v="0.2363284895569685"/>
    <x v="0"/>
    <x v="1"/>
    <x v="0"/>
    <x v="1"/>
    <x v="0"/>
    <n v="380487.80487804883"/>
  </r>
  <r>
    <n v="4.1666666666666664E-2"/>
    <n v="2"/>
    <n v="4803"/>
    <x v="1"/>
    <x v="2"/>
    <x v="1"/>
    <n v="120000"/>
    <n v="1902439.0243902442"/>
    <n v="0.11121340685033815"/>
    <x v="2"/>
    <n v="0.34754189640730665"/>
    <x v="1"/>
    <x v="1"/>
    <x v="1"/>
    <x v="1"/>
    <x v="1"/>
    <n v="380487.80487804883"/>
  </r>
  <r>
    <n v="8.3333333333333329E-2"/>
    <n v="4"/>
    <n v="8603"/>
    <x v="0"/>
    <x v="3"/>
    <x v="2"/>
    <n v="120000"/>
    <n v="951219.51219512208"/>
    <n v="5.5606703425169074E-2"/>
    <x v="3"/>
    <n v="0.40314859983247575"/>
    <x v="0"/>
    <x v="2"/>
    <x v="0"/>
    <x v="2"/>
    <x v="0"/>
    <n v="190243.90243902442"/>
  </r>
  <r>
    <n v="0.10416666666666667"/>
    <n v="5"/>
    <n v="1714"/>
    <x v="2"/>
    <x v="4"/>
    <x v="3"/>
    <n v="180000"/>
    <n v="927439.02439024404"/>
    <n v="5.4216535839539844E-2"/>
    <x v="4"/>
    <n v="0.45736513567201559"/>
    <x v="0"/>
    <x v="3"/>
    <x v="2"/>
    <x v="3"/>
    <x v="1"/>
    <n v="185487.80487804883"/>
  </r>
  <r>
    <n v="0.125"/>
    <n v="6"/>
    <n v="1715"/>
    <x v="2"/>
    <x v="5"/>
    <x v="3"/>
    <n v="180000"/>
    <n v="927439.02439024404"/>
    <n v="5.4216535839539844E-2"/>
    <x v="5"/>
    <n v="0.51158167151155542"/>
    <x v="0"/>
    <x v="3"/>
    <x v="2"/>
    <x v="3"/>
    <x v="1"/>
    <n v="185487.80487804883"/>
  </r>
  <r>
    <n v="0.14583333333333334"/>
    <n v="7"/>
    <n v="9901"/>
    <x v="3"/>
    <x v="6"/>
    <x v="4"/>
    <n v="1080"/>
    <n v="749085.36585365853"/>
    <n v="4.3790278947320634E-2"/>
    <x v="6"/>
    <n v="0.55537195045887611"/>
    <x v="0"/>
    <x v="4"/>
    <x v="3"/>
    <x v="4"/>
    <x v="1"/>
    <n v="149817.07317073172"/>
  </r>
  <r>
    <n v="0.16666666666666666"/>
    <n v="8"/>
    <n v="8604"/>
    <x v="0"/>
    <x v="7"/>
    <x v="5"/>
    <n v="12000"/>
    <n v="594512.19512195128"/>
    <n v="3.4754189640730668E-2"/>
    <x v="7"/>
    <n v="0.59012614009960673"/>
    <x v="2"/>
    <x v="5"/>
    <x v="0"/>
    <x v="5"/>
    <x v="2"/>
    <n v="118902.43902439026"/>
  </r>
  <r>
    <n v="0.1875"/>
    <n v="9"/>
    <n v="2312"/>
    <x v="4"/>
    <x v="8"/>
    <x v="6"/>
    <n v="720"/>
    <n v="570731.70731707325"/>
    <n v="3.3364022055101444E-2"/>
    <x v="8"/>
    <n v="0.62349016215470821"/>
    <x v="3"/>
    <x v="6"/>
    <x v="0"/>
    <x v="2"/>
    <x v="3"/>
    <m/>
  </r>
  <r>
    <n v="0.20833333333333334"/>
    <n v="10"/>
    <n v="4802"/>
    <x v="1"/>
    <x v="9"/>
    <x v="7"/>
    <n v="18000"/>
    <n v="535060.97560975607"/>
    <n v="3.1278770676657595E-2"/>
    <x v="9"/>
    <n v="0.65476893283136584"/>
    <x v="1"/>
    <x v="7"/>
    <x v="1"/>
    <x v="6"/>
    <x v="1"/>
    <n v="107012.19512195123"/>
  </r>
  <r>
    <n v="0.22916666666666666"/>
    <n v="11"/>
    <n v="2310"/>
    <x v="4"/>
    <x v="10"/>
    <x v="8"/>
    <n v="780"/>
    <n v="494634.14634146349"/>
    <n v="2.8915485781087918E-2"/>
    <x v="10"/>
    <n v="0.68368441861245377"/>
    <x v="3"/>
    <x v="8"/>
    <x v="0"/>
    <x v="7"/>
    <x v="3"/>
    <m/>
  </r>
  <r>
    <n v="0.29166666666666669"/>
    <n v="14"/>
    <n v="1717"/>
    <x v="2"/>
    <x v="11"/>
    <x v="9"/>
    <n v="24000"/>
    <n v="451829.26829268294"/>
    <n v="2.6413184126955307E-2"/>
    <x v="11"/>
    <n v="0.71009760273940903"/>
    <x v="4"/>
    <x v="9"/>
    <x v="0"/>
    <x v="8"/>
    <x v="4"/>
    <n v="90365.853658536595"/>
  </r>
  <r>
    <n v="0.25"/>
    <n v="12"/>
    <n v="1710"/>
    <x v="2"/>
    <x v="12"/>
    <x v="10"/>
    <n v="60000"/>
    <n v="451829.26829268294"/>
    <n v="2.6413184126955307E-2"/>
    <x v="12"/>
    <n v="0.73651078686636429"/>
    <x v="4"/>
    <x v="9"/>
    <x v="0"/>
    <x v="8"/>
    <x v="4"/>
    <n v="90365.853658536595"/>
  </r>
  <r>
    <n v="0.27083333333333331"/>
    <n v="13"/>
    <n v="1711"/>
    <x v="2"/>
    <x v="13"/>
    <x v="10"/>
    <n v="60000"/>
    <n v="451829.26829268294"/>
    <n v="2.6413184126955307E-2"/>
    <x v="13"/>
    <n v="0.76292397099331954"/>
    <x v="0"/>
    <x v="9"/>
    <x v="2"/>
    <x v="8"/>
    <x v="1"/>
    <n v="90365.853658536595"/>
  </r>
  <r>
    <n v="0.3125"/>
    <n v="15"/>
    <n v="6502"/>
    <x v="5"/>
    <x v="14"/>
    <x v="11"/>
    <n v="12000"/>
    <n v="428048.78048780491"/>
    <n v="2.502301654132608E-2"/>
    <x v="14"/>
    <n v="0.78794698753464565"/>
    <x v="0"/>
    <x v="10"/>
    <x v="3"/>
    <x v="9"/>
    <x v="1"/>
    <n v="85609.756097560981"/>
  </r>
  <r>
    <n v="0.33333333333333331"/>
    <n v="16"/>
    <n v="6501"/>
    <x v="5"/>
    <x v="15"/>
    <x v="12"/>
    <n v="2400"/>
    <n v="332926.8292682927"/>
    <n v="1.9462346198809172E-2"/>
    <x v="15"/>
    <n v="0.80740933373345491"/>
    <x v="0"/>
    <x v="11"/>
    <x v="3"/>
    <x v="10"/>
    <x v="1"/>
    <n v="66585.365853658543"/>
  </r>
  <r>
    <n v="0.35416666666666669"/>
    <n v="17"/>
    <n v="6504"/>
    <x v="5"/>
    <x v="16"/>
    <x v="5"/>
    <n v="6000"/>
    <n v="297256.09756097564"/>
    <n v="1.7377094820365334E-2"/>
    <x v="16"/>
    <n v="0.82478642855382023"/>
    <x v="0"/>
    <x v="12"/>
    <x v="3"/>
    <x v="11"/>
    <x v="1"/>
    <n v="59451.21951219513"/>
  </r>
  <r>
    <n v="0.375"/>
    <n v="18"/>
    <n v="2311"/>
    <x v="4"/>
    <x v="17"/>
    <x v="13"/>
    <n v="240"/>
    <n v="285365.85365853657"/>
    <n v="1.6682011027550719E-2"/>
    <x v="17"/>
    <n v="0.84146843958137096"/>
    <x v="3"/>
    <x v="13"/>
    <x v="0"/>
    <x v="12"/>
    <x v="3"/>
    <m/>
  </r>
  <r>
    <n v="0.39583333333333331"/>
    <n v="19"/>
    <n v="9903"/>
    <x v="3"/>
    <x v="18"/>
    <x v="14"/>
    <n v="1200"/>
    <n v="261585.36585365856"/>
    <n v="1.5291843441921494E-2"/>
    <x v="18"/>
    <n v="0.85676028302329232"/>
    <x v="0"/>
    <x v="14"/>
    <x v="3"/>
    <x v="13"/>
    <x v="1"/>
    <n v="52317.073170731717"/>
  </r>
  <r>
    <n v="0.41666666666666669"/>
    <n v="20"/>
    <n v="7302"/>
    <x v="6"/>
    <x v="19"/>
    <x v="15"/>
    <n v="3600"/>
    <n v="249695.12195121951"/>
    <n v="1.4596759649106878E-2"/>
    <x v="19"/>
    <n v="0.87135704267239922"/>
    <x v="0"/>
    <x v="15"/>
    <x v="3"/>
    <x v="14"/>
    <x v="1"/>
    <n v="49939.024390243903"/>
  </r>
  <r>
    <n v="0.4375"/>
    <n v="21"/>
    <n v="1713"/>
    <x v="2"/>
    <x v="20"/>
    <x v="16"/>
    <n v="4440"/>
    <n v="237567.07317073172"/>
    <n v="1.3887774180435974E-2"/>
    <x v="20"/>
    <n v="0.88524481685283518"/>
    <x v="4"/>
    <x v="16"/>
    <x v="0"/>
    <x v="15"/>
    <x v="2"/>
    <n v="47513.414634146349"/>
  </r>
  <r>
    <n v="0.45833333333333331"/>
    <n v="22"/>
    <n v="7301"/>
    <x v="6"/>
    <x v="21"/>
    <x v="17"/>
    <n v="1800"/>
    <n v="231859.75609756098"/>
    <n v="1.3554133959884959E-2"/>
    <x v="21"/>
    <n v="0.8987989508127201"/>
    <x v="0"/>
    <x v="17"/>
    <x v="3"/>
    <x v="16"/>
    <x v="1"/>
    <n v="46371.951219512201"/>
  </r>
  <r>
    <n v="0.47916666666666669"/>
    <n v="23"/>
    <n v="6503"/>
    <x v="5"/>
    <x v="22"/>
    <x v="18"/>
    <n v="4800"/>
    <n v="190243.90243902442"/>
    <n v="1.1121340685033815E-2"/>
    <x v="22"/>
    <n v="0.90992029149775389"/>
    <x v="0"/>
    <x v="18"/>
    <x v="3"/>
    <x v="17"/>
    <x v="1"/>
    <n v="38048.780487804885"/>
  </r>
  <r>
    <n v="0.5"/>
    <n v="24"/>
    <n v="1716"/>
    <x v="2"/>
    <x v="23"/>
    <x v="8"/>
    <n v="280"/>
    <n v="177560.97560975613"/>
    <n v="1.0379917972698226E-2"/>
    <x v="23"/>
    <n v="0.92030020947045221"/>
    <x v="4"/>
    <x v="19"/>
    <x v="0"/>
    <x v="18"/>
    <x v="2"/>
    <n v="35512.195121951227"/>
  </r>
  <r>
    <n v="0.52083333333333337"/>
    <n v="25"/>
    <n v="9902"/>
    <x v="3"/>
    <x v="24"/>
    <x v="19"/>
    <n v="1920"/>
    <n v="152195.12195121954"/>
    <n v="8.8970725480270515E-3"/>
    <x v="24"/>
    <n v="0.92919728201847918"/>
    <x v="0"/>
    <x v="20"/>
    <x v="3"/>
    <x v="19"/>
    <x v="1"/>
    <n v="30439.024390243911"/>
  </r>
  <r>
    <n v="0.54166666666666663"/>
    <n v="26"/>
    <n v="4801"/>
    <x v="1"/>
    <x v="25"/>
    <x v="11"/>
    <n v="4027"/>
    <n v="143646.03658536586"/>
    <n v="8.3973073009933428E-3"/>
    <x v="25"/>
    <n v="0.93759458931947259"/>
    <x v="1"/>
    <x v="21"/>
    <x v="1"/>
    <x v="20"/>
    <x v="1"/>
    <n v="28729.207317073175"/>
  </r>
  <r>
    <n v="0.5625"/>
    <n v="27"/>
    <n v="7304"/>
    <x v="6"/>
    <x v="26"/>
    <x v="15"/>
    <n v="1800"/>
    <n v="124847.56097560975"/>
    <n v="7.2983798245534392E-3"/>
    <x v="26"/>
    <n v="0.94489296914402598"/>
    <x v="0"/>
    <x v="22"/>
    <x v="3"/>
    <x v="21"/>
    <x v="1"/>
    <n v="24969.512195121952"/>
  </r>
  <r>
    <n v="0.58333333333333337"/>
    <n v="28"/>
    <n v="3304"/>
    <x v="7"/>
    <x v="27"/>
    <x v="20"/>
    <n v="240"/>
    <n v="104634.14634146342"/>
    <n v="6.1167373767685969E-3"/>
    <x v="27"/>
    <n v="0.95100970652079453"/>
    <x v="5"/>
    <x v="23"/>
    <x v="0"/>
    <x v="22"/>
    <x v="2"/>
    <n v="20926.829268292684"/>
  </r>
  <r>
    <n v="0.60416666666666663"/>
    <n v="29"/>
    <n v="2202"/>
    <x v="8"/>
    <x v="28"/>
    <x v="21"/>
    <n v="480"/>
    <n v="97404.878048780491"/>
    <n v="5.694126430737312E-3"/>
    <x v="28"/>
    <n v="0.95670383295153194"/>
    <x v="5"/>
    <x v="24"/>
    <x v="0"/>
    <x v="23"/>
    <x v="2"/>
    <n v="19480.9756097561"/>
  </r>
  <r>
    <n v="0.64583333333333337"/>
    <n v="31"/>
    <n v="7911"/>
    <x v="9"/>
    <x v="29"/>
    <x v="22"/>
    <n v="48000"/>
    <n v="95121.951219512208"/>
    <n v="5.5606703425169074E-3"/>
    <x v="29"/>
    <n v="0.96226450329404878"/>
    <x v="0"/>
    <x v="25"/>
    <x v="0"/>
    <x v="24"/>
    <x v="0"/>
    <n v="19024.390243902442"/>
  </r>
  <r>
    <n v="0.625"/>
    <n v="30"/>
    <n v="7305"/>
    <x v="6"/>
    <x v="30"/>
    <x v="19"/>
    <n v="1200"/>
    <n v="95121.951219512208"/>
    <n v="5.5606703425169074E-3"/>
    <x v="30"/>
    <n v="0.96782517363656573"/>
    <x v="0"/>
    <x v="25"/>
    <x v="3"/>
    <x v="24"/>
    <x v="1"/>
    <n v="19024.390243902442"/>
  </r>
  <r>
    <n v="0.66666666666666663"/>
    <n v="32"/>
    <n v="7303"/>
    <x v="6"/>
    <x v="31"/>
    <x v="23"/>
    <n v="3600"/>
    <n v="85609.756097560981"/>
    <n v="5.0046033082652161E-3"/>
    <x v="31"/>
    <n v="0.97282977694483097"/>
    <x v="0"/>
    <x v="26"/>
    <x v="3"/>
    <x v="25"/>
    <x v="1"/>
    <n v="17121.951219512197"/>
  </r>
  <r>
    <n v="0.70833333333333337"/>
    <n v="34"/>
    <n v="7306"/>
    <x v="6"/>
    <x v="32"/>
    <x v="24"/>
    <n v="1200"/>
    <n v="66585.365853658543"/>
    <n v="3.8924692397618349E-3"/>
    <x v="32"/>
    <n v="0.97672224618459269"/>
    <x v="0"/>
    <x v="27"/>
    <x v="3"/>
    <x v="26"/>
    <x v="1"/>
    <n v="13317.07317073171"/>
  </r>
  <r>
    <n v="0.6875"/>
    <n v="33"/>
    <n v="3301"/>
    <x v="7"/>
    <x v="33"/>
    <x v="25"/>
    <n v="120"/>
    <n v="66585.365853658543"/>
    <n v="3.8924692397618349E-3"/>
    <x v="33"/>
    <n v="0.98061471542435452"/>
    <x v="5"/>
    <x v="27"/>
    <x v="0"/>
    <x v="26"/>
    <x v="2"/>
    <n v="13317.07317073171"/>
  </r>
  <r>
    <n v="0.72916666666666663"/>
    <n v="35"/>
    <n v="5402"/>
    <x v="10"/>
    <x v="34"/>
    <x v="26"/>
    <n v="10800"/>
    <n v="53506.097560975621"/>
    <n v="3.1278770676657604E-3"/>
    <x v="34"/>
    <n v="0.98374259249202023"/>
    <x v="5"/>
    <x v="28"/>
    <x v="0"/>
    <x v="27"/>
    <x v="2"/>
    <n v="10701.219512195124"/>
  </r>
  <r>
    <n v="0.75"/>
    <n v="36"/>
    <n v="6505"/>
    <x v="5"/>
    <x v="35"/>
    <x v="27"/>
    <n v="2400"/>
    <n v="52317.07317073171"/>
    <n v="3.0583686883842985E-3"/>
    <x v="35"/>
    <n v="0.9868009611804045"/>
    <x v="0"/>
    <x v="29"/>
    <x v="3"/>
    <x v="28"/>
    <x v="1"/>
    <n v="10463.414634146342"/>
  </r>
  <r>
    <n v="0.77083333333333337"/>
    <n v="37"/>
    <n v="2201"/>
    <x v="8"/>
    <x v="36"/>
    <x v="28"/>
    <n v="360"/>
    <n v="39951.219512195123"/>
    <n v="2.3354815438571008E-3"/>
    <x v="36"/>
    <n v="0.9891364427242616"/>
    <x v="5"/>
    <x v="30"/>
    <x v="0"/>
    <x v="29"/>
    <x v="2"/>
    <n v="7990.2439024390251"/>
  </r>
  <r>
    <n v="0.79166666666666663"/>
    <n v="38"/>
    <n v="9904"/>
    <x v="3"/>
    <x v="37"/>
    <x v="29"/>
    <n v="36"/>
    <n v="39237.804878048781"/>
    <n v="2.293776516288224E-3"/>
    <x v="37"/>
    <n v="0.99143021924054986"/>
    <x v="0"/>
    <x v="31"/>
    <x v="3"/>
    <x v="30"/>
    <x v="1"/>
    <n v="7847.5609756097565"/>
  </r>
  <r>
    <n v="0.8125"/>
    <n v="39"/>
    <n v="5403"/>
    <x v="10"/>
    <x v="38"/>
    <x v="30"/>
    <n v="4800"/>
    <n v="30439.024390243903"/>
    <n v="1.7794145096054102E-3"/>
    <x v="38"/>
    <n v="0.99320963375015514"/>
    <x v="5"/>
    <x v="32"/>
    <x v="0"/>
    <x v="31"/>
    <x v="2"/>
    <n v="6087.8048780487807"/>
  </r>
  <r>
    <n v="0.83333333333333337"/>
    <n v="40"/>
    <n v="5401"/>
    <x v="10"/>
    <x v="39"/>
    <x v="31"/>
    <n v="7200"/>
    <n v="26396.341463414636"/>
    <n v="1.5430860200484416E-3"/>
    <x v="39"/>
    <n v="0.99475271977020352"/>
    <x v="5"/>
    <x v="33"/>
    <x v="0"/>
    <x v="32"/>
    <x v="2"/>
    <n v="5279.2682926829275"/>
  </r>
  <r>
    <n v="0.85416666666666663"/>
    <n v="41"/>
    <n v="4501"/>
    <x v="11"/>
    <x v="40"/>
    <x v="32"/>
    <n v="120"/>
    <n v="20213.414634146346"/>
    <n v="1.1816424477848427E-3"/>
    <x v="40"/>
    <n v="0.99593436221798837"/>
    <x v="5"/>
    <x v="34"/>
    <x v="0"/>
    <x v="33"/>
    <x v="2"/>
    <n v="4042.6829268292695"/>
  </r>
  <r>
    <n v="0.875"/>
    <n v="42"/>
    <n v="3302"/>
    <x v="7"/>
    <x v="41"/>
    <x v="33"/>
    <n v="36"/>
    <n v="14981.707317073171"/>
    <n v="8.7580557894641274E-4"/>
    <x v="41"/>
    <n v="0.99681016779693477"/>
    <x v="5"/>
    <x v="35"/>
    <x v="0"/>
    <x v="34"/>
    <x v="2"/>
    <n v="2996.3414634146343"/>
  </r>
  <r>
    <n v="0.89583333333333337"/>
    <n v="43"/>
    <n v="1712"/>
    <x v="2"/>
    <x v="42"/>
    <x v="34"/>
    <n v="1920"/>
    <n v="14839.024390243903"/>
    <n v="8.6746457343263739E-4"/>
    <x v="42"/>
    <n v="0.99767763237036733"/>
    <x v="0"/>
    <x v="36"/>
    <x v="2"/>
    <x v="35"/>
    <x v="1"/>
    <n v="2967.8048780487807"/>
  </r>
  <r>
    <n v="0.91666666666666663"/>
    <n v="44"/>
    <n v="5002"/>
    <x v="12"/>
    <x v="43"/>
    <x v="35"/>
    <n v="6144"/>
    <n v="13393.17073170732"/>
    <n v="7.8294238422638054E-4"/>
    <x v="43"/>
    <n v="0.99846057475459371"/>
    <x v="5"/>
    <x v="37"/>
    <x v="0"/>
    <x v="36"/>
    <x v="2"/>
    <n v="2678.6341463414642"/>
  </r>
  <r>
    <n v="0.9375"/>
    <n v="45"/>
    <n v="5001"/>
    <x v="12"/>
    <x v="44"/>
    <x v="35"/>
    <n v="5376"/>
    <n v="11719.024390243903"/>
    <n v="6.8507458619808295E-4"/>
    <x v="44"/>
    <n v="0.99914564934079175"/>
    <x v="5"/>
    <x v="38"/>
    <x v="0"/>
    <x v="37"/>
    <x v="2"/>
    <n v="2343.8048780487807"/>
  </r>
  <r>
    <n v="0.95833333333333337"/>
    <n v="46"/>
    <n v="5404"/>
    <x v="10"/>
    <x v="45"/>
    <x v="36"/>
    <n v="1200"/>
    <n v="11414.634146341465"/>
    <n v="6.6728044110202884E-4"/>
    <x v="45"/>
    <n v="0.99981292978189373"/>
    <x v="5"/>
    <x v="39"/>
    <x v="0"/>
    <x v="38"/>
    <x v="2"/>
    <n v="2282.9268292682932"/>
  </r>
  <r>
    <n v="0.97916666666666663"/>
    <n v="47"/>
    <n v="2203"/>
    <x v="8"/>
    <x v="46"/>
    <x v="37"/>
    <n v="12"/>
    <n v="2853.6585365853662"/>
    <n v="1.6682011027550721E-4"/>
    <x v="46"/>
    <n v="0.99997974989216931"/>
    <x v="5"/>
    <x v="40"/>
    <x v="0"/>
    <x v="39"/>
    <x v="2"/>
    <n v="570.7317073170733"/>
  </r>
  <r>
    <n v="1"/>
    <n v="48"/>
    <n v="7910"/>
    <x v="9"/>
    <x v="47"/>
    <x v="10"/>
    <n v="46"/>
    <n v="346.40243902439022"/>
    <n v="2.0250107830665733E-5"/>
    <x v="47"/>
    <n v="1"/>
    <x v="2"/>
    <x v="41"/>
    <x v="0"/>
    <x v="40"/>
    <x v="2"/>
    <n v="69.28048780487804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4">
  <r>
    <n v="2.0833333333333332E-2"/>
    <n v="1"/>
    <x v="0"/>
    <n v="86"/>
    <x v="0"/>
    <n v="11.890243902439025"/>
    <n v="180000"/>
    <n v="2140243.9024"/>
    <n v="0.12511508270663038"/>
    <n v="2140243.9024"/>
    <n v="0.12511508270663038"/>
    <x v="0"/>
    <x v="0"/>
    <x v="0"/>
    <x v="0"/>
    <n v="1070121.9512"/>
  </r>
  <r>
    <n v="2.0833333333333332E-2"/>
    <n v="1"/>
    <x v="0"/>
    <n v="86"/>
    <x v="0"/>
    <n v="11.890243902439025"/>
    <n v="180000"/>
    <n v="2140243.9024"/>
    <n v="0.12511508270663038"/>
    <n v="2140243.9024"/>
    <n v="0.12511508270663038"/>
    <x v="0"/>
    <x v="0"/>
    <x v="0"/>
    <x v="1"/>
    <n v="642073.17070000002"/>
  </r>
  <r>
    <n v="2.0833333333333332E-2"/>
    <n v="1"/>
    <x v="0"/>
    <n v="86"/>
    <x v="0"/>
    <n v="11.890243902439025"/>
    <n v="180000"/>
    <n v="2140243.9024"/>
    <n v="0.12511508270663038"/>
    <n v="2140243.9024"/>
    <n v="0.12511508270663038"/>
    <x v="0"/>
    <x v="0"/>
    <x v="0"/>
    <x v="2"/>
    <n v="428048.78049999999"/>
  </r>
  <r>
    <n v="6.25E-2"/>
    <n v="3"/>
    <x v="1"/>
    <n v="86"/>
    <x v="1"/>
    <n v="15.853658536585368"/>
    <n v="120000"/>
    <n v="1902439.0244"/>
    <n v="0.11121340685033815"/>
    <n v="4042682.9268"/>
    <n v="0.2363284895569685"/>
    <x v="0"/>
    <x v="0"/>
    <x v="0"/>
    <x v="0"/>
    <n v="951219.5122"/>
  </r>
  <r>
    <n v="6.25E-2"/>
    <n v="3"/>
    <x v="1"/>
    <n v="86"/>
    <x v="1"/>
    <n v="15.853658536585368"/>
    <n v="120000"/>
    <n v="1902439.0244"/>
    <n v="0.11121340685033815"/>
    <n v="4042682.9268"/>
    <n v="0.2363284895569685"/>
    <x v="0"/>
    <x v="0"/>
    <x v="0"/>
    <x v="1"/>
    <n v="570731.70730000001"/>
  </r>
  <r>
    <n v="6.25E-2"/>
    <n v="3"/>
    <x v="1"/>
    <n v="86"/>
    <x v="1"/>
    <n v="15.853658536585368"/>
    <n v="120000"/>
    <n v="1902439.0244"/>
    <n v="0.11121340685033815"/>
    <n v="4042682.9268"/>
    <n v="0.2363284895569685"/>
    <x v="0"/>
    <x v="0"/>
    <x v="0"/>
    <x v="2"/>
    <n v="380487.80489999999"/>
  </r>
  <r>
    <n v="4.1666666666666664E-2"/>
    <n v="2"/>
    <x v="2"/>
    <n v="48"/>
    <x v="2"/>
    <n v="15.853658536585368"/>
    <n v="120000"/>
    <n v="1902439.0244"/>
    <n v="0.11121340685033815"/>
    <n v="5945121.9512"/>
    <n v="0.34754189640730665"/>
    <x v="1"/>
    <x v="1"/>
    <x v="1"/>
    <x v="0"/>
    <n v="951219.5122"/>
  </r>
  <r>
    <n v="4.1666666666666664E-2"/>
    <n v="2"/>
    <x v="2"/>
    <n v="48"/>
    <x v="2"/>
    <n v="15.853658536585368"/>
    <n v="120000"/>
    <n v="1902439.0244"/>
    <n v="0.11121340685033815"/>
    <n v="5945121.9512"/>
    <n v="0.34754189640730665"/>
    <x v="1"/>
    <x v="1"/>
    <x v="1"/>
    <x v="1"/>
    <n v="570731.70730000001"/>
  </r>
  <r>
    <n v="4.1666666666666664E-2"/>
    <n v="2"/>
    <x v="2"/>
    <n v="48"/>
    <x v="2"/>
    <n v="15.853658536585368"/>
    <n v="120000"/>
    <n v="1902439.0244"/>
    <n v="0.11121340685033815"/>
    <n v="5945121.9512"/>
    <n v="0.34754189640730665"/>
    <x v="1"/>
    <x v="1"/>
    <x v="1"/>
    <x v="2"/>
    <n v="380487.80489999999"/>
  </r>
  <r>
    <n v="8.3333333333333329E-2"/>
    <n v="4"/>
    <x v="3"/>
    <n v="86"/>
    <x v="3"/>
    <n v="7.9268292682926838"/>
    <n v="120000"/>
    <n v="951219.5122"/>
    <n v="5.5606703425169074E-2"/>
    <n v="6896341.4633999998"/>
    <n v="0.40314859983247575"/>
    <x v="0"/>
    <x v="0"/>
    <x v="0"/>
    <x v="0"/>
    <n v="475609.7561"/>
  </r>
  <r>
    <n v="8.3333333333333329E-2"/>
    <n v="4"/>
    <x v="3"/>
    <n v="86"/>
    <x v="3"/>
    <n v="7.9268292682926838"/>
    <n v="120000"/>
    <n v="951219.5122"/>
    <n v="5.5606703425169074E-2"/>
    <n v="6896341.4633999998"/>
    <n v="0.40314859983247575"/>
    <x v="0"/>
    <x v="0"/>
    <x v="0"/>
    <x v="1"/>
    <n v="285365.85369999998"/>
  </r>
  <r>
    <n v="8.3333333333333329E-2"/>
    <n v="4"/>
    <x v="3"/>
    <n v="86"/>
    <x v="3"/>
    <n v="7.9268292682926838"/>
    <n v="120000"/>
    <n v="951219.5122"/>
    <n v="5.5606703425169074E-2"/>
    <n v="6896341.4633999998"/>
    <n v="0.40314859983247575"/>
    <x v="0"/>
    <x v="0"/>
    <x v="0"/>
    <x v="2"/>
    <n v="190243.90239999999"/>
  </r>
  <r>
    <n v="0.10416666666666667"/>
    <n v="5"/>
    <x v="4"/>
    <n v="17"/>
    <x v="4"/>
    <n v="5.1524390243902447"/>
    <n v="180000"/>
    <n v="927439.02439999999"/>
    <n v="5.4216535839539844E-2"/>
    <n v="7823780.4878000002"/>
    <n v="0.45736513567201559"/>
    <x v="0"/>
    <x v="2"/>
    <x v="1"/>
    <x v="0"/>
    <n v="463719.5122"/>
  </r>
  <r>
    <n v="0.10416666666666667"/>
    <n v="5"/>
    <x v="4"/>
    <n v="17"/>
    <x v="4"/>
    <n v="5.1524390243902447"/>
    <n v="180000"/>
    <n v="927439.02439999999"/>
    <n v="5.4216535839539844E-2"/>
    <n v="7823780.4878000002"/>
    <n v="0.45736513567201559"/>
    <x v="0"/>
    <x v="2"/>
    <x v="1"/>
    <x v="1"/>
    <n v="278231.70730000001"/>
  </r>
  <r>
    <n v="0.10416666666666667"/>
    <n v="5"/>
    <x v="4"/>
    <n v="17"/>
    <x v="4"/>
    <n v="5.1524390243902447"/>
    <n v="180000"/>
    <n v="927439.02439999999"/>
    <n v="5.4216535839539844E-2"/>
    <n v="7823780.4878000002"/>
    <n v="0.45736513567201559"/>
    <x v="0"/>
    <x v="2"/>
    <x v="1"/>
    <x v="2"/>
    <n v="185487.80489999999"/>
  </r>
  <r>
    <n v="0.125"/>
    <n v="6"/>
    <x v="5"/>
    <n v="17"/>
    <x v="5"/>
    <n v="5.1524390243902447"/>
    <n v="180000"/>
    <n v="927439.02439999999"/>
    <n v="5.4216535839539844E-2"/>
    <n v="8751219.5121999998"/>
    <n v="0.51158167151155542"/>
    <x v="0"/>
    <x v="2"/>
    <x v="1"/>
    <x v="0"/>
    <n v="463719.5122"/>
  </r>
  <r>
    <n v="0.125"/>
    <n v="6"/>
    <x v="5"/>
    <n v="17"/>
    <x v="5"/>
    <n v="5.1524390243902447"/>
    <n v="180000"/>
    <n v="927439.02439999999"/>
    <n v="5.4216535839539844E-2"/>
    <n v="8751219.5121999998"/>
    <n v="0.51158167151155542"/>
    <x v="0"/>
    <x v="2"/>
    <x v="1"/>
    <x v="1"/>
    <n v="278231.70730000001"/>
  </r>
  <r>
    <n v="0.125"/>
    <n v="6"/>
    <x v="5"/>
    <n v="17"/>
    <x v="5"/>
    <n v="5.1524390243902447"/>
    <n v="180000"/>
    <n v="927439.02439999999"/>
    <n v="5.4216535839539844E-2"/>
    <n v="8751219.5121999998"/>
    <n v="0.51158167151155542"/>
    <x v="0"/>
    <x v="2"/>
    <x v="1"/>
    <x v="2"/>
    <n v="185487.80489999999"/>
  </r>
  <r>
    <n v="0.14583333333333334"/>
    <n v="7"/>
    <x v="6"/>
    <n v="99"/>
    <x v="6"/>
    <n v="693.59756097560978"/>
    <n v="1080"/>
    <n v="749085.36589999998"/>
    <n v="4.3790278947320634E-2"/>
    <n v="9500304.8780000005"/>
    <n v="0.55537195045887611"/>
    <x v="0"/>
    <x v="3"/>
    <x v="1"/>
    <x v="0"/>
    <n v="374542.68290000001"/>
  </r>
  <r>
    <n v="0.14583333333333334"/>
    <n v="7"/>
    <x v="6"/>
    <n v="99"/>
    <x v="6"/>
    <n v="693.59756097560978"/>
    <n v="1080"/>
    <n v="749085.36589999998"/>
    <n v="4.3790278947320634E-2"/>
    <n v="9500304.8780000005"/>
    <n v="0.55537195045887611"/>
    <x v="0"/>
    <x v="3"/>
    <x v="1"/>
    <x v="1"/>
    <n v="224725.60980000001"/>
  </r>
  <r>
    <n v="0.14583333333333334"/>
    <n v="7"/>
    <x v="6"/>
    <n v="99"/>
    <x v="6"/>
    <n v="693.59756097560978"/>
    <n v="1080"/>
    <n v="749085.36589999998"/>
    <n v="4.3790278947320634E-2"/>
    <n v="9500304.8780000005"/>
    <n v="0.55537195045887611"/>
    <x v="0"/>
    <x v="3"/>
    <x v="1"/>
    <x v="2"/>
    <n v="149817.07320000001"/>
  </r>
  <r>
    <n v="0.16666666666666666"/>
    <n v="8"/>
    <x v="7"/>
    <n v="86"/>
    <x v="7"/>
    <n v="49.542682926829272"/>
    <n v="12000"/>
    <n v="594512.19510000001"/>
    <n v="3.4754189640730668E-2"/>
    <n v="10094817.0732"/>
    <n v="0.59012614009960673"/>
    <x v="2"/>
    <x v="0"/>
    <x v="2"/>
    <x v="0"/>
    <n v="297256.09759999998"/>
  </r>
  <r>
    <n v="0.16666666666666666"/>
    <n v="8"/>
    <x v="7"/>
    <n v="86"/>
    <x v="7"/>
    <n v="49.542682926829272"/>
    <n v="12000"/>
    <n v="594512.19510000001"/>
    <n v="3.4754189640730668E-2"/>
    <n v="10094817.0732"/>
    <n v="0.59012614009960673"/>
    <x v="2"/>
    <x v="0"/>
    <x v="2"/>
    <x v="1"/>
    <n v="178353.65849999999"/>
  </r>
  <r>
    <n v="0.16666666666666666"/>
    <n v="8"/>
    <x v="7"/>
    <n v="86"/>
    <x v="7"/>
    <n v="49.542682926829272"/>
    <n v="12000"/>
    <n v="594512.19510000001"/>
    <n v="3.4754189640730668E-2"/>
    <n v="10094817.0732"/>
    <n v="0.59012614009960673"/>
    <x v="2"/>
    <x v="0"/>
    <x v="2"/>
    <x v="2"/>
    <n v="118902.439"/>
  </r>
  <r>
    <n v="0.1875"/>
    <n v="9"/>
    <x v="8"/>
    <n v="23"/>
    <x v="8"/>
    <n v="792.68292682926835"/>
    <n v="720"/>
    <n v="570731.70730000001"/>
    <n v="3.3364022055101444E-2"/>
    <n v="10665548.7805"/>
    <n v="0.62349016215470821"/>
    <x v="3"/>
    <x v="0"/>
    <x v="3"/>
    <x v="0"/>
    <n v="285365.85369999998"/>
  </r>
  <r>
    <n v="0.1875"/>
    <n v="9"/>
    <x v="8"/>
    <n v="23"/>
    <x v="8"/>
    <n v="792.68292682926835"/>
    <n v="720"/>
    <n v="570731.70730000001"/>
    <n v="3.3364022055101444E-2"/>
    <n v="10665548.7805"/>
    <n v="0.62349016215470821"/>
    <x v="3"/>
    <x v="0"/>
    <x v="3"/>
    <x v="1"/>
    <n v="285365.85369999998"/>
  </r>
  <r>
    <n v="0.20833333333333334"/>
    <n v="10"/>
    <x v="9"/>
    <n v="48"/>
    <x v="9"/>
    <n v="29.725609756097562"/>
    <n v="18000"/>
    <n v="535060.97560000001"/>
    <n v="3.1278770676657595E-2"/>
    <n v="11200609.756100001"/>
    <n v="0.65476893283136584"/>
    <x v="1"/>
    <x v="1"/>
    <x v="1"/>
    <x v="0"/>
    <n v="267530.4878"/>
  </r>
  <r>
    <n v="0.20833333333333334"/>
    <n v="10"/>
    <x v="9"/>
    <n v="48"/>
    <x v="9"/>
    <n v="29.725609756097562"/>
    <n v="18000"/>
    <n v="535060.97560000001"/>
    <n v="3.1278770676657595E-2"/>
    <n v="11200609.756100001"/>
    <n v="0.65476893283136584"/>
    <x v="1"/>
    <x v="1"/>
    <x v="1"/>
    <x v="1"/>
    <n v="160518.29269999999"/>
  </r>
  <r>
    <n v="0.20833333333333334"/>
    <n v="10"/>
    <x v="9"/>
    <n v="48"/>
    <x v="9"/>
    <n v="29.725609756097562"/>
    <n v="18000"/>
    <n v="535060.97560000001"/>
    <n v="3.1278770676657595E-2"/>
    <n v="11200609.756100001"/>
    <n v="0.65476893283136584"/>
    <x v="1"/>
    <x v="1"/>
    <x v="1"/>
    <x v="2"/>
    <n v="107012.1951"/>
  </r>
  <r>
    <n v="0.22916666666666666"/>
    <n v="11"/>
    <x v="10"/>
    <n v="23"/>
    <x v="10"/>
    <n v="634.14634146341473"/>
    <n v="780"/>
    <n v="494634.14630000002"/>
    <n v="2.8915485781087918E-2"/>
    <n v="11695243.9024"/>
    <n v="0.68368441861245377"/>
    <x v="3"/>
    <x v="0"/>
    <x v="3"/>
    <x v="0"/>
    <n v="247317.07320000001"/>
  </r>
  <r>
    <n v="0.22916666666666666"/>
    <n v="11"/>
    <x v="10"/>
    <n v="23"/>
    <x v="10"/>
    <n v="634.14634146341473"/>
    <n v="780"/>
    <n v="494634.14630000002"/>
    <n v="2.8915485781087918E-2"/>
    <n v="11695243.9024"/>
    <n v="0.68368441861245377"/>
    <x v="3"/>
    <x v="0"/>
    <x v="3"/>
    <x v="1"/>
    <n v="247317.07320000001"/>
  </r>
  <r>
    <n v="0.29166666666666669"/>
    <n v="14"/>
    <x v="11"/>
    <n v="17"/>
    <x v="11"/>
    <n v="18.826219512195124"/>
    <n v="24000"/>
    <n v="451829.2683"/>
    <n v="2.6413184126955307E-2"/>
    <n v="12147073.170700001"/>
    <n v="0.71009760273940903"/>
    <x v="4"/>
    <x v="0"/>
    <x v="4"/>
    <x v="0"/>
    <n v="225914.6341"/>
  </r>
  <r>
    <n v="0.29166666666666669"/>
    <n v="14"/>
    <x v="11"/>
    <n v="17"/>
    <x v="11"/>
    <n v="18.826219512195124"/>
    <n v="24000"/>
    <n v="451829.2683"/>
    <n v="2.6413184126955307E-2"/>
    <n v="12147073.170700001"/>
    <n v="0.71009760273940903"/>
    <x v="4"/>
    <x v="0"/>
    <x v="4"/>
    <x v="1"/>
    <n v="135548.78049999999"/>
  </r>
  <r>
    <n v="0.29166666666666669"/>
    <n v="14"/>
    <x v="11"/>
    <n v="17"/>
    <x v="11"/>
    <n v="18.826219512195124"/>
    <n v="24000"/>
    <n v="451829.2683"/>
    <n v="2.6413184126955307E-2"/>
    <n v="12147073.170700001"/>
    <n v="0.71009760273940903"/>
    <x v="4"/>
    <x v="0"/>
    <x v="4"/>
    <x v="2"/>
    <n v="90365.853700000007"/>
  </r>
  <r>
    <n v="0.25"/>
    <n v="12"/>
    <x v="12"/>
    <n v="17"/>
    <x v="12"/>
    <n v="7.5304878048780486"/>
    <n v="60000"/>
    <n v="451829.2683"/>
    <n v="2.6413184126955307E-2"/>
    <n v="12598902.438999999"/>
    <n v="0.73651078686636429"/>
    <x v="4"/>
    <x v="0"/>
    <x v="4"/>
    <x v="0"/>
    <n v="225914.6341"/>
  </r>
  <r>
    <n v="0.25"/>
    <n v="12"/>
    <x v="12"/>
    <n v="17"/>
    <x v="12"/>
    <n v="7.5304878048780486"/>
    <n v="60000"/>
    <n v="451829.2683"/>
    <n v="2.6413184126955307E-2"/>
    <n v="12598902.438999999"/>
    <n v="0.73651078686636429"/>
    <x v="4"/>
    <x v="0"/>
    <x v="4"/>
    <x v="1"/>
    <n v="135548.78049999999"/>
  </r>
  <r>
    <n v="0.25"/>
    <n v="12"/>
    <x v="12"/>
    <n v="17"/>
    <x v="12"/>
    <n v="7.5304878048780486"/>
    <n v="60000"/>
    <n v="451829.2683"/>
    <n v="2.6413184126955307E-2"/>
    <n v="12598902.438999999"/>
    <n v="0.73651078686636429"/>
    <x v="4"/>
    <x v="0"/>
    <x v="4"/>
    <x v="2"/>
    <n v="90365.853700000007"/>
  </r>
  <r>
    <n v="0.27083333333333331"/>
    <n v="13"/>
    <x v="13"/>
    <n v="17"/>
    <x v="13"/>
    <n v="7.5304878048780486"/>
    <n v="60000"/>
    <n v="451829.2683"/>
    <n v="2.6413184126955307E-2"/>
    <n v="13050731.7073"/>
    <n v="0.76292397099331954"/>
    <x v="0"/>
    <x v="2"/>
    <x v="1"/>
    <x v="0"/>
    <n v="225914.6341"/>
  </r>
  <r>
    <n v="0.27083333333333331"/>
    <n v="13"/>
    <x v="13"/>
    <n v="17"/>
    <x v="13"/>
    <n v="7.5304878048780486"/>
    <n v="60000"/>
    <n v="451829.2683"/>
    <n v="2.6413184126955307E-2"/>
    <n v="13050731.7073"/>
    <n v="0.76292397099331954"/>
    <x v="0"/>
    <x v="2"/>
    <x v="1"/>
    <x v="1"/>
    <n v="135548.78049999999"/>
  </r>
  <r>
    <n v="0.27083333333333331"/>
    <n v="13"/>
    <x v="13"/>
    <n v="17"/>
    <x v="13"/>
    <n v="7.5304878048780486"/>
    <n v="60000"/>
    <n v="451829.2683"/>
    <n v="2.6413184126955307E-2"/>
    <n v="13050731.7073"/>
    <n v="0.76292397099331954"/>
    <x v="0"/>
    <x v="2"/>
    <x v="1"/>
    <x v="2"/>
    <n v="90365.853700000007"/>
  </r>
  <r>
    <n v="0.3125"/>
    <n v="15"/>
    <x v="14"/>
    <n v="65"/>
    <x v="14"/>
    <n v="35.670731707317074"/>
    <n v="12000"/>
    <n v="428048.78049999999"/>
    <n v="2.502301654132608E-2"/>
    <n v="13478780.4878"/>
    <n v="0.78794698753464565"/>
    <x v="0"/>
    <x v="3"/>
    <x v="1"/>
    <x v="0"/>
    <n v="214024.39019999999"/>
  </r>
  <r>
    <n v="0.3125"/>
    <n v="15"/>
    <x v="14"/>
    <n v="65"/>
    <x v="14"/>
    <n v="35.670731707317074"/>
    <n v="12000"/>
    <n v="428048.78049999999"/>
    <n v="2.502301654132608E-2"/>
    <n v="13478780.4878"/>
    <n v="0.78794698753464565"/>
    <x v="0"/>
    <x v="3"/>
    <x v="1"/>
    <x v="1"/>
    <n v="128414.6341"/>
  </r>
  <r>
    <n v="0.3125"/>
    <n v="15"/>
    <x v="14"/>
    <n v="65"/>
    <x v="14"/>
    <n v="35.670731707317074"/>
    <n v="12000"/>
    <n v="428048.78049999999"/>
    <n v="2.502301654132608E-2"/>
    <n v="13478780.4878"/>
    <n v="0.78794698753464565"/>
    <x v="0"/>
    <x v="3"/>
    <x v="1"/>
    <x v="2"/>
    <n v="85609.756099999999"/>
  </r>
  <r>
    <n v="0.33333333333333331"/>
    <n v="16"/>
    <x v="15"/>
    <n v="65"/>
    <x v="15"/>
    <n v="138.71951219512195"/>
    <n v="2400"/>
    <n v="332926.82929999998"/>
    <n v="1.9462346198809172E-2"/>
    <n v="13811707.3171"/>
    <n v="0.80740933373345491"/>
    <x v="0"/>
    <x v="3"/>
    <x v="1"/>
    <x v="0"/>
    <n v="166463.41459999999"/>
  </r>
  <r>
    <n v="0.33333333333333331"/>
    <n v="16"/>
    <x v="15"/>
    <n v="65"/>
    <x v="15"/>
    <n v="138.71951219512195"/>
    <n v="2400"/>
    <n v="332926.82929999998"/>
    <n v="1.9462346198809172E-2"/>
    <n v="13811707.3171"/>
    <n v="0.80740933373345491"/>
    <x v="0"/>
    <x v="3"/>
    <x v="1"/>
    <x v="1"/>
    <n v="99878.048800000004"/>
  </r>
  <r>
    <n v="0.33333333333333331"/>
    <n v="16"/>
    <x v="15"/>
    <n v="65"/>
    <x v="15"/>
    <n v="138.71951219512195"/>
    <n v="2400"/>
    <n v="332926.82929999998"/>
    <n v="1.9462346198809172E-2"/>
    <n v="13811707.3171"/>
    <n v="0.80740933373345491"/>
    <x v="0"/>
    <x v="3"/>
    <x v="1"/>
    <x v="2"/>
    <n v="66585.365900000004"/>
  </r>
  <r>
    <n v="0.35416666666666669"/>
    <n v="17"/>
    <x v="16"/>
    <n v="65"/>
    <x v="16"/>
    <n v="49.542682926829272"/>
    <n v="6000"/>
    <n v="297256.09759999998"/>
    <n v="1.7377094820365334E-2"/>
    <n v="14108963.4146"/>
    <n v="0.82478642855382023"/>
    <x v="0"/>
    <x v="3"/>
    <x v="1"/>
    <x v="0"/>
    <n v="148628.04879999999"/>
  </r>
  <r>
    <n v="0.35416666666666669"/>
    <n v="17"/>
    <x v="16"/>
    <n v="65"/>
    <x v="16"/>
    <n v="49.542682926829272"/>
    <n v="6000"/>
    <n v="297256.09759999998"/>
    <n v="1.7377094820365334E-2"/>
    <n v="14108963.4146"/>
    <n v="0.82478642855382023"/>
    <x v="0"/>
    <x v="3"/>
    <x v="1"/>
    <x v="1"/>
    <n v="89176.829299999998"/>
  </r>
  <r>
    <n v="0.35416666666666669"/>
    <n v="17"/>
    <x v="16"/>
    <n v="65"/>
    <x v="16"/>
    <n v="49.542682926829272"/>
    <n v="6000"/>
    <n v="297256.09759999998"/>
    <n v="1.7377094820365334E-2"/>
    <n v="14108963.4146"/>
    <n v="0.82478642855382023"/>
    <x v="0"/>
    <x v="3"/>
    <x v="1"/>
    <x v="2"/>
    <n v="59451.219499999999"/>
  </r>
  <r>
    <n v="0.375"/>
    <n v="18"/>
    <x v="17"/>
    <n v="23"/>
    <x v="17"/>
    <n v="1189.0243902439024"/>
    <n v="240"/>
    <n v="285365.85369999998"/>
    <n v="1.6682011027550719E-2"/>
    <n v="14394329.268300001"/>
    <n v="0.84146843958137096"/>
    <x v="3"/>
    <x v="0"/>
    <x v="3"/>
    <x v="0"/>
    <n v="142682.92679999999"/>
  </r>
  <r>
    <n v="0.375"/>
    <n v="18"/>
    <x v="17"/>
    <n v="23"/>
    <x v="17"/>
    <n v="1189.0243902439024"/>
    <n v="240"/>
    <n v="285365.85369999998"/>
    <n v="1.6682011027550719E-2"/>
    <n v="14394329.268300001"/>
    <n v="0.84146843958137096"/>
    <x v="3"/>
    <x v="0"/>
    <x v="3"/>
    <x v="1"/>
    <n v="142682.92679999999"/>
  </r>
  <r>
    <n v="0.39583333333333331"/>
    <n v="19"/>
    <x v="18"/>
    <n v="99"/>
    <x v="18"/>
    <n v="217.98780487804879"/>
    <n v="1200"/>
    <n v="261585.3659"/>
    <n v="1.5291843441921494E-2"/>
    <n v="14655914.634099999"/>
    <n v="0.85676028302329232"/>
    <x v="0"/>
    <x v="3"/>
    <x v="1"/>
    <x v="0"/>
    <n v="130792.6829"/>
  </r>
  <r>
    <n v="0.39583333333333331"/>
    <n v="19"/>
    <x v="18"/>
    <n v="99"/>
    <x v="18"/>
    <n v="217.98780487804879"/>
    <n v="1200"/>
    <n v="261585.3659"/>
    <n v="1.5291843441921494E-2"/>
    <n v="14655914.634099999"/>
    <n v="0.85676028302329232"/>
    <x v="0"/>
    <x v="3"/>
    <x v="1"/>
    <x v="1"/>
    <n v="78475.609800000006"/>
  </r>
  <r>
    <n v="0.39583333333333331"/>
    <n v="19"/>
    <x v="18"/>
    <n v="99"/>
    <x v="18"/>
    <n v="217.98780487804879"/>
    <n v="1200"/>
    <n v="261585.3659"/>
    <n v="1.5291843441921494E-2"/>
    <n v="14655914.634099999"/>
    <n v="0.85676028302329232"/>
    <x v="0"/>
    <x v="3"/>
    <x v="1"/>
    <x v="2"/>
    <n v="52317.073199999999"/>
  </r>
  <r>
    <n v="0.41666666666666669"/>
    <n v="20"/>
    <x v="19"/>
    <n v="73"/>
    <x v="19"/>
    <n v="69.359756097560975"/>
    <n v="3600"/>
    <n v="249695.122"/>
    <n v="1.4596759649106878E-2"/>
    <n v="14905609.756100001"/>
    <n v="0.87135704267239922"/>
    <x v="0"/>
    <x v="3"/>
    <x v="1"/>
    <x v="0"/>
    <n v="124847.561"/>
  </r>
  <r>
    <n v="0.41666666666666669"/>
    <n v="20"/>
    <x v="19"/>
    <n v="73"/>
    <x v="19"/>
    <n v="69.359756097560975"/>
    <n v="3600"/>
    <n v="249695.122"/>
    <n v="1.4596759649106878E-2"/>
    <n v="14905609.756100001"/>
    <n v="0.87135704267239922"/>
    <x v="0"/>
    <x v="3"/>
    <x v="1"/>
    <x v="1"/>
    <n v="74908.536600000007"/>
  </r>
  <r>
    <n v="0.41666666666666669"/>
    <n v="20"/>
    <x v="19"/>
    <n v="73"/>
    <x v="19"/>
    <n v="69.359756097560975"/>
    <n v="3600"/>
    <n v="249695.122"/>
    <n v="1.4596759649106878E-2"/>
    <n v="14905609.756100001"/>
    <n v="0.87135704267239922"/>
    <x v="0"/>
    <x v="3"/>
    <x v="1"/>
    <x v="2"/>
    <n v="49939.024400000002"/>
  </r>
  <r>
    <n v="0.4375"/>
    <n v="21"/>
    <x v="20"/>
    <n v="17"/>
    <x v="20"/>
    <n v="53.506097560975611"/>
    <n v="4440"/>
    <n v="237567.07320000001"/>
    <n v="1.3887774180435974E-2"/>
    <n v="15143176.829299999"/>
    <n v="0.88524481685283518"/>
    <x v="4"/>
    <x v="0"/>
    <x v="2"/>
    <x v="0"/>
    <n v="118783.53660000001"/>
  </r>
  <r>
    <n v="0.4375"/>
    <n v="21"/>
    <x v="20"/>
    <n v="17"/>
    <x v="20"/>
    <n v="53.506097560975611"/>
    <n v="4440"/>
    <n v="237567.07320000001"/>
    <n v="1.3887774180435974E-2"/>
    <n v="15143176.829299999"/>
    <n v="0.88524481685283518"/>
    <x v="4"/>
    <x v="0"/>
    <x v="2"/>
    <x v="1"/>
    <n v="71270.122000000003"/>
  </r>
  <r>
    <n v="0.4375"/>
    <n v="21"/>
    <x v="20"/>
    <n v="17"/>
    <x v="20"/>
    <n v="53.506097560975611"/>
    <n v="4440"/>
    <n v="237567.07320000001"/>
    <n v="1.3887774180435974E-2"/>
    <n v="15143176.829299999"/>
    <n v="0.88524481685283518"/>
    <x v="4"/>
    <x v="0"/>
    <x v="2"/>
    <x v="2"/>
    <n v="47513.414599999996"/>
  </r>
  <r>
    <n v="0.45833333333333331"/>
    <n v="22"/>
    <x v="21"/>
    <n v="73"/>
    <x v="21"/>
    <n v="128.8109756097561"/>
    <n v="1800"/>
    <n v="231859.7561"/>
    <n v="1.3554133959884959E-2"/>
    <n v="15375036.5854"/>
    <n v="0.8987989508127201"/>
    <x v="0"/>
    <x v="3"/>
    <x v="1"/>
    <x v="0"/>
    <n v="115929.878"/>
  </r>
  <r>
    <n v="0.45833333333333331"/>
    <n v="22"/>
    <x v="21"/>
    <n v="73"/>
    <x v="21"/>
    <n v="128.8109756097561"/>
    <n v="1800"/>
    <n v="231859.7561"/>
    <n v="1.3554133959884959E-2"/>
    <n v="15375036.5854"/>
    <n v="0.8987989508127201"/>
    <x v="0"/>
    <x v="3"/>
    <x v="1"/>
    <x v="1"/>
    <n v="69557.926800000001"/>
  </r>
  <r>
    <n v="0.45833333333333331"/>
    <n v="22"/>
    <x v="21"/>
    <n v="73"/>
    <x v="21"/>
    <n v="128.8109756097561"/>
    <n v="1800"/>
    <n v="231859.7561"/>
    <n v="1.3554133959884959E-2"/>
    <n v="15375036.5854"/>
    <n v="0.8987989508127201"/>
    <x v="0"/>
    <x v="3"/>
    <x v="1"/>
    <x v="2"/>
    <n v="46371.951200000003"/>
  </r>
  <r>
    <n v="0.47916666666666669"/>
    <n v="23"/>
    <x v="22"/>
    <n v="65"/>
    <x v="22"/>
    <n v="39.634146341463421"/>
    <n v="4800"/>
    <n v="190243.90239999999"/>
    <n v="1.1121340685033815E-2"/>
    <n v="15565280.4878"/>
    <n v="0.90992029149775389"/>
    <x v="0"/>
    <x v="3"/>
    <x v="1"/>
    <x v="0"/>
    <n v="95121.951199999996"/>
  </r>
  <r>
    <n v="0.47916666666666669"/>
    <n v="23"/>
    <x v="22"/>
    <n v="65"/>
    <x v="22"/>
    <n v="39.634146341463421"/>
    <n v="4800"/>
    <n v="190243.90239999999"/>
    <n v="1.1121340685033815E-2"/>
    <n v="15565280.4878"/>
    <n v="0.90992029149775389"/>
    <x v="0"/>
    <x v="3"/>
    <x v="1"/>
    <x v="1"/>
    <n v="57073.170700000002"/>
  </r>
  <r>
    <n v="0.47916666666666669"/>
    <n v="23"/>
    <x v="22"/>
    <n v="65"/>
    <x v="22"/>
    <n v="39.634146341463421"/>
    <n v="4800"/>
    <n v="190243.90239999999"/>
    <n v="1.1121340685033815E-2"/>
    <n v="15565280.4878"/>
    <n v="0.90992029149775389"/>
    <x v="0"/>
    <x v="3"/>
    <x v="1"/>
    <x v="2"/>
    <n v="38048.780500000001"/>
  </r>
  <r>
    <n v="0.5"/>
    <n v="24"/>
    <x v="23"/>
    <n v="17"/>
    <x v="23"/>
    <n v="634.14634146341473"/>
    <n v="280"/>
    <n v="177560.97560000001"/>
    <n v="1.0379917972698226E-2"/>
    <n v="15742841.463400001"/>
    <n v="0.92030020947045221"/>
    <x v="4"/>
    <x v="0"/>
    <x v="2"/>
    <x v="0"/>
    <n v="88780.487800000003"/>
  </r>
  <r>
    <n v="0.5"/>
    <n v="24"/>
    <x v="23"/>
    <n v="17"/>
    <x v="23"/>
    <n v="634.14634146341473"/>
    <n v="280"/>
    <n v="177560.97560000001"/>
    <n v="1.0379917972698226E-2"/>
    <n v="15742841.463400001"/>
    <n v="0.92030020947045221"/>
    <x v="4"/>
    <x v="0"/>
    <x v="2"/>
    <x v="1"/>
    <n v="53268.292699999998"/>
  </r>
  <r>
    <n v="0.5"/>
    <n v="24"/>
    <x v="23"/>
    <n v="17"/>
    <x v="23"/>
    <n v="634.14634146341473"/>
    <n v="280"/>
    <n v="177560.97560000001"/>
    <n v="1.0379917972698226E-2"/>
    <n v="15742841.463400001"/>
    <n v="0.92030020947045221"/>
    <x v="4"/>
    <x v="0"/>
    <x v="2"/>
    <x v="2"/>
    <n v="35512.195099999997"/>
  </r>
  <r>
    <n v="0.52083333333333337"/>
    <n v="25"/>
    <x v="24"/>
    <n v="99"/>
    <x v="24"/>
    <n v="79.268292682926841"/>
    <n v="1920"/>
    <n v="152195.122"/>
    <n v="8.8970725480270515E-3"/>
    <n v="15895036.5854"/>
    <n v="0.92919728201847918"/>
    <x v="0"/>
    <x v="3"/>
    <x v="1"/>
    <x v="0"/>
    <n v="76097.561000000002"/>
  </r>
  <r>
    <n v="0.52083333333333337"/>
    <n v="25"/>
    <x v="24"/>
    <n v="99"/>
    <x v="24"/>
    <n v="79.268292682926841"/>
    <n v="1920"/>
    <n v="152195.122"/>
    <n v="8.8970725480270515E-3"/>
    <n v="15895036.5854"/>
    <n v="0.92919728201847918"/>
    <x v="0"/>
    <x v="3"/>
    <x v="1"/>
    <x v="1"/>
    <n v="45658.536599999999"/>
  </r>
  <r>
    <n v="0.52083333333333337"/>
    <n v="25"/>
    <x v="24"/>
    <n v="99"/>
    <x v="24"/>
    <n v="79.268292682926841"/>
    <n v="1920"/>
    <n v="152195.122"/>
    <n v="8.8970725480270515E-3"/>
    <n v="15895036.5854"/>
    <n v="0.92919728201847918"/>
    <x v="0"/>
    <x v="3"/>
    <x v="1"/>
    <x v="2"/>
    <n v="30439.024399999998"/>
  </r>
  <r>
    <n v="0.54166666666666663"/>
    <n v="26"/>
    <x v="25"/>
    <n v="48"/>
    <x v="25"/>
    <n v="35.670731707317074"/>
    <n v="4027"/>
    <n v="143646.03659999999"/>
    <n v="8.3973073009933428E-3"/>
    <n v="16038682.622"/>
    <n v="0.93759458931947259"/>
    <x v="1"/>
    <x v="1"/>
    <x v="1"/>
    <x v="0"/>
    <n v="71823.018299999996"/>
  </r>
  <r>
    <n v="0.54166666666666663"/>
    <n v="26"/>
    <x v="25"/>
    <n v="48"/>
    <x v="25"/>
    <n v="35.670731707317074"/>
    <n v="4027"/>
    <n v="143646.03659999999"/>
    <n v="8.3973073009933428E-3"/>
    <n v="16038682.622"/>
    <n v="0.93759458931947259"/>
    <x v="1"/>
    <x v="1"/>
    <x v="1"/>
    <x v="1"/>
    <n v="43093.811000000002"/>
  </r>
  <r>
    <n v="0.54166666666666663"/>
    <n v="26"/>
    <x v="25"/>
    <n v="48"/>
    <x v="25"/>
    <n v="35.670731707317074"/>
    <n v="4027"/>
    <n v="143646.03659999999"/>
    <n v="8.3973073009933428E-3"/>
    <n v="16038682.622"/>
    <n v="0.93759458931947259"/>
    <x v="1"/>
    <x v="1"/>
    <x v="1"/>
    <x v="2"/>
    <n v="28729.207299999998"/>
  </r>
  <r>
    <n v="0.5625"/>
    <n v="27"/>
    <x v="26"/>
    <n v="73"/>
    <x v="26"/>
    <n v="69.359756097560975"/>
    <n v="1800"/>
    <n v="124847.561"/>
    <n v="7.2983798245534392E-3"/>
    <n v="16163530.1829"/>
    <n v="0.94489296914402598"/>
    <x v="0"/>
    <x v="3"/>
    <x v="1"/>
    <x v="0"/>
    <n v="62423.780500000001"/>
  </r>
  <r>
    <n v="0.5625"/>
    <n v="27"/>
    <x v="26"/>
    <n v="73"/>
    <x v="26"/>
    <n v="69.359756097560975"/>
    <n v="1800"/>
    <n v="124847.561"/>
    <n v="7.2983798245534392E-3"/>
    <n v="16163530.1829"/>
    <n v="0.94489296914402598"/>
    <x v="0"/>
    <x v="3"/>
    <x v="1"/>
    <x v="1"/>
    <n v="37454.268300000003"/>
  </r>
  <r>
    <n v="0.5625"/>
    <n v="27"/>
    <x v="26"/>
    <n v="73"/>
    <x v="26"/>
    <n v="69.359756097560975"/>
    <n v="1800"/>
    <n v="124847.561"/>
    <n v="7.2983798245534392E-3"/>
    <n v="16163530.1829"/>
    <n v="0.94489296914402598"/>
    <x v="0"/>
    <x v="3"/>
    <x v="1"/>
    <x v="2"/>
    <n v="24969.512200000001"/>
  </r>
  <r>
    <n v="0.58333333333333337"/>
    <n v="28"/>
    <x v="27"/>
    <n v="33"/>
    <x v="27"/>
    <n v="435.97560975609758"/>
    <n v="240"/>
    <n v="104634.14629999999"/>
    <n v="6.1167373767685969E-3"/>
    <n v="16268164.329299999"/>
    <n v="0.95100970652079453"/>
    <x v="5"/>
    <x v="0"/>
    <x v="2"/>
    <x v="0"/>
    <n v="52317.073199999999"/>
  </r>
  <r>
    <n v="0.58333333333333337"/>
    <n v="28"/>
    <x v="27"/>
    <n v="33"/>
    <x v="27"/>
    <n v="435.97560975609758"/>
    <n v="240"/>
    <n v="104634.14629999999"/>
    <n v="6.1167373767685969E-3"/>
    <n v="16268164.329299999"/>
    <n v="0.95100970652079453"/>
    <x v="5"/>
    <x v="0"/>
    <x v="2"/>
    <x v="1"/>
    <n v="31390.243900000001"/>
  </r>
  <r>
    <n v="0.58333333333333337"/>
    <n v="28"/>
    <x v="27"/>
    <n v="33"/>
    <x v="27"/>
    <n v="435.97560975609758"/>
    <n v="240"/>
    <n v="104634.14629999999"/>
    <n v="6.1167373767685969E-3"/>
    <n v="16268164.329299999"/>
    <n v="0.95100970652079453"/>
    <x v="5"/>
    <x v="0"/>
    <x v="2"/>
    <x v="2"/>
    <n v="20926.829300000001"/>
  </r>
  <r>
    <n v="0.60416666666666663"/>
    <n v="29"/>
    <x v="28"/>
    <n v="22"/>
    <x v="28"/>
    <n v="202.92682926829269"/>
    <n v="480"/>
    <n v="97404.877999999997"/>
    <n v="5.694126430737312E-3"/>
    <n v="16365569.2073"/>
    <n v="0.95670383295153194"/>
    <x v="5"/>
    <x v="0"/>
    <x v="2"/>
    <x v="0"/>
    <n v="48702.438999999998"/>
  </r>
  <r>
    <n v="0.60416666666666663"/>
    <n v="29"/>
    <x v="28"/>
    <n v="22"/>
    <x v="28"/>
    <n v="202.92682926829269"/>
    <n v="480"/>
    <n v="97404.877999999997"/>
    <n v="5.694126430737312E-3"/>
    <n v="16365569.2073"/>
    <n v="0.95670383295153194"/>
    <x v="5"/>
    <x v="0"/>
    <x v="2"/>
    <x v="1"/>
    <n v="29221.463400000001"/>
  </r>
  <r>
    <n v="0.60416666666666663"/>
    <n v="29"/>
    <x v="28"/>
    <n v="22"/>
    <x v="28"/>
    <n v="202.92682926829269"/>
    <n v="480"/>
    <n v="97404.877999999997"/>
    <n v="5.694126430737312E-3"/>
    <n v="16365569.2073"/>
    <n v="0.95670383295153194"/>
    <x v="5"/>
    <x v="0"/>
    <x v="2"/>
    <x v="2"/>
    <n v="19480.975600000002"/>
  </r>
  <r>
    <n v="0.64583333333333337"/>
    <n v="31"/>
    <x v="29"/>
    <n v="79"/>
    <x v="29"/>
    <n v="1.9817073170731709"/>
    <n v="48000"/>
    <n v="95121.951199999996"/>
    <n v="5.5606703425169074E-3"/>
    <n v="16460691.158500001"/>
    <n v="0.96226450329404878"/>
    <x v="0"/>
    <x v="0"/>
    <x v="0"/>
    <x v="0"/>
    <n v="47560.975599999998"/>
  </r>
  <r>
    <n v="0.64583333333333337"/>
    <n v="31"/>
    <x v="29"/>
    <n v="79"/>
    <x v="29"/>
    <n v="1.9817073170731709"/>
    <n v="48000"/>
    <n v="95121.951199999996"/>
    <n v="5.5606703425169074E-3"/>
    <n v="16460691.158500001"/>
    <n v="0.96226450329404878"/>
    <x v="0"/>
    <x v="0"/>
    <x v="0"/>
    <x v="1"/>
    <n v="28536.5854"/>
  </r>
  <r>
    <n v="0.64583333333333337"/>
    <n v="31"/>
    <x v="29"/>
    <n v="79"/>
    <x v="29"/>
    <n v="1.9817073170731709"/>
    <n v="48000"/>
    <n v="95121.951199999996"/>
    <n v="5.5606703425169074E-3"/>
    <n v="16460691.158500001"/>
    <n v="0.96226450329404878"/>
    <x v="0"/>
    <x v="0"/>
    <x v="0"/>
    <x v="2"/>
    <n v="19024.390200000002"/>
  </r>
  <r>
    <n v="0.625"/>
    <n v="30"/>
    <x v="30"/>
    <n v="73"/>
    <x v="30"/>
    <n v="79.268292682926841"/>
    <n v="1200"/>
    <n v="95121.951199999996"/>
    <n v="5.5606703425169074E-3"/>
    <n v="16555813.1098"/>
    <n v="0.96782517363656573"/>
    <x v="0"/>
    <x v="3"/>
    <x v="1"/>
    <x v="0"/>
    <n v="47560.975599999998"/>
  </r>
  <r>
    <n v="0.625"/>
    <n v="30"/>
    <x v="30"/>
    <n v="73"/>
    <x v="30"/>
    <n v="79.268292682926841"/>
    <n v="1200"/>
    <n v="95121.951199999996"/>
    <n v="5.5606703425169074E-3"/>
    <n v="16555813.1098"/>
    <n v="0.96782517363656573"/>
    <x v="0"/>
    <x v="3"/>
    <x v="1"/>
    <x v="1"/>
    <n v="28536.5854"/>
  </r>
  <r>
    <n v="0.625"/>
    <n v="30"/>
    <x v="30"/>
    <n v="73"/>
    <x v="30"/>
    <n v="79.268292682926841"/>
    <n v="1200"/>
    <n v="95121.951199999996"/>
    <n v="5.5606703425169074E-3"/>
    <n v="16555813.1098"/>
    <n v="0.96782517363656573"/>
    <x v="0"/>
    <x v="3"/>
    <x v="1"/>
    <x v="2"/>
    <n v="19024.390200000002"/>
  </r>
  <r>
    <n v="0.66666666666666663"/>
    <n v="32"/>
    <x v="31"/>
    <n v="73"/>
    <x v="31"/>
    <n v="23.780487804878049"/>
    <n v="3600"/>
    <n v="85609.756099999999"/>
    <n v="5.0046033082652161E-3"/>
    <n v="16641422.865900001"/>
    <n v="0.97282977694483097"/>
    <x v="0"/>
    <x v="3"/>
    <x v="1"/>
    <x v="0"/>
    <n v="42804.877999999997"/>
  </r>
  <r>
    <n v="0.66666666666666663"/>
    <n v="32"/>
    <x v="31"/>
    <n v="73"/>
    <x v="31"/>
    <n v="23.780487804878049"/>
    <n v="3600"/>
    <n v="85609.756099999999"/>
    <n v="5.0046033082652161E-3"/>
    <n v="16641422.865900001"/>
    <n v="0.97282977694483097"/>
    <x v="0"/>
    <x v="3"/>
    <x v="1"/>
    <x v="1"/>
    <n v="25682.926800000001"/>
  </r>
  <r>
    <n v="0.66666666666666663"/>
    <n v="32"/>
    <x v="31"/>
    <n v="73"/>
    <x v="31"/>
    <n v="23.780487804878049"/>
    <n v="3600"/>
    <n v="85609.756099999999"/>
    <n v="5.0046033082652161E-3"/>
    <n v="16641422.865900001"/>
    <n v="0.97282977694483097"/>
    <x v="0"/>
    <x v="3"/>
    <x v="1"/>
    <x v="2"/>
    <n v="17121.9512"/>
  </r>
  <r>
    <n v="0.70833333333333337"/>
    <n v="34"/>
    <x v="32"/>
    <n v="73"/>
    <x v="32"/>
    <n v="55.487804878048784"/>
    <n v="1200"/>
    <n v="66585.365900000004"/>
    <n v="3.8924692397618349E-3"/>
    <n v="16708008.231699999"/>
    <n v="0.97672224618459269"/>
    <x v="0"/>
    <x v="3"/>
    <x v="1"/>
    <x v="0"/>
    <n v="33292.6829"/>
  </r>
  <r>
    <n v="0.70833333333333337"/>
    <n v="34"/>
    <x v="32"/>
    <n v="73"/>
    <x v="32"/>
    <n v="55.487804878048784"/>
    <n v="1200"/>
    <n v="66585.365900000004"/>
    <n v="3.8924692397618349E-3"/>
    <n v="16708008.231699999"/>
    <n v="0.97672224618459269"/>
    <x v="0"/>
    <x v="3"/>
    <x v="1"/>
    <x v="1"/>
    <n v="19975.609799999998"/>
  </r>
  <r>
    <n v="0.70833333333333337"/>
    <n v="34"/>
    <x v="32"/>
    <n v="73"/>
    <x v="32"/>
    <n v="55.487804878048784"/>
    <n v="1200"/>
    <n v="66585.365900000004"/>
    <n v="3.8924692397618349E-3"/>
    <n v="16708008.231699999"/>
    <n v="0.97672224618459269"/>
    <x v="0"/>
    <x v="3"/>
    <x v="1"/>
    <x v="2"/>
    <n v="13317.073200000001"/>
  </r>
  <r>
    <n v="0.6875"/>
    <n v="33"/>
    <x v="33"/>
    <n v="33"/>
    <x v="33"/>
    <n v="554.8780487804878"/>
    <n v="120"/>
    <n v="66585.365900000004"/>
    <n v="3.8924692397618349E-3"/>
    <n v="16774593.5976"/>
    <n v="0.98061471542435452"/>
    <x v="5"/>
    <x v="0"/>
    <x v="2"/>
    <x v="0"/>
    <n v="33292.6829"/>
  </r>
  <r>
    <n v="0.6875"/>
    <n v="33"/>
    <x v="33"/>
    <n v="33"/>
    <x v="33"/>
    <n v="554.8780487804878"/>
    <n v="120"/>
    <n v="66585.365900000004"/>
    <n v="3.8924692397618349E-3"/>
    <n v="16774593.5976"/>
    <n v="0.98061471542435452"/>
    <x v="5"/>
    <x v="0"/>
    <x v="2"/>
    <x v="1"/>
    <n v="19975.609799999998"/>
  </r>
  <r>
    <n v="0.6875"/>
    <n v="33"/>
    <x v="33"/>
    <n v="33"/>
    <x v="33"/>
    <n v="554.8780487804878"/>
    <n v="120"/>
    <n v="66585.365900000004"/>
    <n v="3.8924692397618349E-3"/>
    <n v="16774593.5976"/>
    <n v="0.98061471542435452"/>
    <x v="5"/>
    <x v="0"/>
    <x v="2"/>
    <x v="2"/>
    <n v="13317.073200000001"/>
  </r>
  <r>
    <n v="0.72916666666666663"/>
    <n v="35"/>
    <x v="34"/>
    <n v="54"/>
    <x v="34"/>
    <n v="4.9542682926829276"/>
    <n v="10800"/>
    <n v="53506.097600000001"/>
    <n v="3.1278770676657604E-3"/>
    <n v="16828099.695099998"/>
    <n v="0.98374259249202023"/>
    <x v="5"/>
    <x v="0"/>
    <x v="2"/>
    <x v="0"/>
    <n v="26753.0488"/>
  </r>
  <r>
    <n v="0.72916666666666663"/>
    <n v="35"/>
    <x v="34"/>
    <n v="54"/>
    <x v="34"/>
    <n v="4.9542682926829276"/>
    <n v="10800"/>
    <n v="53506.097600000001"/>
    <n v="3.1278770676657604E-3"/>
    <n v="16828099.695099998"/>
    <n v="0.98374259249202023"/>
    <x v="5"/>
    <x v="0"/>
    <x v="2"/>
    <x v="1"/>
    <n v="16051.829299999999"/>
  </r>
  <r>
    <n v="0.72916666666666663"/>
    <n v="35"/>
    <x v="34"/>
    <n v="54"/>
    <x v="34"/>
    <n v="4.9542682926829276"/>
    <n v="10800"/>
    <n v="53506.097600000001"/>
    <n v="3.1278770676657604E-3"/>
    <n v="16828099.695099998"/>
    <n v="0.98374259249202023"/>
    <x v="5"/>
    <x v="0"/>
    <x v="2"/>
    <x v="2"/>
    <n v="10701.219499999999"/>
  </r>
  <r>
    <n v="0.75"/>
    <n v="36"/>
    <x v="35"/>
    <n v="65"/>
    <x v="35"/>
    <n v="21.79878048780488"/>
    <n v="2400"/>
    <n v="52317.073199999999"/>
    <n v="3.0583686883842985E-3"/>
    <n v="16880416.768300001"/>
    <n v="0.9868009611804045"/>
    <x v="0"/>
    <x v="3"/>
    <x v="1"/>
    <x v="0"/>
    <n v="26158.536599999999"/>
  </r>
  <r>
    <n v="0.75"/>
    <n v="36"/>
    <x v="35"/>
    <n v="65"/>
    <x v="35"/>
    <n v="21.79878048780488"/>
    <n v="2400"/>
    <n v="52317.073199999999"/>
    <n v="3.0583686883842985E-3"/>
    <n v="16880416.768300001"/>
    <n v="0.9868009611804045"/>
    <x v="0"/>
    <x v="3"/>
    <x v="1"/>
    <x v="1"/>
    <n v="15695.121999999999"/>
  </r>
  <r>
    <n v="0.75"/>
    <n v="36"/>
    <x v="35"/>
    <n v="65"/>
    <x v="35"/>
    <n v="21.79878048780488"/>
    <n v="2400"/>
    <n v="52317.073199999999"/>
    <n v="3.0583686883842985E-3"/>
    <n v="16880416.768300001"/>
    <n v="0.9868009611804045"/>
    <x v="0"/>
    <x v="3"/>
    <x v="1"/>
    <x v="2"/>
    <n v="10463.4146"/>
  </r>
  <r>
    <n v="0.77083333333333337"/>
    <n v="37"/>
    <x v="36"/>
    <n v="22"/>
    <x v="36"/>
    <n v="110.97560975609757"/>
    <n v="360"/>
    <n v="39951.219499999999"/>
    <n v="2.3354815438571008E-3"/>
    <n v="16920367.987799998"/>
    <n v="0.9891364427242616"/>
    <x v="5"/>
    <x v="0"/>
    <x v="2"/>
    <x v="0"/>
    <n v="19975.609799999998"/>
  </r>
  <r>
    <n v="0.77083333333333337"/>
    <n v="37"/>
    <x v="36"/>
    <n v="22"/>
    <x v="36"/>
    <n v="110.97560975609757"/>
    <n v="360"/>
    <n v="39951.219499999999"/>
    <n v="2.3354815438571008E-3"/>
    <n v="16920367.987799998"/>
    <n v="0.9891364427242616"/>
    <x v="5"/>
    <x v="0"/>
    <x v="2"/>
    <x v="1"/>
    <n v="11985.365900000001"/>
  </r>
  <r>
    <n v="0.77083333333333337"/>
    <n v="37"/>
    <x v="36"/>
    <n v="22"/>
    <x v="36"/>
    <n v="110.97560975609757"/>
    <n v="360"/>
    <n v="39951.219499999999"/>
    <n v="2.3354815438571008E-3"/>
    <n v="16920367.987799998"/>
    <n v="0.9891364427242616"/>
    <x v="5"/>
    <x v="0"/>
    <x v="2"/>
    <x v="2"/>
    <n v="7990.2439000000004"/>
  </r>
  <r>
    <n v="0.79166666666666663"/>
    <n v="38"/>
    <x v="37"/>
    <n v="99"/>
    <x v="37"/>
    <n v="1089.939024390244"/>
    <n v="36"/>
    <n v="39237.804900000003"/>
    <n v="2.293776516288224E-3"/>
    <n v="16959605.7927"/>
    <n v="0.99143021924054986"/>
    <x v="0"/>
    <x v="3"/>
    <x v="1"/>
    <x v="0"/>
    <n v="19618.902399999999"/>
  </r>
  <r>
    <n v="0.79166666666666663"/>
    <n v="38"/>
    <x v="37"/>
    <n v="99"/>
    <x v="37"/>
    <n v="1089.939024390244"/>
    <n v="36"/>
    <n v="39237.804900000003"/>
    <n v="2.293776516288224E-3"/>
    <n v="16959605.7927"/>
    <n v="0.99143021924054986"/>
    <x v="0"/>
    <x v="3"/>
    <x v="1"/>
    <x v="1"/>
    <n v="11771.3415"/>
  </r>
  <r>
    <n v="0.79166666666666663"/>
    <n v="38"/>
    <x v="37"/>
    <n v="99"/>
    <x v="37"/>
    <n v="1089.939024390244"/>
    <n v="36"/>
    <n v="39237.804900000003"/>
    <n v="2.293776516288224E-3"/>
    <n v="16959605.7927"/>
    <n v="0.99143021924054986"/>
    <x v="0"/>
    <x v="3"/>
    <x v="1"/>
    <x v="2"/>
    <n v="7847.5609999999997"/>
  </r>
  <r>
    <n v="0.8125"/>
    <n v="39"/>
    <x v="38"/>
    <n v="54"/>
    <x v="38"/>
    <n v="6.3414634146341466"/>
    <n v="4800"/>
    <n v="30439.024399999998"/>
    <n v="1.7794145096054102E-3"/>
    <n v="16990044.8171"/>
    <n v="0.99320963375015514"/>
    <x v="5"/>
    <x v="0"/>
    <x v="2"/>
    <x v="0"/>
    <n v="15219.512199999999"/>
  </r>
  <r>
    <n v="0.8125"/>
    <n v="39"/>
    <x v="38"/>
    <n v="54"/>
    <x v="38"/>
    <n v="6.3414634146341466"/>
    <n v="4800"/>
    <n v="30439.024399999998"/>
    <n v="1.7794145096054102E-3"/>
    <n v="16990044.8171"/>
    <n v="0.99320963375015514"/>
    <x v="5"/>
    <x v="0"/>
    <x v="2"/>
    <x v="1"/>
    <n v="9131.7073"/>
  </r>
  <r>
    <n v="0.8125"/>
    <n v="39"/>
    <x v="38"/>
    <n v="54"/>
    <x v="38"/>
    <n v="6.3414634146341466"/>
    <n v="4800"/>
    <n v="30439.024399999998"/>
    <n v="1.7794145096054102E-3"/>
    <n v="16990044.8171"/>
    <n v="0.99320963375015514"/>
    <x v="5"/>
    <x v="0"/>
    <x v="2"/>
    <x v="2"/>
    <n v="6087.8049000000001"/>
  </r>
  <r>
    <n v="0.83333333333333337"/>
    <n v="40"/>
    <x v="39"/>
    <n v="54"/>
    <x v="39"/>
    <n v="3.6661585365853662"/>
    <n v="7200"/>
    <n v="26396.341499999999"/>
    <n v="1.5430860200484416E-3"/>
    <n v="17016441.158500001"/>
    <n v="0.99475271977020352"/>
    <x v="5"/>
    <x v="0"/>
    <x v="2"/>
    <x v="0"/>
    <n v="13198.170700000001"/>
  </r>
  <r>
    <n v="0.83333333333333337"/>
    <n v="40"/>
    <x v="39"/>
    <n v="54"/>
    <x v="39"/>
    <n v="3.6661585365853662"/>
    <n v="7200"/>
    <n v="26396.341499999999"/>
    <n v="1.5430860200484416E-3"/>
    <n v="17016441.158500001"/>
    <n v="0.99475271977020352"/>
    <x v="5"/>
    <x v="0"/>
    <x v="2"/>
    <x v="1"/>
    <n v="7918.9023999999999"/>
  </r>
  <r>
    <n v="0.83333333333333337"/>
    <n v="40"/>
    <x v="39"/>
    <n v="54"/>
    <x v="39"/>
    <n v="3.6661585365853662"/>
    <n v="7200"/>
    <n v="26396.341499999999"/>
    <n v="1.5430860200484416E-3"/>
    <n v="17016441.158500001"/>
    <n v="0.99475271977020352"/>
    <x v="5"/>
    <x v="0"/>
    <x v="2"/>
    <x v="2"/>
    <n v="5279.2682999999997"/>
  </r>
  <r>
    <n v="0.85416666666666663"/>
    <n v="41"/>
    <x v="40"/>
    <n v="45"/>
    <x v="40"/>
    <n v="168.44512195121953"/>
    <n v="120"/>
    <n v="20213.4146"/>
    <n v="1.1816424477848427E-3"/>
    <n v="17036654.573199999"/>
    <n v="0.99593436221798837"/>
    <x v="5"/>
    <x v="0"/>
    <x v="2"/>
    <x v="0"/>
    <n v="10106.7073"/>
  </r>
  <r>
    <n v="0.85416666666666663"/>
    <n v="41"/>
    <x v="40"/>
    <n v="45"/>
    <x v="40"/>
    <n v="168.44512195121953"/>
    <n v="120"/>
    <n v="20213.4146"/>
    <n v="1.1816424477848427E-3"/>
    <n v="17036654.573199999"/>
    <n v="0.99593436221798837"/>
    <x v="5"/>
    <x v="0"/>
    <x v="2"/>
    <x v="1"/>
    <n v="6064.0244000000002"/>
  </r>
  <r>
    <n v="0.85416666666666663"/>
    <n v="41"/>
    <x v="40"/>
    <n v="45"/>
    <x v="40"/>
    <n v="168.44512195121953"/>
    <n v="120"/>
    <n v="20213.4146"/>
    <n v="1.1816424477848427E-3"/>
    <n v="17036654.573199999"/>
    <n v="0.99593436221798837"/>
    <x v="5"/>
    <x v="0"/>
    <x v="2"/>
    <x v="2"/>
    <n v="4042.6828999999998"/>
  </r>
  <r>
    <n v="0.875"/>
    <n v="42"/>
    <x v="41"/>
    <n v="33"/>
    <x v="41"/>
    <n v="416.15853658536588"/>
    <n v="36"/>
    <n v="14981.7073"/>
    <n v="8.7580557894641274E-4"/>
    <n v="17051636.280499998"/>
    <n v="0.99681016779693477"/>
    <x v="5"/>
    <x v="0"/>
    <x v="2"/>
    <x v="0"/>
    <n v="7490.8536999999997"/>
  </r>
  <r>
    <n v="0.875"/>
    <n v="42"/>
    <x v="41"/>
    <n v="33"/>
    <x v="41"/>
    <n v="416.15853658536588"/>
    <n v="36"/>
    <n v="14981.7073"/>
    <n v="8.7580557894641274E-4"/>
    <n v="17051636.280499998"/>
    <n v="0.99681016779693477"/>
    <x v="5"/>
    <x v="0"/>
    <x v="2"/>
    <x v="1"/>
    <n v="4494.5122000000001"/>
  </r>
  <r>
    <n v="0.875"/>
    <n v="42"/>
    <x v="41"/>
    <n v="33"/>
    <x v="41"/>
    <n v="416.15853658536588"/>
    <n v="36"/>
    <n v="14981.7073"/>
    <n v="8.7580557894641274E-4"/>
    <n v="17051636.280499998"/>
    <n v="0.99681016779693477"/>
    <x v="5"/>
    <x v="0"/>
    <x v="2"/>
    <x v="2"/>
    <n v="2996.3415"/>
  </r>
  <r>
    <n v="0.89583333333333337"/>
    <n v="43"/>
    <x v="42"/>
    <n v="17"/>
    <x v="42"/>
    <n v="7.7286585365853666"/>
    <n v="1920"/>
    <n v="14839.0244"/>
    <n v="8.6746457343263739E-4"/>
    <n v="17066475.304900002"/>
    <n v="0.99767763237036733"/>
    <x v="0"/>
    <x v="2"/>
    <x v="1"/>
    <x v="0"/>
    <n v="7419.5122000000001"/>
  </r>
  <r>
    <n v="0.89583333333333337"/>
    <n v="43"/>
    <x v="42"/>
    <n v="17"/>
    <x v="42"/>
    <n v="7.7286585365853666"/>
    <n v="1920"/>
    <n v="14839.0244"/>
    <n v="8.6746457343263739E-4"/>
    <n v="17066475.304900002"/>
    <n v="0.99767763237036733"/>
    <x v="0"/>
    <x v="2"/>
    <x v="1"/>
    <x v="1"/>
    <n v="4451.7073"/>
  </r>
  <r>
    <n v="0.89583333333333337"/>
    <n v="43"/>
    <x v="42"/>
    <n v="17"/>
    <x v="42"/>
    <n v="7.7286585365853666"/>
    <n v="1920"/>
    <n v="14839.0244"/>
    <n v="8.6746457343263739E-4"/>
    <n v="17066475.304900002"/>
    <n v="0.99767763237036733"/>
    <x v="0"/>
    <x v="2"/>
    <x v="1"/>
    <x v="2"/>
    <n v="2967.8049000000001"/>
  </r>
  <r>
    <n v="0.91666666666666663"/>
    <n v="44"/>
    <x v="43"/>
    <n v="50"/>
    <x v="43"/>
    <n v="2.1798780487804881"/>
    <n v="6144"/>
    <n v="13393.170700000001"/>
    <n v="7.8294238422638054E-4"/>
    <n v="17079868.4756"/>
    <n v="0.99846057475459371"/>
    <x v="5"/>
    <x v="0"/>
    <x v="2"/>
    <x v="0"/>
    <n v="6696.5853999999999"/>
  </r>
  <r>
    <n v="0.91666666666666663"/>
    <n v="44"/>
    <x v="43"/>
    <n v="50"/>
    <x v="43"/>
    <n v="2.1798780487804881"/>
    <n v="6144"/>
    <n v="13393.170700000001"/>
    <n v="7.8294238422638054E-4"/>
    <n v="17079868.4756"/>
    <n v="0.99846057475459371"/>
    <x v="5"/>
    <x v="0"/>
    <x v="2"/>
    <x v="1"/>
    <n v="4017.9512"/>
  </r>
  <r>
    <n v="0.91666666666666663"/>
    <n v="44"/>
    <x v="43"/>
    <n v="50"/>
    <x v="43"/>
    <n v="2.1798780487804881"/>
    <n v="6144"/>
    <n v="13393.170700000001"/>
    <n v="7.8294238422638054E-4"/>
    <n v="17079868.4756"/>
    <n v="0.99846057475459371"/>
    <x v="5"/>
    <x v="0"/>
    <x v="2"/>
    <x v="2"/>
    <n v="2678.6341000000002"/>
  </r>
  <r>
    <n v="0.9375"/>
    <n v="45"/>
    <x v="44"/>
    <n v="50"/>
    <x v="44"/>
    <n v="2.1798780487804881"/>
    <n v="5376"/>
    <n v="11719.0244"/>
    <n v="6.8507458619808295E-4"/>
    <n v="17091587.5"/>
    <n v="0.99914564934079175"/>
    <x v="5"/>
    <x v="0"/>
    <x v="2"/>
    <x v="0"/>
    <n v="5859.5122000000001"/>
  </r>
  <r>
    <n v="0.9375"/>
    <n v="45"/>
    <x v="44"/>
    <n v="50"/>
    <x v="44"/>
    <n v="2.1798780487804881"/>
    <n v="5376"/>
    <n v="11719.0244"/>
    <n v="6.8507458619808295E-4"/>
    <n v="17091587.5"/>
    <n v="0.99914564934079175"/>
    <x v="5"/>
    <x v="0"/>
    <x v="2"/>
    <x v="1"/>
    <n v="3515.7073"/>
  </r>
  <r>
    <n v="0.9375"/>
    <n v="45"/>
    <x v="44"/>
    <n v="50"/>
    <x v="44"/>
    <n v="2.1798780487804881"/>
    <n v="5376"/>
    <n v="11719.0244"/>
    <n v="6.8507458619808295E-4"/>
    <n v="17091587.5"/>
    <n v="0.99914564934079175"/>
    <x v="5"/>
    <x v="0"/>
    <x v="2"/>
    <x v="2"/>
    <n v="2343.8049000000001"/>
  </r>
  <r>
    <n v="0.95833333333333337"/>
    <n v="46"/>
    <x v="45"/>
    <n v="54"/>
    <x v="45"/>
    <n v="9.5121951219512209"/>
    <n v="1200"/>
    <n v="11414.634099999999"/>
    <n v="6.6728044110202884E-4"/>
    <n v="17103002.134100001"/>
    <n v="0.99981292978189373"/>
    <x v="5"/>
    <x v="0"/>
    <x v="2"/>
    <x v="0"/>
    <n v="5707.3171000000002"/>
  </r>
  <r>
    <n v="0.95833333333333337"/>
    <n v="46"/>
    <x v="45"/>
    <n v="54"/>
    <x v="45"/>
    <n v="9.5121951219512209"/>
    <n v="1200"/>
    <n v="11414.634099999999"/>
    <n v="6.6728044110202884E-4"/>
    <n v="17103002.134100001"/>
    <n v="0.99981292978189373"/>
    <x v="5"/>
    <x v="0"/>
    <x v="2"/>
    <x v="1"/>
    <n v="3424.3901999999998"/>
  </r>
  <r>
    <n v="0.95833333333333337"/>
    <n v="46"/>
    <x v="45"/>
    <n v="54"/>
    <x v="45"/>
    <n v="9.5121951219512209"/>
    <n v="1200"/>
    <n v="11414.634099999999"/>
    <n v="6.6728044110202884E-4"/>
    <n v="17103002.134100001"/>
    <n v="0.99981292978189373"/>
    <x v="5"/>
    <x v="0"/>
    <x v="2"/>
    <x v="2"/>
    <n v="2282.9268000000002"/>
  </r>
  <r>
    <n v="0.97916666666666663"/>
    <n v="47"/>
    <x v="46"/>
    <n v="22"/>
    <x v="46"/>
    <n v="237.80487804878049"/>
    <n v="12"/>
    <n v="2853.6585"/>
    <n v="1.6682011027550721E-4"/>
    <n v="17105855.7927"/>
    <n v="0.99997974989216931"/>
    <x v="5"/>
    <x v="0"/>
    <x v="2"/>
    <x v="0"/>
    <n v="1426.8293000000001"/>
  </r>
  <r>
    <n v="0.97916666666666663"/>
    <n v="47"/>
    <x v="46"/>
    <n v="22"/>
    <x v="46"/>
    <n v="237.80487804878049"/>
    <n v="12"/>
    <n v="2853.6585"/>
    <n v="1.6682011027550721E-4"/>
    <n v="17105855.7927"/>
    <n v="0.99997974989216931"/>
    <x v="5"/>
    <x v="0"/>
    <x v="2"/>
    <x v="1"/>
    <n v="856.09760000000006"/>
  </r>
  <r>
    <n v="0.97916666666666663"/>
    <n v="47"/>
    <x v="46"/>
    <n v="22"/>
    <x v="46"/>
    <n v="237.80487804878049"/>
    <n v="12"/>
    <n v="2853.6585"/>
    <n v="1.6682011027550721E-4"/>
    <n v="17105855.7927"/>
    <n v="0.99997974989216931"/>
    <x v="5"/>
    <x v="0"/>
    <x v="2"/>
    <x v="2"/>
    <n v="570.73170000000005"/>
  </r>
  <r>
    <n v="1"/>
    <n v="48"/>
    <x v="47"/>
    <n v="79"/>
    <x v="47"/>
    <n v="7.5304878048780486"/>
    <n v="46"/>
    <n v="346.4024"/>
    <n v="2.0250107830665733E-5"/>
    <n v="17106202.195099998"/>
    <n v="1"/>
    <x v="2"/>
    <x v="0"/>
    <x v="2"/>
    <x v="0"/>
    <n v="173.2012"/>
  </r>
  <r>
    <n v="1"/>
    <n v="48"/>
    <x v="47"/>
    <n v="79"/>
    <x v="47"/>
    <n v="7.5304878048780486"/>
    <n v="46"/>
    <n v="346.4024"/>
    <n v="2.0250107830665733E-5"/>
    <n v="17106202.195099998"/>
    <n v="1"/>
    <x v="2"/>
    <x v="0"/>
    <x v="2"/>
    <x v="1"/>
    <n v="103.9207"/>
  </r>
  <r>
    <n v="1"/>
    <n v="48"/>
    <x v="47"/>
    <n v="79"/>
    <x v="47"/>
    <n v="7.5304878048780486"/>
    <n v="46"/>
    <n v="346.4024"/>
    <n v="2.0250107830665733E-5"/>
    <n v="17106202.195099998"/>
    <n v="1"/>
    <x v="2"/>
    <x v="0"/>
    <x v="2"/>
    <x v="2"/>
    <n v="69.280500000000004"/>
  </r>
  <r>
    <m/>
    <m/>
    <x v="48"/>
    <m/>
    <x v="48"/>
    <m/>
    <m/>
    <m/>
    <m/>
    <m/>
    <m/>
    <x v="6"/>
    <x v="4"/>
    <x v="3"/>
    <x v="3"/>
    <m/>
  </r>
  <r>
    <m/>
    <m/>
    <x v="48"/>
    <m/>
    <x v="48"/>
    <m/>
    <m/>
    <m/>
    <m/>
    <m/>
    <m/>
    <x v="6"/>
    <x v="4"/>
    <x v="3"/>
    <x v="3"/>
    <m/>
  </r>
  <r>
    <m/>
    <m/>
    <x v="48"/>
    <m/>
    <x v="48"/>
    <m/>
    <m/>
    <m/>
    <m/>
    <m/>
    <m/>
    <x v="6"/>
    <x v="4"/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4">
  <location ref="A5:D54" firstHeaderRow="0" firstDataRow="1" firstDataCol="1"/>
  <pivotFields count="17">
    <pivotField numFmtId="9" showAll="0" defaultSubtotal="0"/>
    <pivotField numFmtId="1" showAll="0" defaultSubtotal="0"/>
    <pivotField showAll="0" defaultSubtotal="0"/>
    <pivotField showAll="0" defaultSubtotal="0"/>
    <pivotField axis="axisRow" showAll="0" sortType="descending">
      <items count="49">
        <item x="44"/>
        <item x="32"/>
        <item x="21"/>
        <item x="11"/>
        <item x="26"/>
        <item x="37"/>
        <item x="6"/>
        <item x="12"/>
        <item x="13"/>
        <item x="24"/>
        <item x="40"/>
        <item x="10"/>
        <item x="41"/>
        <item x="33"/>
        <item x="27"/>
        <item x="29"/>
        <item x="19"/>
        <item x="8"/>
        <item x="17"/>
        <item x="43"/>
        <item x="1"/>
        <item x="0"/>
        <item x="7"/>
        <item x="3"/>
        <item x="31"/>
        <item x="23"/>
        <item x="20"/>
        <item x="42"/>
        <item x="9"/>
        <item x="4"/>
        <item x="5"/>
        <item x="25"/>
        <item x="18"/>
        <item x="30"/>
        <item x="35"/>
        <item x="2"/>
        <item x="36"/>
        <item x="28"/>
        <item x="46"/>
        <item x="39"/>
        <item x="34"/>
        <item x="38"/>
        <item x="45"/>
        <item x="14"/>
        <item x="22"/>
        <item x="16"/>
        <item x="15"/>
        <item x="4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4" showAll="0"/>
    <pivotField numFmtId="3" showAll="0"/>
    <pivotField dataField="1" numFmtId="44" showAll="0"/>
    <pivotField dataField="1" numFmtId="10" showAll="0" defaultSubtotal="0"/>
    <pivotField numFmtId="44" showAll="0"/>
    <pivotField numFmtId="10" showAll="0" defaultSubtotal="0"/>
    <pivotField showAll="0" defaultSubtotal="0"/>
    <pivotField numFmtId="44" showAll="0" defaultSubtotal="0"/>
    <pivotField showAll="0" defaultSubtotal="0"/>
    <pivotField numFmtId="44" showAll="0" defaultSubtotal="0"/>
    <pivotField showAll="0" defaultSubtotal="0"/>
    <pivotField showAll="0" defaultSubtotal="0"/>
  </pivotFields>
  <rowFields count="1">
    <field x="4"/>
  </rowFields>
  <rowItems count="49">
    <i>
      <x v="21"/>
    </i>
    <i>
      <x v="35"/>
    </i>
    <i>
      <x v="20"/>
    </i>
    <i>
      <x v="23"/>
    </i>
    <i>
      <x v="30"/>
    </i>
    <i>
      <x v="29"/>
    </i>
    <i>
      <x v="6"/>
    </i>
    <i>
      <x v="22"/>
    </i>
    <i>
      <x v="17"/>
    </i>
    <i>
      <x v="28"/>
    </i>
    <i>
      <x v="11"/>
    </i>
    <i>
      <x v="8"/>
    </i>
    <i>
      <x v="3"/>
    </i>
    <i>
      <x v="7"/>
    </i>
    <i>
      <x v="43"/>
    </i>
    <i>
      <x v="46"/>
    </i>
    <i>
      <x v="45"/>
    </i>
    <i>
      <x v="18"/>
    </i>
    <i>
      <x v="32"/>
    </i>
    <i>
      <x v="16"/>
    </i>
    <i>
      <x v="26"/>
    </i>
    <i>
      <x v="2"/>
    </i>
    <i>
      <x v="44"/>
    </i>
    <i>
      <x v="25"/>
    </i>
    <i>
      <x v="9"/>
    </i>
    <i>
      <x v="31"/>
    </i>
    <i>
      <x v="4"/>
    </i>
    <i>
      <x v="14"/>
    </i>
    <i>
      <x v="37"/>
    </i>
    <i>
      <x v="15"/>
    </i>
    <i>
      <x v="33"/>
    </i>
    <i>
      <x v="24"/>
    </i>
    <i>
      <x v="1"/>
    </i>
    <i>
      <x v="13"/>
    </i>
    <i>
      <x v="40"/>
    </i>
    <i>
      <x v="34"/>
    </i>
    <i>
      <x v="36"/>
    </i>
    <i>
      <x v="5"/>
    </i>
    <i>
      <x v="41"/>
    </i>
    <i>
      <x v="39"/>
    </i>
    <i>
      <x v="10"/>
    </i>
    <i>
      <x v="12"/>
    </i>
    <i>
      <x v="27"/>
    </i>
    <i>
      <x v="19"/>
    </i>
    <i>
      <x/>
    </i>
    <i>
      <x v="42"/>
    </i>
    <i>
      <x v="38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 Annuel" fld="7" baseField="0" baseItem="0" numFmtId="44"/>
    <dataField name="Somme de % du CA / Prdt" fld="8" showDataAs="percentOfTotal" baseField="0" baseItem="0" numFmtId="10"/>
    <dataField name="% CA cumulé " fld="7" baseField="4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5">
    <format dxfId="66">
      <pivotArea outline="0" collapsedLevelsAreSubtotals="1" fieldPosition="0"/>
    </format>
    <format dxfId="65">
      <pivotArea outline="0" fieldPosition="0">
        <references count="1">
          <reference field="4294967294" count="1">
            <x v="1"/>
          </reference>
        </references>
      </pivotArea>
    </format>
    <format dxfId="64">
      <pivotArea outline="0" fieldPosition="0">
        <references count="1">
          <reference field="4294967294" count="1">
            <x v="2"/>
          </reference>
        </references>
      </pivotArea>
    </format>
    <format dxfId="63">
      <pivotArea collapsedLevelsAreSubtotals="1" fieldPosition="0">
        <references count="1">
          <reference field="4" count="16">
            <x v="3"/>
            <x v="6"/>
            <x v="7"/>
            <x v="8"/>
            <x v="11"/>
            <x v="17"/>
            <x v="20"/>
            <x v="21"/>
            <x v="22"/>
            <x v="23"/>
            <x v="28"/>
            <x v="29"/>
            <x v="30"/>
            <x v="35"/>
            <x v="43"/>
            <x v="46"/>
          </reference>
        </references>
      </pivotArea>
    </format>
    <format dxfId="62">
      <pivotArea dataOnly="0" labelOnly="1" fieldPosition="0">
        <references count="1">
          <reference field="4" count="16">
            <x v="3"/>
            <x v="6"/>
            <x v="7"/>
            <x v="8"/>
            <x v="11"/>
            <x v="17"/>
            <x v="20"/>
            <x v="21"/>
            <x v="22"/>
            <x v="23"/>
            <x v="28"/>
            <x v="29"/>
            <x v="30"/>
            <x v="35"/>
            <x v="43"/>
            <x v="46"/>
          </reference>
        </references>
      </pivotArea>
    </format>
  </formats>
  <chartFormats count="5">
    <chartFormat chart="2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3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3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A5:D19" firstHeaderRow="0" firstDataRow="1" firstDataCol="1"/>
  <pivotFields count="17">
    <pivotField numFmtId="9" showAll="0"/>
    <pivotField numFmtId="1" showAll="0"/>
    <pivotField showAll="0"/>
    <pivotField axis="axisRow" showAll="0" sortType="descending">
      <items count="14">
        <item x="2"/>
        <item x="8"/>
        <item x="4"/>
        <item x="7"/>
        <item x="11"/>
        <item x="1"/>
        <item x="12"/>
        <item x="10"/>
        <item x="5"/>
        <item x="6"/>
        <item x="9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64" showAll="0"/>
    <pivotField numFmtId="3" showAll="0"/>
    <pivotField dataField="1" numFmtId="44" showAll="0"/>
    <pivotField dataField="1" numFmtId="10" showAll="0"/>
    <pivotField numFmtId="44" showAll="0"/>
    <pivotField numFmtId="10" showAll="0"/>
    <pivotField showAll="0" defaultSubtotal="0"/>
    <pivotField numFmtId="44" showAll="0" defaultSubtotal="0"/>
    <pivotField showAll="0" defaultSubtotal="0"/>
    <pivotField numFmtId="44" showAll="0" defaultSubtotal="0"/>
    <pivotField showAll="0" defaultSubtotal="0"/>
    <pivotField showAll="0" defaultSubtotal="0"/>
  </pivotFields>
  <rowFields count="1">
    <field x="3"/>
  </rowFields>
  <rowItems count="14">
    <i>
      <x v="11"/>
    </i>
    <i>
      <x/>
    </i>
    <i>
      <x v="5"/>
    </i>
    <i>
      <x v="2"/>
    </i>
    <i>
      <x v="8"/>
    </i>
    <i>
      <x v="12"/>
    </i>
    <i>
      <x v="9"/>
    </i>
    <i>
      <x v="3"/>
    </i>
    <i>
      <x v="1"/>
    </i>
    <i>
      <x v="7"/>
    </i>
    <i>
      <x v="10"/>
    </i>
    <i>
      <x v="6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 Annuel" fld="7" baseField="0" baseItem="0" numFmtId="44"/>
    <dataField name=" % du CA" fld="8" showDataAs="percentOfTotal" baseField="0" baseItem="0" numFmtId="10"/>
    <dataField name="% CA Annuel" fld="7" baseField="3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5">
    <format dxfId="61">
      <pivotArea outline="0" collapsedLevelsAreSubtotals="1" fieldPosition="0"/>
    </format>
    <format dxfId="60">
      <pivotArea outline="0" fieldPosition="0">
        <references count="1">
          <reference field="4294967294" count="1">
            <x v="1"/>
          </reference>
        </references>
      </pivotArea>
    </format>
    <format dxfId="59">
      <pivotArea collapsedLevelsAreSubtotals="1" fieldPosition="0">
        <references count="1">
          <reference field="3" count="5">
            <x v="0"/>
            <x v="2"/>
            <x v="5"/>
            <x v="8"/>
            <x v="11"/>
          </reference>
        </references>
      </pivotArea>
    </format>
    <format dxfId="58">
      <pivotArea dataOnly="0" labelOnly="1" fieldPosition="0">
        <references count="1">
          <reference field="3" count="5">
            <x v="0"/>
            <x v="2"/>
            <x v="5"/>
            <x v="8"/>
            <x v="11"/>
          </reference>
        </references>
      </pivotArea>
    </format>
    <format dxfId="57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6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5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97">
  <location ref="A30:D35" firstHeaderRow="0" firstDataRow="1" firstDataCol="1"/>
  <pivotFields count="17">
    <pivotField numFmtId="9" showAll="0"/>
    <pivotField numFmtId="1" showAll="0"/>
    <pivotField showAll="0"/>
    <pivotField showAll="0"/>
    <pivotField showAll="0"/>
    <pivotField numFmtId="164" showAll="0"/>
    <pivotField numFmtId="3" showAll="0"/>
    <pivotField numFmtId="44" showAll="0"/>
    <pivotField numFmtId="10" showAll="0"/>
    <pivotField numFmtId="44" showAll="0"/>
    <pivotField numFmtId="10" showAll="0"/>
    <pivotField showAll="0"/>
    <pivotField numFmtId="44" showAll="0"/>
    <pivotField showAll="0"/>
    <pivotField numFmtId="44" showAll="0"/>
    <pivotField axis="axisRow" showAll="0" sortType="descending">
      <items count="6">
        <item x="2"/>
        <item x="4"/>
        <item x="1"/>
        <item x="0"/>
        <item h="1"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5"/>
  </rowFields>
  <rowItems count="5">
    <i>
      <x v="2"/>
    </i>
    <i>
      <x v="3"/>
    </i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 Frns entonnoir 3" fld="16" baseField="0" baseItem="0"/>
    <dataField name="% CA Frns entonnoir 3" fld="16" showDataAs="percentOfTotal" baseField="0" baseItem="0" numFmtId="10"/>
    <dataField name="% CA Frns Antonoir 3 cumulé" fld="16" subtotal="count" baseField="15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14">
    <format dxfId="31">
      <pivotArea dataOnly="0" outline="0" fieldPosition="0">
        <references count="1">
          <reference field="4294967294" count="1">
            <x v="0"/>
          </reference>
        </references>
      </pivotArea>
    </format>
    <format dxfId="30">
      <pivotArea outline="0" fieldPosition="0">
        <references count="1">
          <reference field="4294967294" count="1">
            <x v="2"/>
          </reference>
        </references>
      </pivotArea>
    </format>
    <format dxfId="2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28">
      <pivotArea collapsedLevelsAreSubtotals="1" fieldPosition="0">
        <references count="1">
          <reference field="15" count="3">
            <x v="0"/>
            <x v="2"/>
            <x v="3"/>
          </reference>
        </references>
      </pivotArea>
    </format>
    <format dxfId="27">
      <pivotArea dataOnly="0" labelOnly="1" fieldPosition="0">
        <references count="1">
          <reference field="15" count="3">
            <x v="0"/>
            <x v="2"/>
            <x v="3"/>
          </reference>
        </references>
      </pivotArea>
    </format>
    <format dxfId="26">
      <pivotArea dataOnly="0" outline="0" fieldPosition="0">
        <references count="1">
          <reference field="4294967294" count="1">
            <x v="1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4">
      <pivotArea outline="0" fieldPosition="0">
        <references count="1">
          <reference field="4294967294" count="1">
            <x v="1"/>
          </reference>
        </references>
      </pivotArea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field="15" type="button" dataOnly="0" labelOnly="1" outline="0" axis="axisRow" fieldPosition="0"/>
    </format>
    <format dxfId="20">
      <pivotArea dataOnly="0" labelOnly="1" fieldPosition="0">
        <references count="1">
          <reference field="15" count="0"/>
        </references>
      </pivotArea>
    </format>
    <format dxfId="19">
      <pivotArea dataOnly="0" labelOnly="1" grandRow="1" outline="0" fieldPosition="0"/>
    </format>
    <format dxfId="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6">
    <chartFormat chart="91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1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1" format="2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6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6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4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9">
  <location ref="A17:D22" firstHeaderRow="0" firstDataRow="1" firstDataCol="1"/>
  <pivotFields count="17">
    <pivotField numFmtId="9" showAll="0"/>
    <pivotField numFmtId="1" showAll="0"/>
    <pivotField showAll="0"/>
    <pivotField showAll="0"/>
    <pivotField showAll="0"/>
    <pivotField numFmtId="164" showAll="0"/>
    <pivotField numFmtId="3" showAll="0"/>
    <pivotField numFmtId="44" showAll="0"/>
    <pivotField numFmtId="10" showAll="0"/>
    <pivotField numFmtId="44" showAll="0"/>
    <pivotField numFmtId="10" showAll="0"/>
    <pivotField showAll="0"/>
    <pivotField numFmtId="44" showAll="0"/>
    <pivotField axis="axisRow" showAll="0" sortType="descending">
      <items count="5">
        <item x="1"/>
        <item x="2"/>
        <item x="3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44" showAll="0"/>
    <pivotField showAll="0"/>
    <pivotField showAll="0"/>
  </pivotFields>
  <rowFields count="1">
    <field x="13"/>
  </rowFields>
  <rowItems count="5">
    <i>
      <x v="3"/>
    </i>
    <i>
      <x v="2"/>
    </i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 Frns entonnoir 2" fld="14" baseField="0" baseItem="0"/>
    <dataField name="% CA Frns entonnoir 2" fld="14" showDataAs="percentOfTotal" baseField="0" baseItem="0" numFmtId="10"/>
    <dataField name="% CA Frns entonnoir 2 cumulé" fld="14" baseField="13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13">
    <format dxfId="44">
      <pivotArea dataOnly="0" outline="0" fieldPosition="0">
        <references count="1">
          <reference field="4294967294" count="1">
            <x v="0"/>
          </reference>
        </references>
      </pivotArea>
    </format>
    <format dxfId="43">
      <pivotArea outline="0" fieldPosition="0">
        <references count="1">
          <reference field="4294967294" count="1">
            <x v="1"/>
          </reference>
        </references>
      </pivotArea>
    </format>
    <format dxfId="42">
      <pivotArea outline="0" fieldPosition="0">
        <references count="1">
          <reference field="4294967294" count="1">
            <x v="2"/>
          </reference>
        </references>
      </pivotArea>
    </format>
    <format dxfId="4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9">
      <pivotArea collapsedLevelsAreSubtotals="1" fieldPosition="0">
        <references count="1">
          <reference field="13" count="3">
            <x v="0"/>
            <x v="2"/>
            <x v="3"/>
          </reference>
        </references>
      </pivotArea>
    </format>
    <format dxfId="38">
      <pivotArea dataOnly="0" labelOnly="1" fieldPosition="0">
        <references count="1">
          <reference field="13" count="3">
            <x v="0"/>
            <x v="2"/>
            <x v="3"/>
          </reference>
        </references>
      </pivotArea>
    </format>
    <format dxfId="37">
      <pivotArea type="all" dataOnly="0" outline="0" fieldPosition="0"/>
    </format>
    <format dxfId="36">
      <pivotArea outline="0" collapsedLevelsAreSubtotals="1" fieldPosition="0"/>
    </format>
    <format dxfId="35">
      <pivotArea field="13" type="button" dataOnly="0" labelOnly="1" outline="0" axis="axisRow" fieldPosition="0"/>
    </format>
    <format dxfId="34">
      <pivotArea dataOnly="0" labelOnly="1" fieldPosition="0">
        <references count="1">
          <reference field="13" count="0"/>
        </references>
      </pivotArea>
    </format>
    <format dxfId="33">
      <pivotArea dataOnly="0" labelOnly="1" grandRow="1" outline="0" fieldPosition="0"/>
    </format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2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4:D11" firstHeaderRow="0" firstDataRow="1" firstDataCol="1"/>
  <pivotFields count="17">
    <pivotField numFmtId="9" showAll="0"/>
    <pivotField numFmtId="1" showAll="0"/>
    <pivotField showAll="0"/>
    <pivotField showAll="0"/>
    <pivotField showAll="0"/>
    <pivotField numFmtId="164" showAll="0"/>
    <pivotField numFmtId="3" showAll="0"/>
    <pivotField numFmtId="44" showAll="0"/>
    <pivotField numFmtId="10" showAll="0"/>
    <pivotField numFmtId="44" showAll="0"/>
    <pivotField numFmtId="10" showAll="0"/>
    <pivotField axis="axisRow" showAll="0" sortType="descending" defaultSubtotal="0">
      <items count="6">
        <item x="0"/>
        <item x="4"/>
        <item x="3"/>
        <item x="5"/>
        <item x="2"/>
        <item x="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44" showAll="0" defaultSubtotal="0"/>
    <pivotField showAll="0" defaultSubtotal="0"/>
    <pivotField numFmtId="44" showAll="0" defaultSubtotal="0"/>
    <pivotField showAll="0" defaultSubtotal="0"/>
    <pivotField showAll="0" defaultSubtotal="0"/>
  </pivotFields>
  <rowFields count="1">
    <field x="11"/>
  </rowFields>
  <rowItems count="7">
    <i>
      <x/>
    </i>
    <i>
      <x v="5"/>
    </i>
    <i>
      <x v="2"/>
    </i>
    <i>
      <x v="1"/>
    </i>
    <i>
      <x v="4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A Frns entonnoir 1" fld="12" baseField="0" baseItem="0"/>
    <dataField name="% CA Frns entonnoir 1" fld="12" showDataAs="percentOfTotal" baseField="0" baseItem="0" numFmtId="10"/>
    <dataField name="% CA Frns entonnoir 1 cumulé" fld="12" baseField="11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formats count="12">
    <format dxfId="56">
      <pivotArea outline="0" collapsedLevelsAreSubtotals="1" fieldPosition="0"/>
    </format>
    <format dxfId="55">
      <pivotArea outline="0" fieldPosition="0">
        <references count="1">
          <reference field="4294967294" count="1">
            <x v="1"/>
          </reference>
        </references>
      </pivotArea>
    </format>
    <format dxfId="54">
      <pivotArea outline="0" fieldPosition="0">
        <references count="1">
          <reference field="4294967294" count="1">
            <x v="2"/>
          </reference>
        </references>
      </pivotArea>
    </format>
    <format dxfId="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2">
      <pivotArea collapsedLevelsAreSubtotals="1" fieldPosition="0">
        <references count="1">
          <reference field="11" count="3">
            <x v="0"/>
            <x v="2"/>
            <x v="5"/>
          </reference>
        </references>
      </pivotArea>
    </format>
    <format dxfId="51">
      <pivotArea dataOnly="0" labelOnly="1" fieldPosition="0">
        <references count="1">
          <reference field="11" count="3">
            <x v="0"/>
            <x v="2"/>
            <x v="5"/>
          </reference>
        </references>
      </pivotArea>
    </format>
    <format dxfId="50">
      <pivotArea type="all" dataOnly="0" outline="0" fieldPosition="0"/>
    </format>
    <format dxfId="49">
      <pivotArea outline="0" collapsedLevelsAreSubtotals="1" fieldPosition="0"/>
    </format>
    <format dxfId="48">
      <pivotArea field="11" type="button" dataOnly="0" labelOnly="1" outline="0" axis="axisRow" fieldPosition="0"/>
    </format>
    <format dxfId="47">
      <pivotArea dataOnly="0" labelOnly="1" fieldPosition="0">
        <references count="1">
          <reference field="11" count="0"/>
        </references>
      </pivotArea>
    </format>
    <format dxfId="46">
      <pivotArea dataOnly="0" labelOnly="1" grandRow="1" outline="0" fieldPosition="0"/>
    </format>
    <format dxfId="4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2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gridDropZones="1" multipleFieldFilters="0" fieldListSortAscending="1">
  <location ref="A3:I53" firstHeaderRow="1" firstDataRow="2" firstDataCol="2"/>
  <pivotFields count="16">
    <pivotField compact="0" outline="0" showAll="0"/>
    <pivotField compact="0" outline="0" showAll="0"/>
    <pivotField compact="0" outline="0" showAll="0">
      <items count="50">
        <item x="12"/>
        <item x="13"/>
        <item x="42"/>
        <item x="20"/>
        <item x="4"/>
        <item x="5"/>
        <item x="23"/>
        <item x="11"/>
        <item x="36"/>
        <item x="28"/>
        <item x="46"/>
        <item x="10"/>
        <item x="17"/>
        <item x="8"/>
        <item x="33"/>
        <item x="41"/>
        <item x="27"/>
        <item x="40"/>
        <item x="25"/>
        <item x="9"/>
        <item x="2"/>
        <item x="44"/>
        <item x="43"/>
        <item x="39"/>
        <item x="34"/>
        <item x="38"/>
        <item x="45"/>
        <item x="15"/>
        <item x="14"/>
        <item x="22"/>
        <item x="16"/>
        <item x="35"/>
        <item x="21"/>
        <item x="19"/>
        <item x="31"/>
        <item x="26"/>
        <item x="30"/>
        <item x="32"/>
        <item x="47"/>
        <item x="29"/>
        <item x="1"/>
        <item x="0"/>
        <item x="3"/>
        <item x="7"/>
        <item x="6"/>
        <item x="24"/>
        <item x="18"/>
        <item x="37"/>
        <item x="48"/>
        <item t="default"/>
      </items>
    </pivotField>
    <pivotField compact="0" outline="0" showAll="0"/>
    <pivotField axis="axisRow" compact="0" outline="0" showAll="0" sortType="ascending" defaultSubtotal="0">
      <items count="49">
        <item x="44"/>
        <item x="32"/>
        <item x="21"/>
        <item x="11"/>
        <item x="26"/>
        <item x="37"/>
        <item x="6"/>
        <item x="12"/>
        <item x="13"/>
        <item x="24"/>
        <item x="40"/>
        <item x="10"/>
        <item x="41"/>
        <item x="33"/>
        <item x="27"/>
        <item x="29"/>
        <item x="19"/>
        <item x="8"/>
        <item x="17"/>
        <item x="43"/>
        <item x="1"/>
        <item x="0"/>
        <item x="7"/>
        <item x="3"/>
        <item x="31"/>
        <item x="23"/>
        <item x="20"/>
        <item x="42"/>
        <item x="9"/>
        <item x="4"/>
        <item x="5"/>
        <item x="25"/>
        <item x="18"/>
        <item x="30"/>
        <item x="35"/>
        <item x="2"/>
        <item x="36"/>
        <item x="28"/>
        <item x="46"/>
        <item x="39"/>
        <item x="34"/>
        <item x="38"/>
        <item x="45"/>
        <item x="14"/>
        <item x="22"/>
        <item x="16"/>
        <item x="15"/>
        <item x="47"/>
        <item x="48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0"/>
        <item x="4"/>
        <item x="3"/>
        <item x="5"/>
        <item x="2"/>
        <item x="1"/>
        <item x="6"/>
        <item t="default"/>
      </items>
    </pivotField>
    <pivotField compact="0" outline="0" showAll="0">
      <items count="6">
        <item x="1"/>
        <item x="2"/>
        <item x="3"/>
        <item x="0"/>
        <item x="4"/>
        <item t="default"/>
      </items>
    </pivotField>
    <pivotField compact="0" outline="0" showAll="0">
      <items count="6">
        <item x="2"/>
        <item x="4"/>
        <item x="1"/>
        <item x="0"/>
        <item x="3"/>
        <item t="default"/>
      </items>
    </pivotField>
    <pivotField axis="axisRow" compact="0" outline="0" showAll="0" sortType="descending">
      <items count="5">
        <item h="1" x="0"/>
        <item x="1"/>
        <item h="1" x="2"/>
        <item h="1"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</pivotFields>
  <rowFields count="2">
    <field x="4"/>
    <field x="14"/>
  </rowFields>
  <rowItems count="49">
    <i>
      <x/>
      <x v="1"/>
    </i>
    <i>
      <x v="1"/>
      <x v="1"/>
    </i>
    <i>
      <x v="2"/>
      <x v="1"/>
    </i>
    <i>
      <x v="3"/>
      <x v="1"/>
    </i>
    <i>
      <x v="4"/>
      <x v="1"/>
    </i>
    <i>
      <x v="5"/>
      <x v="1"/>
    </i>
    <i>
      <x v="6"/>
      <x v="1"/>
    </i>
    <i>
      <x v="7"/>
      <x v="1"/>
    </i>
    <i>
      <x v="8"/>
      <x v="1"/>
    </i>
    <i>
      <x v="9"/>
      <x v="1"/>
    </i>
    <i>
      <x v="10"/>
      <x v="1"/>
    </i>
    <i>
      <x v="11"/>
      <x v="1"/>
    </i>
    <i>
      <x v="12"/>
      <x v="1"/>
    </i>
    <i>
      <x v="13"/>
      <x v="1"/>
    </i>
    <i>
      <x v="14"/>
      <x v="1"/>
    </i>
    <i>
      <x v="15"/>
      <x v="1"/>
    </i>
    <i>
      <x v="16"/>
      <x v="1"/>
    </i>
    <i>
      <x v="17"/>
      <x v="1"/>
    </i>
    <i>
      <x v="18"/>
      <x v="1"/>
    </i>
    <i>
      <x v="19"/>
      <x v="1"/>
    </i>
    <i>
      <x v="20"/>
      <x v="1"/>
    </i>
    <i>
      <x v="21"/>
      <x v="1"/>
    </i>
    <i>
      <x v="22"/>
      <x v="1"/>
    </i>
    <i>
      <x v="23"/>
      <x v="1"/>
    </i>
    <i>
      <x v="24"/>
      <x v="1"/>
    </i>
    <i>
      <x v="25"/>
      <x v="1"/>
    </i>
    <i>
      <x v="26"/>
      <x v="1"/>
    </i>
    <i>
      <x v="27"/>
      <x v="1"/>
    </i>
    <i>
      <x v="28"/>
      <x v="1"/>
    </i>
    <i>
      <x v="29"/>
      <x v="1"/>
    </i>
    <i>
      <x v="30"/>
      <x v="1"/>
    </i>
    <i>
      <x v="31"/>
      <x v="1"/>
    </i>
    <i>
      <x v="32"/>
      <x v="1"/>
    </i>
    <i>
      <x v="33"/>
      <x v="1"/>
    </i>
    <i>
      <x v="34"/>
      <x v="1"/>
    </i>
    <i>
      <x v="35"/>
      <x v="1"/>
    </i>
    <i>
      <x v="36"/>
      <x v="1"/>
    </i>
    <i>
      <x v="37"/>
      <x v="1"/>
    </i>
    <i>
      <x v="38"/>
      <x v="1"/>
    </i>
    <i>
      <x v="39"/>
      <x v="1"/>
    </i>
    <i>
      <x v="40"/>
      <x v="1"/>
    </i>
    <i>
      <x v="41"/>
      <x v="1"/>
    </i>
    <i>
      <x v="42"/>
      <x v="1"/>
    </i>
    <i>
      <x v="43"/>
      <x v="1"/>
    </i>
    <i>
      <x v="44"/>
      <x v="1"/>
    </i>
    <i>
      <x v="45"/>
      <x v="1"/>
    </i>
    <i>
      <x v="46"/>
      <x v="1"/>
    </i>
    <i>
      <x v="47"/>
      <x v="1"/>
    </i>
    <i t="grand">
      <x/>
    </i>
  </rowItems>
  <colFields count="1">
    <field x="1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CA Annuel" fld="7" baseField="14" baseItem="0" numFmtId="43"/>
  </dataFields>
  <formats count="5">
    <format dxfId="17">
      <pivotArea collapsedLevelsAreSubtotals="1" fieldPosition="0">
        <references count="1">
          <reference field="4" count="4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16">
      <pivotArea grandCol="1" outline="0" collapsedLevelsAreSubtotals="1" fieldPosition="0"/>
    </format>
    <format dxfId="15">
      <pivotArea outline="0" fieldPosition="0">
        <references count="1">
          <reference field="4294967294" count="1">
            <x v="0"/>
          </reference>
        </references>
      </pivotArea>
    </format>
    <format dxfId="10">
      <pivotArea outline="0" fieldPosition="0">
        <references count="1">
          <reference field="4294967294" count="1">
            <x v="0"/>
          </reference>
        </references>
      </pivotArea>
    </format>
    <format dxfId="5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7">
    <queryTableFields count="16">
      <queryTableField id="1" name="%" tableColumnId="17"/>
      <queryTableField id="2" name="N°" tableColumnId="2"/>
      <queryTableField id="3" name="Références" tableColumnId="3"/>
      <queryTableField id="4" name="Famille" tableColumnId="4"/>
      <queryTableField id="5" name="Désignation" tableColumnId="5"/>
      <queryTableField id="6" name="Prix unitaire" tableColumnId="6"/>
      <queryTableField id="7" name="Quantité" tableColumnId="7"/>
      <queryTableField id="8" name="CA Annuel" tableColumnId="8"/>
      <queryTableField id="9" name="% du CA / Prdt" tableColumnId="9"/>
      <queryTableField id="10" name="CA Cumulé" tableColumnId="10"/>
      <queryTableField id="11" name="% du CA cumulé" tableColumnId="11"/>
      <queryTableField id="12" name="Frns Entonnoir 1" tableColumnId="12"/>
      <queryTableField id="13" name="Frns Entonnoir 2" tableColumnId="13"/>
      <queryTableField id="14" name="Frns Entonnoir 3" tableColumnId="14"/>
      <queryTableField id="15" name="Attribut" tableColumnId="15"/>
      <queryTableField id="16" name="Valeur" tableColumnId="1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13" displayName="Tableau13" ref="A1:Q50" totalsRowCount="1" headerRowDxfId="130">
  <autoFilter ref="A1:Q49"/>
  <sortState ref="A2:Q49">
    <sortCondition descending="1" ref="H1:H49"/>
  </sortState>
  <tableColumns count="17">
    <tableColumn id="13" name="%" dataDxfId="129" totalsRowDxfId="128" dataCellStyle="Pourcentage">
      <calculatedColumnFormula>Tableau13[[#This Row],[N°]]/$B$49</calculatedColumnFormula>
    </tableColumn>
    <tableColumn id="12" name="N°" dataDxfId="127" totalsRowDxfId="126"/>
    <tableColumn id="21" name="Références" dataDxfId="125" totalsRowDxfId="124"/>
    <tableColumn id="22" name="Famille" dataDxfId="123" totalsRowDxfId="122"/>
    <tableColumn id="2" name="Désignation" totalsRowDxfId="121"/>
    <tableColumn id="3" name="Prix unitaire" dataDxfId="120" totalsRowDxfId="119"/>
    <tableColumn id="4" name="Quantité" dataDxfId="118" totalsRowDxfId="117"/>
    <tableColumn id="5" name="CA Annuel" totalsRowFunction="custom" totalsRowDxfId="116" dataCellStyle="Monétaire">
      <calculatedColumnFormula>Tableau13[[#This Row],[Prix unitaire]]*Tableau13[[#This Row],[Quantité]]</calculatedColumnFormula>
      <totalsRowFormula>SUBTOTAL(9,Tableau13[CA Annuel])</totalsRowFormula>
    </tableColumn>
    <tableColumn id="10" name="% du CA / Prdt" dataDxfId="115" totalsRowDxfId="114" dataCellStyle="Monétaire">
      <calculatedColumnFormula>Tableau13[[#This Row],[CA Annuel]]/Tableau13[[#Totals],[CA Annuel]]</calculatedColumnFormula>
    </tableColumn>
    <tableColumn id="9" name="CA Cumulé" totalsRowDxfId="113" dataCellStyle="Monétaire"/>
    <tableColumn id="11" name="% du CA cumulé" dataDxfId="112" totalsRowDxfId="111" dataCellStyle="Monétaire">
      <calculatedColumnFormula>Tableau13[[#This Row],[CA Cumulé]]/Tableau13[[#Totals],[CA Annuel]]</calculatedColumnFormula>
    </tableColumn>
    <tableColumn id="6" name="Frns Entonnoir 1" dataDxfId="110" totalsRowDxfId="109"/>
    <tableColumn id="1" name="CA Frns Entonnoir 1" totalsRowFunction="custom" dataDxfId="108" totalsRowDxfId="107" dataCellStyle="Monétaire">
      <calculatedColumnFormula>Tableau13[[#This Row],[CA Annuel]]*0.5</calculatedColumnFormula>
      <totalsRowFormula>SUBTOTAL(9,Tableau13[CA Frns Entonnoir 1])</totalsRowFormula>
    </tableColumn>
    <tableColumn id="7" name="Frns Entonnoir 2" dataDxfId="106" totalsRowDxfId="105"/>
    <tableColumn id="14" name="CA Frns Entonnoir 2" totalsRowFunction="custom" dataDxfId="104" totalsRowDxfId="103" dataCellStyle="Monétaire">
      <calculatedColumnFormula>Tableau13[[#This Row],[CA Annuel]]*0.3</calculatedColumnFormula>
      <totalsRowFormula>SUBTOTAL(9,Tableau13[CA Frns Entonnoir 2])</totalsRowFormula>
    </tableColumn>
    <tableColumn id="8" name="Frns Entonnoir 3" dataDxfId="102" totalsRowDxfId="101"/>
    <tableColumn id="17" name="CA Frns Entonnoir 3" totalsRowFunction="custom" dataDxfId="100" totalsRowDxfId="99" dataCellStyle="Monétaire">
      <calculatedColumnFormula>Tableau13[[#This Row],[CA Annuel]]*0.2</calculatedColumnFormula>
      <totalsRowFormula>SUBTOTAL(9,Tableau13[CA Frns Entonnoir 3])</totalsRow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Q50" totalsRowCount="1" headerRowDxfId="98">
  <autoFilter ref="A1:Q49"/>
  <sortState ref="A2:Q49">
    <sortCondition descending="1" ref="H1:H49"/>
  </sortState>
  <tableColumns count="17">
    <tableColumn id="13" name="%" dataDxfId="97" totalsRowDxfId="96" dataCellStyle="Pourcentage">
      <calculatedColumnFormula>Tableau1[[#This Row],[N°]]/$B$49</calculatedColumnFormula>
    </tableColumn>
    <tableColumn id="12" name="N°" dataDxfId="95" totalsRowDxfId="94"/>
    <tableColumn id="21" name="Références" dataDxfId="93" totalsRowDxfId="92"/>
    <tableColumn id="22" name="Famille" dataDxfId="91" totalsRowDxfId="90"/>
    <tableColumn id="2" name="Désignation" totalsRowDxfId="89"/>
    <tableColumn id="3" name="Prix unitaire" dataDxfId="88" totalsRowDxfId="87"/>
    <tableColumn id="4" name="Quantité" dataDxfId="86" totalsRowDxfId="85"/>
    <tableColumn id="5" name="CA Annuel" totalsRowFunction="custom" totalsRowDxfId="84" dataCellStyle="Monétaire">
      <calculatedColumnFormula>Tableau1[[#This Row],[Prix unitaire]]*Tableau1[[#This Row],[Quantité]]</calculatedColumnFormula>
      <totalsRowFormula>SUBTOTAL(9,Tableau1[CA Annuel])</totalsRowFormula>
    </tableColumn>
    <tableColumn id="10" name="% du CA / Prdt" dataDxfId="83" totalsRowDxfId="82" dataCellStyle="Monétaire">
      <calculatedColumnFormula>Tableau1[[#This Row],[CA Annuel]]/Tableau1[[#Totals],[CA Annuel]]</calculatedColumnFormula>
    </tableColumn>
    <tableColumn id="9" name="CA Cumulé" totalsRowDxfId="81" dataCellStyle="Monétaire"/>
    <tableColumn id="11" name="% du CA cumulé" dataDxfId="80" totalsRowDxfId="79" dataCellStyle="Monétaire">
      <calculatedColumnFormula>Tableau1[[#This Row],[CA Cumulé]]/Tableau1[[#Totals],[CA Annuel]]</calculatedColumnFormula>
    </tableColumn>
    <tableColumn id="6" name="Frns Entonnoir 1" dataDxfId="78" totalsRowDxfId="77"/>
    <tableColumn id="1" name="CA Frns Entonnoir 1" totalsRowFunction="custom" dataDxfId="76" totalsRowDxfId="75" dataCellStyle="Monétaire">
      <calculatedColumnFormula>Tableau1[[#This Row],[CA Annuel]]*0.5</calculatedColumnFormula>
      <totalsRowFormula>SUBTOTAL(9,Tableau1[CA Frns Entonnoir 1])</totalsRowFormula>
    </tableColumn>
    <tableColumn id="7" name="Frns Entonnoir 2" dataDxfId="74" totalsRowDxfId="73"/>
    <tableColumn id="14" name="CA Frns Entonnoir 2" totalsRowFunction="custom" dataDxfId="72" totalsRowDxfId="71" dataCellStyle="Monétaire">
      <calculatedColumnFormula>Tableau1[[#This Row],[CA Annuel]]*0.3</calculatedColumnFormula>
      <totalsRowFormula>SUBTOTAL(9,Tableau1[CA Frns Entonnoir 2])</totalsRowFormula>
    </tableColumn>
    <tableColumn id="8" name="Frns Entonnoir 3" dataDxfId="70" totalsRowDxfId="69"/>
    <tableColumn id="17" name="CA Frns Entonnoir 3" totalsRowFunction="custom" dataDxfId="68" totalsRowDxfId="67" dataCellStyle="Monétaire">
      <calculatedColumnFormula>Tableau1[[#This Row],[CA Annuel]]*0.2</calculatedColumnFormula>
      <totalsRowFormula>SUBTOTAL(9,Tableau1[CA Frns Entonnoir 3])</totalsRow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3_2" displayName="Tableau13_2" ref="A1:P145" tableType="queryTable" totalsRowShown="0">
  <autoFilter ref="A1:P145"/>
  <tableColumns count="16">
    <tableColumn id="17" uniqueName="17" name="%" queryTableFieldId="1" dataCellStyle="Pourcentage"/>
    <tableColumn id="2" uniqueName="2" name="N°" queryTableFieldId="2"/>
    <tableColumn id="3" uniqueName="3" name="Références" queryTableFieldId="3"/>
    <tableColumn id="4" uniqueName="4" name="Famille" queryTableFieldId="4"/>
    <tableColumn id="5" uniqueName="5" name="Désignation" queryTableFieldId="5"/>
    <tableColumn id="6" uniqueName="6" name="Prix unitaire" queryTableFieldId="6"/>
    <tableColumn id="7" uniqueName="7" name="Quantité" queryTableFieldId="7"/>
    <tableColumn id="8" uniqueName="8" name="CA Annuel" queryTableFieldId="8"/>
    <tableColumn id="9" uniqueName="9" name="% du CA / Prdt" queryTableFieldId="9"/>
    <tableColumn id="10" uniqueName="10" name="CA Cumulé" queryTableFieldId="10"/>
    <tableColumn id="11" uniqueName="11" name="% du CA cumulé" queryTableFieldId="11"/>
    <tableColumn id="12" uniqueName="12" name="Frns Entonnoir 1" queryTableFieldId="12"/>
    <tableColumn id="13" uniqueName="13" name="Frns Entonnoir 2" queryTableFieldId="13"/>
    <tableColumn id="14" uniqueName="14" name="Frns Entonnoir 3" queryTableFieldId="14"/>
    <tableColumn id="15" uniqueName="15" name="Four" queryTableFieldId="15" dataDxfId="14"/>
    <tableColumn id="16" uniqueName="16" name="Valeur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zoomScale="85" zoomScaleNormal="85" workbookViewId="0">
      <selection activeCell="F20" sqref="F20"/>
    </sheetView>
  </sheetViews>
  <sheetFormatPr baseColWidth="10" defaultRowHeight="12.75" x14ac:dyDescent="0.2"/>
  <cols>
    <col min="1" max="1" width="7.140625" bestFit="1" customWidth="1"/>
    <col min="2" max="3" width="12" customWidth="1"/>
    <col min="4" max="4" width="12.28515625" bestFit="1" customWidth="1"/>
    <col min="5" max="5" width="34.140625" bestFit="1" customWidth="1"/>
    <col min="6" max="6" width="14" bestFit="1" customWidth="1"/>
    <col min="7" max="7" width="14.42578125" bestFit="1" customWidth="1"/>
    <col min="8" max="8" width="18" customWidth="1"/>
    <col min="9" max="9" width="11.28515625" customWidth="1"/>
    <col min="10" max="10" width="17.7109375" customWidth="1"/>
    <col min="11" max="11" width="13.28515625" bestFit="1" customWidth="1"/>
    <col min="12" max="12" width="11.28515625" customWidth="1"/>
    <col min="13" max="13" width="19.140625" customWidth="1"/>
    <col min="15" max="15" width="18.7109375" customWidth="1"/>
    <col min="17" max="17" width="16.7109375" customWidth="1"/>
  </cols>
  <sheetData>
    <row r="1" spans="1:17" ht="63.4" customHeight="1" x14ac:dyDescent="0.2">
      <c r="A1" s="29" t="s">
        <v>67</v>
      </c>
      <c r="B1" s="29" t="s">
        <v>66</v>
      </c>
      <c r="C1" s="29" t="s">
        <v>50</v>
      </c>
      <c r="D1" s="29" t="s">
        <v>69</v>
      </c>
      <c r="E1" s="25" t="s">
        <v>49</v>
      </c>
      <c r="F1" s="25" t="s">
        <v>59</v>
      </c>
      <c r="G1" s="25" t="s">
        <v>47</v>
      </c>
      <c r="H1" s="25" t="s">
        <v>60</v>
      </c>
      <c r="I1" s="29" t="s">
        <v>68</v>
      </c>
      <c r="J1" s="25" t="s">
        <v>61</v>
      </c>
      <c r="K1" s="29" t="s">
        <v>65</v>
      </c>
      <c r="L1" s="48" t="s">
        <v>79</v>
      </c>
      <c r="M1" s="48" t="s">
        <v>80</v>
      </c>
      <c r="N1" s="49" t="s">
        <v>81</v>
      </c>
      <c r="O1" s="49" t="s">
        <v>82</v>
      </c>
      <c r="P1" s="50" t="s">
        <v>83</v>
      </c>
      <c r="Q1" s="50" t="s">
        <v>84</v>
      </c>
    </row>
    <row r="2" spans="1:17" x14ac:dyDescent="0.2">
      <c r="A2" s="31">
        <f>Tableau13[[#This Row],[N°]]/$B$49</f>
        <v>2.0833333333333332E-2</v>
      </c>
      <c r="B2" s="30">
        <v>1</v>
      </c>
      <c r="C2" s="42">
        <v>8602</v>
      </c>
      <c r="D2" s="42">
        <v>86</v>
      </c>
      <c r="E2" s="17" t="s">
        <v>46</v>
      </c>
      <c r="F2" s="18">
        <v>11.890243902439025</v>
      </c>
      <c r="G2" s="20">
        <v>180000</v>
      </c>
      <c r="H2" s="21">
        <f>Tableau13[[#This Row],[Prix unitaire]]*Tableau13[[#This Row],[Quantité]]</f>
        <v>2140243.9024390243</v>
      </c>
      <c r="I2" s="33">
        <f>Tableau13[[#This Row],[CA Annuel]]/Tableau13[[#Totals],[CA Annuel]]</f>
        <v>0.12511508270663038</v>
      </c>
      <c r="J2" s="21">
        <f>Tableau13[[#This Row],[CA Annuel]]</f>
        <v>2140243.9024390243</v>
      </c>
      <c r="K2" s="33">
        <f>Tableau13[[#This Row],[CA Cumulé]]/Tableau13[[#Totals],[CA Annuel]]</f>
        <v>0.12511508270663038</v>
      </c>
      <c r="L2" s="22" t="s">
        <v>51</v>
      </c>
      <c r="M2" s="34">
        <f>Tableau13[[#This Row],[CA Annuel]]*0.5</f>
        <v>1070121.9512195121</v>
      </c>
      <c r="N2" s="22" t="s">
        <v>56</v>
      </c>
      <c r="O2" s="34">
        <f>Tableau13[[#This Row],[CA Annuel]]*0.3</f>
        <v>642073.17073170724</v>
      </c>
      <c r="P2" s="22" t="s">
        <v>57</v>
      </c>
      <c r="Q2" s="34">
        <f>Tableau13[[#This Row],[CA Annuel]]*0.2</f>
        <v>428048.78048780491</v>
      </c>
    </row>
    <row r="3" spans="1:17" x14ac:dyDescent="0.2">
      <c r="A3" s="31">
        <f>Tableau13[[#This Row],[N°]]/$B$49</f>
        <v>6.25E-2</v>
      </c>
      <c r="B3" s="30">
        <v>3</v>
      </c>
      <c r="C3" s="42">
        <v>8601</v>
      </c>
      <c r="D3" s="42">
        <v>86</v>
      </c>
      <c r="E3" s="17" t="s">
        <v>45</v>
      </c>
      <c r="F3" s="18">
        <v>15.853658536585368</v>
      </c>
      <c r="G3" s="20">
        <v>120000</v>
      </c>
      <c r="H3" s="21">
        <f>Tableau13[[#This Row],[Prix unitaire]]*Tableau13[[#This Row],[Quantité]]</f>
        <v>1902439.0243902442</v>
      </c>
      <c r="I3" s="33">
        <f>Tableau13[[#This Row],[CA Annuel]]/Tableau13[[#Totals],[CA Annuel]]</f>
        <v>0.11121340685033815</v>
      </c>
      <c r="J3" s="21">
        <f>Tableau13[[#This Row],[CA Annuel]]+J2</f>
        <v>4042682.9268292682</v>
      </c>
      <c r="K3" s="33">
        <f>Tableau13[[#This Row],[CA Cumulé]]/Tableau13[[#Totals],[CA Annuel]]</f>
        <v>0.2363284895569685</v>
      </c>
      <c r="L3" s="22" t="s">
        <v>51</v>
      </c>
      <c r="M3" s="34">
        <f>Tableau13[[#This Row],[CA Annuel]]*0.5</f>
        <v>951219.51219512208</v>
      </c>
      <c r="N3" s="22" t="s">
        <v>56</v>
      </c>
      <c r="O3" s="34">
        <f>Tableau13[[#This Row],[CA Annuel]]*0.3</f>
        <v>570731.70731707325</v>
      </c>
      <c r="P3" s="22" t="s">
        <v>57</v>
      </c>
      <c r="Q3" s="34">
        <f>Tableau13[[#This Row],[CA Annuel]]*0.2</f>
        <v>380487.80487804883</v>
      </c>
    </row>
    <row r="4" spans="1:17" x14ac:dyDescent="0.2">
      <c r="A4" s="31">
        <f>Tableau13[[#This Row],[N°]]/$B$49</f>
        <v>4.1666666666666664E-2</v>
      </c>
      <c r="B4" s="30">
        <v>2</v>
      </c>
      <c r="C4" s="42">
        <v>4803</v>
      </c>
      <c r="D4" s="42">
        <v>48</v>
      </c>
      <c r="E4" s="17" t="s">
        <v>44</v>
      </c>
      <c r="F4" s="18">
        <v>15.853658536585368</v>
      </c>
      <c r="G4" s="20">
        <v>120000</v>
      </c>
      <c r="H4" s="21">
        <f>Tableau13[[#This Row],[Prix unitaire]]*Tableau13[[#This Row],[Quantité]]</f>
        <v>1902439.0243902442</v>
      </c>
      <c r="I4" s="33">
        <f>Tableau13[[#This Row],[CA Annuel]]/Tableau13[[#Totals],[CA Annuel]]</f>
        <v>0.11121340685033815</v>
      </c>
      <c r="J4" s="21">
        <f>Tableau13[[#This Row],[CA Annuel]]+J3</f>
        <v>5945121.9512195121</v>
      </c>
      <c r="K4" s="33">
        <f>Tableau13[[#This Row],[CA Cumulé]]/Tableau13[[#Totals],[CA Annuel]]</f>
        <v>0.34754189640730665</v>
      </c>
      <c r="L4" s="22" t="s">
        <v>58</v>
      </c>
      <c r="M4" s="34">
        <f>Tableau13[[#This Row],[CA Annuel]]*0.5</f>
        <v>951219.51219512208</v>
      </c>
      <c r="N4" s="22" t="s">
        <v>51</v>
      </c>
      <c r="O4" s="34">
        <f>Tableau13[[#This Row],[CA Annuel]]*0.3</f>
        <v>570731.70731707325</v>
      </c>
      <c r="P4" s="22" t="s">
        <v>56</v>
      </c>
      <c r="Q4" s="34">
        <f>Tableau13[[#This Row],[CA Annuel]]*0.2</f>
        <v>380487.80487804883</v>
      </c>
    </row>
    <row r="5" spans="1:17" x14ac:dyDescent="0.2">
      <c r="A5" s="31">
        <f>Tableau13[[#This Row],[N°]]/$B$49</f>
        <v>8.3333333333333329E-2</v>
      </c>
      <c r="B5" s="30">
        <v>4</v>
      </c>
      <c r="C5" s="42">
        <v>8603</v>
      </c>
      <c r="D5" s="42">
        <v>86</v>
      </c>
      <c r="E5" s="17" t="s">
        <v>43</v>
      </c>
      <c r="F5" s="18">
        <v>7.9268292682926838</v>
      </c>
      <c r="G5" s="20">
        <v>120000</v>
      </c>
      <c r="H5" s="21">
        <f>Tableau13[[#This Row],[Prix unitaire]]*Tableau13[[#This Row],[Quantité]]</f>
        <v>951219.51219512208</v>
      </c>
      <c r="I5" s="33">
        <f>Tableau13[[#This Row],[CA Annuel]]/Tableau13[[#Totals],[CA Annuel]]</f>
        <v>5.5606703425169074E-2</v>
      </c>
      <c r="J5" s="21">
        <f>Tableau13[[#This Row],[CA Annuel]]+J4</f>
        <v>6896341.4634146346</v>
      </c>
      <c r="K5" s="33">
        <f>Tableau13[[#This Row],[CA Cumulé]]/Tableau13[[#Totals],[CA Annuel]]</f>
        <v>0.40314859983247575</v>
      </c>
      <c r="L5" s="22" t="s">
        <v>51</v>
      </c>
      <c r="M5" s="34">
        <f>Tableau13[[#This Row],[CA Annuel]]*0.5</f>
        <v>475609.75609756104</v>
      </c>
      <c r="N5" s="22" t="s">
        <v>56</v>
      </c>
      <c r="O5" s="34">
        <f>Tableau13[[#This Row],[CA Annuel]]*0.3</f>
        <v>285365.85365853662</v>
      </c>
      <c r="P5" s="22" t="s">
        <v>57</v>
      </c>
      <c r="Q5" s="34">
        <f>Tableau13[[#This Row],[CA Annuel]]*0.2</f>
        <v>190243.90243902442</v>
      </c>
    </row>
    <row r="6" spans="1:17" x14ac:dyDescent="0.2">
      <c r="A6" s="31">
        <f>Tableau13[[#This Row],[N°]]/$B$49</f>
        <v>0.10416666666666667</v>
      </c>
      <c r="B6" s="30">
        <v>5</v>
      </c>
      <c r="C6" s="42">
        <v>1714</v>
      </c>
      <c r="D6" s="42">
        <v>17</v>
      </c>
      <c r="E6" s="17" t="s">
        <v>42</v>
      </c>
      <c r="F6" s="18">
        <v>5.1524390243902447</v>
      </c>
      <c r="G6" s="20">
        <v>180000</v>
      </c>
      <c r="H6" s="21">
        <f>Tableau13[[#This Row],[Prix unitaire]]*Tableau13[[#This Row],[Quantité]]</f>
        <v>927439.02439024404</v>
      </c>
      <c r="I6" s="33">
        <f>Tableau13[[#This Row],[CA Annuel]]/Tableau13[[#Totals],[CA Annuel]]</f>
        <v>5.4216535839539844E-2</v>
      </c>
      <c r="J6" s="21">
        <f>Tableau13[[#This Row],[CA Annuel]]+J5</f>
        <v>7823780.4878048785</v>
      </c>
      <c r="K6" s="33">
        <f>Tableau13[[#This Row],[CA Cumulé]]/Tableau13[[#Totals],[CA Annuel]]</f>
        <v>0.45736513567201559</v>
      </c>
      <c r="L6" s="22" t="s">
        <v>51</v>
      </c>
      <c r="M6" s="34">
        <f>Tableau13[[#This Row],[CA Annuel]]*0.5</f>
        <v>463719.51219512202</v>
      </c>
      <c r="N6" s="22" t="s">
        <v>52</v>
      </c>
      <c r="O6" s="34">
        <f>Tableau13[[#This Row],[CA Annuel]]*0.3</f>
        <v>278231.70731707319</v>
      </c>
      <c r="P6" s="22" t="s">
        <v>56</v>
      </c>
      <c r="Q6" s="34">
        <f>Tableau13[[#This Row],[CA Annuel]]*0.2</f>
        <v>185487.80487804883</v>
      </c>
    </row>
    <row r="7" spans="1:17" x14ac:dyDescent="0.2">
      <c r="A7" s="31">
        <f>Tableau13[[#This Row],[N°]]/$B$49</f>
        <v>0.125</v>
      </c>
      <c r="B7" s="30">
        <v>6</v>
      </c>
      <c r="C7" s="42">
        <v>1715</v>
      </c>
      <c r="D7" s="42">
        <v>17</v>
      </c>
      <c r="E7" s="17" t="s">
        <v>41</v>
      </c>
      <c r="F7" s="18">
        <v>5.1524390243902447</v>
      </c>
      <c r="G7" s="20">
        <v>180000</v>
      </c>
      <c r="H7" s="21">
        <f>Tableau13[[#This Row],[Prix unitaire]]*Tableau13[[#This Row],[Quantité]]</f>
        <v>927439.02439024404</v>
      </c>
      <c r="I7" s="33">
        <f>Tableau13[[#This Row],[CA Annuel]]/Tableau13[[#Totals],[CA Annuel]]</f>
        <v>5.4216535839539844E-2</v>
      </c>
      <c r="J7" s="21">
        <f>Tableau13[[#This Row],[CA Annuel]]+J6</f>
        <v>8751219.5121951234</v>
      </c>
      <c r="K7" s="33">
        <f>Tableau13[[#This Row],[CA Cumulé]]/Tableau13[[#Totals],[CA Annuel]]</f>
        <v>0.51158167151155542</v>
      </c>
      <c r="L7" s="22" t="s">
        <v>51</v>
      </c>
      <c r="M7" s="34">
        <f>Tableau13[[#This Row],[CA Annuel]]*0.5</f>
        <v>463719.51219512202</v>
      </c>
      <c r="N7" s="22" t="s">
        <v>52</v>
      </c>
      <c r="O7" s="34">
        <f>Tableau13[[#This Row],[CA Annuel]]*0.3</f>
        <v>278231.70731707319</v>
      </c>
      <c r="P7" s="22" t="s">
        <v>56</v>
      </c>
      <c r="Q7" s="34">
        <f>Tableau13[[#This Row],[CA Annuel]]*0.2</f>
        <v>185487.80487804883</v>
      </c>
    </row>
    <row r="8" spans="1:17" x14ac:dyDescent="0.2">
      <c r="A8" s="31">
        <f>Tableau13[[#This Row],[N°]]/$B$49</f>
        <v>0.14583333333333334</v>
      </c>
      <c r="B8" s="30">
        <v>7</v>
      </c>
      <c r="C8" s="42">
        <v>9901</v>
      </c>
      <c r="D8" s="42">
        <v>99</v>
      </c>
      <c r="E8" s="17" t="s">
        <v>40</v>
      </c>
      <c r="F8" s="18">
        <v>693.59756097560978</v>
      </c>
      <c r="G8" s="20">
        <v>1080</v>
      </c>
      <c r="H8" s="21">
        <f>Tableau13[[#This Row],[Prix unitaire]]*Tableau13[[#This Row],[Quantité]]</f>
        <v>749085.36585365853</v>
      </c>
      <c r="I8" s="33">
        <f>Tableau13[[#This Row],[CA Annuel]]/Tableau13[[#Totals],[CA Annuel]]</f>
        <v>4.3790278947320634E-2</v>
      </c>
      <c r="J8" s="21">
        <f>Tableau13[[#This Row],[CA Annuel]]+J7</f>
        <v>9500304.8780487813</v>
      </c>
      <c r="K8" s="33">
        <f>Tableau13[[#This Row],[CA Cumulé]]/Tableau13[[#Totals],[CA Annuel]]</f>
        <v>0.55537195045887611</v>
      </c>
      <c r="L8" s="22" t="s">
        <v>51</v>
      </c>
      <c r="M8" s="34">
        <f>Tableau13[[#This Row],[CA Annuel]]*0.5</f>
        <v>374542.68292682926</v>
      </c>
      <c r="N8" s="22" t="s">
        <v>53</v>
      </c>
      <c r="O8" s="34">
        <f>Tableau13[[#This Row],[CA Annuel]]*0.3</f>
        <v>224725.60975609755</v>
      </c>
      <c r="P8" s="22" t="s">
        <v>56</v>
      </c>
      <c r="Q8" s="34">
        <f>Tableau13[[#This Row],[CA Annuel]]*0.2</f>
        <v>149817.07317073172</v>
      </c>
    </row>
    <row r="9" spans="1:17" x14ac:dyDescent="0.2">
      <c r="A9" s="31">
        <f>Tableau13[[#This Row],[N°]]/$B$49</f>
        <v>0.16666666666666666</v>
      </c>
      <c r="B9" s="30">
        <v>8</v>
      </c>
      <c r="C9" s="42">
        <v>8604</v>
      </c>
      <c r="D9" s="42">
        <v>86</v>
      </c>
      <c r="E9" s="19" t="s">
        <v>55</v>
      </c>
      <c r="F9" s="18">
        <v>49.542682926829272</v>
      </c>
      <c r="G9" s="20">
        <v>12000</v>
      </c>
      <c r="H9" s="21">
        <f>Tableau13[[#This Row],[Prix unitaire]]*Tableau13[[#This Row],[Quantité]]</f>
        <v>594512.19512195128</v>
      </c>
      <c r="I9" s="33">
        <f>Tableau13[[#This Row],[CA Annuel]]/Tableau13[[#Totals],[CA Annuel]]</f>
        <v>3.4754189640730668E-2</v>
      </c>
      <c r="J9" s="21">
        <f>Tableau13[[#This Row],[CA Annuel]]+J8</f>
        <v>10094817.073170733</v>
      </c>
      <c r="K9" s="33">
        <f>Tableau13[[#This Row],[CA Cumulé]]/Tableau13[[#Totals],[CA Annuel]]</f>
        <v>0.59012614009960673</v>
      </c>
      <c r="L9" s="22" t="s">
        <v>57</v>
      </c>
      <c r="M9" s="34">
        <f>Tableau13[[#This Row],[CA Annuel]]*0.5</f>
        <v>297256.09756097564</v>
      </c>
      <c r="N9" s="22" t="s">
        <v>56</v>
      </c>
      <c r="O9" s="34">
        <f>Tableau13[[#This Row],[CA Annuel]]*0.3</f>
        <v>178353.65853658537</v>
      </c>
      <c r="P9" s="22" t="s">
        <v>51</v>
      </c>
      <c r="Q9" s="34">
        <f>Tableau13[[#This Row],[CA Annuel]]*0.2</f>
        <v>118902.43902439026</v>
      </c>
    </row>
    <row r="10" spans="1:17" x14ac:dyDescent="0.2">
      <c r="A10" s="31">
        <f>Tableau13[[#This Row],[N°]]/$B$49</f>
        <v>0.1875</v>
      </c>
      <c r="B10" s="30">
        <v>9</v>
      </c>
      <c r="C10" s="42">
        <v>2312</v>
      </c>
      <c r="D10" s="42">
        <v>23</v>
      </c>
      <c r="E10" s="17" t="s">
        <v>39</v>
      </c>
      <c r="F10" s="18">
        <v>792.68292682926835</v>
      </c>
      <c r="G10" s="20">
        <v>720</v>
      </c>
      <c r="H10" s="21">
        <f>Tableau13[[#This Row],[Prix unitaire]]*Tableau13[[#This Row],[Quantité]]</f>
        <v>570731.70731707325</v>
      </c>
      <c r="I10" s="33">
        <f>Tableau13[[#This Row],[CA Annuel]]/Tableau13[[#Totals],[CA Annuel]]</f>
        <v>3.3364022055101444E-2</v>
      </c>
      <c r="J10" s="21">
        <f>Tableau13[[#This Row],[CA Annuel]]+J9</f>
        <v>10665548.780487806</v>
      </c>
      <c r="K10" s="33">
        <f>Tableau13[[#This Row],[CA Cumulé]]/Tableau13[[#Totals],[CA Annuel]]</f>
        <v>0.62349016215470821</v>
      </c>
      <c r="L10" s="22" t="s">
        <v>53</v>
      </c>
      <c r="M10" s="34">
        <f>Tableau13[[#This Row],[CA Annuel]]*0.5</f>
        <v>285365.85365853662</v>
      </c>
      <c r="N10" s="22" t="s">
        <v>56</v>
      </c>
      <c r="O10" s="34">
        <f>Tableau13[[#This Row],[CA Annuel]]*0.5</f>
        <v>285365.85365853662</v>
      </c>
      <c r="P10" s="23"/>
      <c r="Q10" s="35"/>
    </row>
    <row r="11" spans="1:17" x14ac:dyDescent="0.2">
      <c r="A11" s="31">
        <f>Tableau13[[#This Row],[N°]]/$B$49</f>
        <v>0.20833333333333334</v>
      </c>
      <c r="B11" s="30">
        <v>10</v>
      </c>
      <c r="C11" s="42">
        <v>4802</v>
      </c>
      <c r="D11" s="42">
        <v>48</v>
      </c>
      <c r="E11" s="17" t="s">
        <v>38</v>
      </c>
      <c r="F11" s="18">
        <v>29.725609756097562</v>
      </c>
      <c r="G11" s="20">
        <v>18000</v>
      </c>
      <c r="H11" s="21">
        <f>Tableau13[[#This Row],[Prix unitaire]]*Tableau13[[#This Row],[Quantité]]</f>
        <v>535060.97560975607</v>
      </c>
      <c r="I11" s="33">
        <f>Tableau13[[#This Row],[CA Annuel]]/Tableau13[[#Totals],[CA Annuel]]</f>
        <v>3.1278770676657595E-2</v>
      </c>
      <c r="J11" s="21">
        <f>Tableau13[[#This Row],[CA Annuel]]+J10</f>
        <v>11200609.756097563</v>
      </c>
      <c r="K11" s="33">
        <f>Tableau13[[#This Row],[CA Cumulé]]/Tableau13[[#Totals],[CA Annuel]]</f>
        <v>0.65476893283136584</v>
      </c>
      <c r="L11" s="22" t="s">
        <v>58</v>
      </c>
      <c r="M11" s="34">
        <f>Tableau13[[#This Row],[CA Annuel]]*0.5</f>
        <v>267530.48780487804</v>
      </c>
      <c r="N11" s="22" t="s">
        <v>51</v>
      </c>
      <c r="O11" s="34">
        <f>Tableau13[[#This Row],[CA Annuel]]*0.3</f>
        <v>160518.29268292681</v>
      </c>
      <c r="P11" s="22" t="s">
        <v>56</v>
      </c>
      <c r="Q11" s="34">
        <f>Tableau13[[#This Row],[CA Annuel]]*0.2</f>
        <v>107012.19512195123</v>
      </c>
    </row>
    <row r="12" spans="1:17" x14ac:dyDescent="0.2">
      <c r="A12" s="31">
        <f>Tableau13[[#This Row],[N°]]/$B$49</f>
        <v>0.22916666666666666</v>
      </c>
      <c r="B12" s="30">
        <v>11</v>
      </c>
      <c r="C12" s="42">
        <v>2310</v>
      </c>
      <c r="D12" s="42">
        <v>23</v>
      </c>
      <c r="E12" s="17" t="s">
        <v>37</v>
      </c>
      <c r="F12" s="18">
        <v>634.14634146341473</v>
      </c>
      <c r="G12" s="20">
        <v>780</v>
      </c>
      <c r="H12" s="21">
        <f>Tableau13[[#This Row],[Prix unitaire]]*Tableau13[[#This Row],[Quantité]]</f>
        <v>494634.14634146349</v>
      </c>
      <c r="I12" s="33">
        <f>Tableau13[[#This Row],[CA Annuel]]/Tableau13[[#Totals],[CA Annuel]]</f>
        <v>2.8915485781087918E-2</v>
      </c>
      <c r="J12" s="21">
        <f>Tableau13[[#This Row],[CA Annuel]]+J11</f>
        <v>11695243.902439026</v>
      </c>
      <c r="K12" s="33">
        <f>Tableau13[[#This Row],[CA Cumulé]]/Tableau13[[#Totals],[CA Annuel]]</f>
        <v>0.68368441861245377</v>
      </c>
      <c r="L12" s="22" t="s">
        <v>53</v>
      </c>
      <c r="M12" s="34">
        <f>Tableau13[[#This Row],[CA Annuel]]*0.5</f>
        <v>247317.07317073175</v>
      </c>
      <c r="N12" s="22" t="s">
        <v>56</v>
      </c>
      <c r="O12" s="34">
        <f>Tableau13[[#This Row],[CA Annuel]]*0.5</f>
        <v>247317.07317073175</v>
      </c>
      <c r="P12" s="23"/>
      <c r="Q12" s="35"/>
    </row>
    <row r="13" spans="1:17" x14ac:dyDescent="0.2">
      <c r="A13" s="31">
        <f>Tableau13[[#This Row],[N°]]/$B$49</f>
        <v>0.29166666666666669</v>
      </c>
      <c r="B13" s="30">
        <v>14</v>
      </c>
      <c r="C13" s="42">
        <v>1717</v>
      </c>
      <c r="D13" s="42">
        <v>17</v>
      </c>
      <c r="E13" s="17" t="s">
        <v>34</v>
      </c>
      <c r="F13" s="18">
        <v>18.826219512195124</v>
      </c>
      <c r="G13" s="20">
        <v>24000</v>
      </c>
      <c r="H13" s="21">
        <f>Tableau13[[#This Row],[Prix unitaire]]*Tableau13[[#This Row],[Quantité]]</f>
        <v>451829.26829268294</v>
      </c>
      <c r="I13" s="33">
        <f>Tableau13[[#This Row],[CA Annuel]]/Tableau13[[#Totals],[CA Annuel]]</f>
        <v>2.6413184126955307E-2</v>
      </c>
      <c r="J13" s="21">
        <f>Tableau13[[#This Row],[CA Annuel]]+J12</f>
        <v>12147073.170731708</v>
      </c>
      <c r="K13" s="33">
        <f>Tableau13[[#This Row],[CA Cumulé]]/Tableau13[[#Totals],[CA Annuel]]</f>
        <v>0.71009760273940903</v>
      </c>
      <c r="L13" s="22" t="s">
        <v>52</v>
      </c>
      <c r="M13" s="34">
        <f>Tableau13[[#This Row],[CA Annuel]]*0.5</f>
        <v>225914.63414634147</v>
      </c>
      <c r="N13" s="22" t="s">
        <v>56</v>
      </c>
      <c r="O13" s="34">
        <f>Tableau13[[#This Row],[CA Annuel]]*0.3</f>
        <v>135548.78048780488</v>
      </c>
      <c r="P13" s="22" t="s">
        <v>53</v>
      </c>
      <c r="Q13" s="34">
        <f>Tableau13[[#This Row],[CA Annuel]]*0.2</f>
        <v>90365.853658536595</v>
      </c>
    </row>
    <row r="14" spans="1:17" x14ac:dyDescent="0.2">
      <c r="A14" s="31">
        <f>Tableau13[[#This Row],[N°]]/$B$49</f>
        <v>0.25</v>
      </c>
      <c r="B14" s="30">
        <v>12</v>
      </c>
      <c r="C14" s="42">
        <v>1710</v>
      </c>
      <c r="D14" s="42">
        <v>17</v>
      </c>
      <c r="E14" s="17" t="s">
        <v>36</v>
      </c>
      <c r="F14" s="18">
        <v>7.5304878048780486</v>
      </c>
      <c r="G14" s="20">
        <v>60000</v>
      </c>
      <c r="H14" s="21">
        <f>Tableau13[[#This Row],[Prix unitaire]]*Tableau13[[#This Row],[Quantité]]</f>
        <v>451829.26829268294</v>
      </c>
      <c r="I14" s="33">
        <f>Tableau13[[#This Row],[CA Annuel]]/Tableau13[[#Totals],[CA Annuel]]</f>
        <v>2.6413184126955307E-2</v>
      </c>
      <c r="J14" s="21">
        <f>Tableau13[[#This Row],[CA Annuel]]+J13</f>
        <v>12598902.439024391</v>
      </c>
      <c r="K14" s="33">
        <f>Tableau13[[#This Row],[CA Cumulé]]/Tableau13[[#Totals],[CA Annuel]]</f>
        <v>0.73651078686636429</v>
      </c>
      <c r="L14" s="22" t="s">
        <v>52</v>
      </c>
      <c r="M14" s="34">
        <f>Tableau13[[#This Row],[CA Annuel]]*0.5</f>
        <v>225914.63414634147</v>
      </c>
      <c r="N14" s="22" t="s">
        <v>56</v>
      </c>
      <c r="O14" s="34">
        <f>Tableau13[[#This Row],[CA Annuel]]*0.3</f>
        <v>135548.78048780488</v>
      </c>
      <c r="P14" s="24" t="s">
        <v>53</v>
      </c>
      <c r="Q14" s="36">
        <f>Tableau13[[#This Row],[CA Annuel]]*0.2</f>
        <v>90365.853658536595</v>
      </c>
    </row>
    <row r="15" spans="1:17" x14ac:dyDescent="0.2">
      <c r="A15" s="31">
        <f>Tableau13[[#This Row],[N°]]/$B$49</f>
        <v>0.27083333333333331</v>
      </c>
      <c r="B15" s="30">
        <v>13</v>
      </c>
      <c r="C15" s="42">
        <v>1711</v>
      </c>
      <c r="D15" s="42">
        <v>17</v>
      </c>
      <c r="E15" s="17" t="s">
        <v>35</v>
      </c>
      <c r="F15" s="18">
        <v>7.5304878048780486</v>
      </c>
      <c r="G15" s="20">
        <v>60000</v>
      </c>
      <c r="H15" s="21">
        <f>Tableau13[[#This Row],[Prix unitaire]]*Tableau13[[#This Row],[Quantité]]</f>
        <v>451829.26829268294</v>
      </c>
      <c r="I15" s="33">
        <f>Tableau13[[#This Row],[CA Annuel]]/Tableau13[[#Totals],[CA Annuel]]</f>
        <v>2.6413184126955307E-2</v>
      </c>
      <c r="J15" s="21">
        <f>Tableau13[[#This Row],[CA Annuel]]+J14</f>
        <v>13050731.707317073</v>
      </c>
      <c r="K15" s="33">
        <f>Tableau13[[#This Row],[CA Cumulé]]/Tableau13[[#Totals],[CA Annuel]]</f>
        <v>0.76292397099331954</v>
      </c>
      <c r="L15" s="22" t="s">
        <v>51</v>
      </c>
      <c r="M15" s="34">
        <f>Tableau13[[#This Row],[CA Annuel]]*0.5</f>
        <v>225914.63414634147</v>
      </c>
      <c r="N15" s="22" t="s">
        <v>52</v>
      </c>
      <c r="O15" s="34">
        <f>Tableau13[[#This Row],[CA Annuel]]*0.3</f>
        <v>135548.78048780488</v>
      </c>
      <c r="P15" s="22" t="s">
        <v>56</v>
      </c>
      <c r="Q15" s="34">
        <f>Tableau13[[#This Row],[CA Annuel]]*0.2</f>
        <v>90365.853658536595</v>
      </c>
    </row>
    <row r="16" spans="1:17" x14ac:dyDescent="0.2">
      <c r="A16" s="31">
        <f>Tableau13[[#This Row],[N°]]/$B$49</f>
        <v>0.3125</v>
      </c>
      <c r="B16" s="30">
        <v>15</v>
      </c>
      <c r="C16" s="42">
        <v>6502</v>
      </c>
      <c r="D16" s="42">
        <v>65</v>
      </c>
      <c r="E16" s="17" t="s">
        <v>33</v>
      </c>
      <c r="F16" s="18">
        <v>35.670731707317074</v>
      </c>
      <c r="G16" s="20">
        <v>12000</v>
      </c>
      <c r="H16" s="21">
        <f>Tableau13[[#This Row],[Prix unitaire]]*Tableau13[[#This Row],[Quantité]]</f>
        <v>428048.78048780491</v>
      </c>
      <c r="I16" s="33">
        <f>Tableau13[[#This Row],[CA Annuel]]/Tableau13[[#Totals],[CA Annuel]]</f>
        <v>2.502301654132608E-2</v>
      </c>
      <c r="J16" s="21">
        <f>Tableau13[[#This Row],[CA Annuel]]+J15</f>
        <v>13478780.487804879</v>
      </c>
      <c r="K16" s="33">
        <f>Tableau13[[#This Row],[CA Cumulé]]/Tableau13[[#Totals],[CA Annuel]]</f>
        <v>0.78794698753464565</v>
      </c>
      <c r="L16" s="22" t="s">
        <v>51</v>
      </c>
      <c r="M16" s="34">
        <f>Tableau13[[#This Row],[CA Annuel]]*0.5</f>
        <v>214024.39024390245</v>
      </c>
      <c r="N16" s="22" t="s">
        <v>53</v>
      </c>
      <c r="O16" s="34">
        <f>Tableau13[[#This Row],[CA Annuel]]*0.3</f>
        <v>128414.63414634147</v>
      </c>
      <c r="P16" s="22" t="s">
        <v>56</v>
      </c>
      <c r="Q16" s="34">
        <f>Tableau13[[#This Row],[CA Annuel]]*0.2</f>
        <v>85609.756097560981</v>
      </c>
    </row>
    <row r="17" spans="1:17" x14ac:dyDescent="0.2">
      <c r="A17" s="31">
        <f>Tableau13[[#This Row],[N°]]/$B$49</f>
        <v>0.33333333333333331</v>
      </c>
      <c r="B17" s="30">
        <v>16</v>
      </c>
      <c r="C17" s="42">
        <v>6501</v>
      </c>
      <c r="D17" s="42">
        <v>65</v>
      </c>
      <c r="E17" s="17" t="s">
        <v>32</v>
      </c>
      <c r="F17" s="18">
        <v>138.71951219512195</v>
      </c>
      <c r="G17" s="20">
        <v>2400</v>
      </c>
      <c r="H17" s="21">
        <f>Tableau13[[#This Row],[Prix unitaire]]*Tableau13[[#This Row],[Quantité]]</f>
        <v>332926.8292682927</v>
      </c>
      <c r="I17" s="33">
        <f>Tableau13[[#This Row],[CA Annuel]]/Tableau13[[#Totals],[CA Annuel]]</f>
        <v>1.9462346198809172E-2</v>
      </c>
      <c r="J17" s="21">
        <f>Tableau13[[#This Row],[CA Annuel]]+J16</f>
        <v>13811707.317073172</v>
      </c>
      <c r="K17" s="33">
        <f>Tableau13[[#This Row],[CA Cumulé]]/Tableau13[[#Totals],[CA Annuel]]</f>
        <v>0.80740933373345491</v>
      </c>
      <c r="L17" s="22" t="s">
        <v>51</v>
      </c>
      <c r="M17" s="34">
        <f>Tableau13[[#This Row],[CA Annuel]]*0.5</f>
        <v>166463.41463414635</v>
      </c>
      <c r="N17" s="22" t="s">
        <v>53</v>
      </c>
      <c r="O17" s="34">
        <f>Tableau13[[#This Row],[CA Annuel]]*0.3</f>
        <v>99878.048780487807</v>
      </c>
      <c r="P17" s="22" t="s">
        <v>56</v>
      </c>
      <c r="Q17" s="34">
        <f>Tableau13[[#This Row],[CA Annuel]]*0.2</f>
        <v>66585.365853658543</v>
      </c>
    </row>
    <row r="18" spans="1:17" x14ac:dyDescent="0.2">
      <c r="A18" s="31">
        <f>Tableau13[[#This Row],[N°]]/$B$49</f>
        <v>0.35416666666666669</v>
      </c>
      <c r="B18" s="30">
        <v>17</v>
      </c>
      <c r="C18" s="42">
        <v>6504</v>
      </c>
      <c r="D18" s="42">
        <v>65</v>
      </c>
      <c r="E18" s="17" t="s">
        <v>31</v>
      </c>
      <c r="F18" s="18">
        <v>49.542682926829272</v>
      </c>
      <c r="G18" s="20">
        <v>6000</v>
      </c>
      <c r="H18" s="21">
        <f>Tableau13[[#This Row],[Prix unitaire]]*Tableau13[[#This Row],[Quantité]]</f>
        <v>297256.09756097564</v>
      </c>
      <c r="I18" s="33">
        <f>Tableau13[[#This Row],[CA Annuel]]/Tableau13[[#Totals],[CA Annuel]]</f>
        <v>1.7377094820365334E-2</v>
      </c>
      <c r="J18" s="21">
        <f>Tableau13[[#This Row],[CA Annuel]]+J17</f>
        <v>14108963.414634148</v>
      </c>
      <c r="K18" s="33">
        <f>Tableau13[[#This Row],[CA Cumulé]]/Tableau13[[#Totals],[CA Annuel]]</f>
        <v>0.82478642855382023</v>
      </c>
      <c r="L18" s="22" t="s">
        <v>51</v>
      </c>
      <c r="M18" s="34">
        <f>Tableau13[[#This Row],[CA Annuel]]*0.5</f>
        <v>148628.04878048782</v>
      </c>
      <c r="N18" s="22" t="s">
        <v>53</v>
      </c>
      <c r="O18" s="34">
        <f>Tableau13[[#This Row],[CA Annuel]]*0.3</f>
        <v>89176.829268292684</v>
      </c>
      <c r="P18" s="22" t="s">
        <v>56</v>
      </c>
      <c r="Q18" s="34">
        <f>Tableau13[[#This Row],[CA Annuel]]*0.2</f>
        <v>59451.21951219513</v>
      </c>
    </row>
    <row r="19" spans="1:17" x14ac:dyDescent="0.2">
      <c r="A19" s="31">
        <f>Tableau13[[#This Row],[N°]]/$B$49</f>
        <v>0.375</v>
      </c>
      <c r="B19" s="30">
        <v>18</v>
      </c>
      <c r="C19" s="42">
        <v>2311</v>
      </c>
      <c r="D19" s="42">
        <v>23</v>
      </c>
      <c r="E19" s="17" t="s">
        <v>30</v>
      </c>
      <c r="F19" s="18">
        <v>1189.0243902439024</v>
      </c>
      <c r="G19" s="20">
        <v>240</v>
      </c>
      <c r="H19" s="21">
        <f>Tableau13[[#This Row],[Prix unitaire]]*Tableau13[[#This Row],[Quantité]]</f>
        <v>285365.85365853657</v>
      </c>
      <c r="I19" s="33">
        <f>Tableau13[[#This Row],[CA Annuel]]/Tableau13[[#Totals],[CA Annuel]]</f>
        <v>1.6682011027550719E-2</v>
      </c>
      <c r="J19" s="21">
        <f>Tableau13[[#This Row],[CA Annuel]]+J18</f>
        <v>14394329.268292684</v>
      </c>
      <c r="K19" s="33">
        <f>Tableau13[[#This Row],[CA Cumulé]]/Tableau13[[#Totals],[CA Annuel]]</f>
        <v>0.84146843958137096</v>
      </c>
      <c r="L19" s="22" t="s">
        <v>53</v>
      </c>
      <c r="M19" s="34">
        <f>Tableau13[[#This Row],[CA Annuel]]*0.5</f>
        <v>142682.92682926828</v>
      </c>
      <c r="N19" s="22" t="s">
        <v>56</v>
      </c>
      <c r="O19" s="34">
        <f>Tableau13[[#This Row],[CA Annuel]]*0.5</f>
        <v>142682.92682926828</v>
      </c>
      <c r="P19" s="23"/>
      <c r="Q19" s="35"/>
    </row>
    <row r="20" spans="1:17" x14ac:dyDescent="0.2">
      <c r="A20" s="31">
        <f>Tableau13[[#This Row],[N°]]/$B$49</f>
        <v>0.39583333333333331</v>
      </c>
      <c r="B20" s="30">
        <v>19</v>
      </c>
      <c r="C20" s="42">
        <v>9903</v>
      </c>
      <c r="D20" s="42">
        <v>99</v>
      </c>
      <c r="E20" s="17" t="s">
        <v>29</v>
      </c>
      <c r="F20" s="18">
        <v>217.98780487804879</v>
      </c>
      <c r="G20" s="20">
        <v>1200</v>
      </c>
      <c r="H20" s="21">
        <f>Tableau13[[#This Row],[Prix unitaire]]*Tableau13[[#This Row],[Quantité]]</f>
        <v>261585.36585365856</v>
      </c>
      <c r="I20" s="33">
        <f>Tableau13[[#This Row],[CA Annuel]]/Tableau13[[#Totals],[CA Annuel]]</f>
        <v>1.5291843441921494E-2</v>
      </c>
      <c r="J20" s="21">
        <f>Tableau13[[#This Row],[CA Annuel]]+J19</f>
        <v>14655914.634146342</v>
      </c>
      <c r="K20" s="33">
        <f>Tableau13[[#This Row],[CA Cumulé]]/Tableau13[[#Totals],[CA Annuel]]</f>
        <v>0.85676028302329232</v>
      </c>
      <c r="L20" s="22" t="s">
        <v>51</v>
      </c>
      <c r="M20" s="34">
        <f>Tableau13[[#This Row],[CA Annuel]]*0.5</f>
        <v>130792.68292682928</v>
      </c>
      <c r="N20" s="22" t="s">
        <v>53</v>
      </c>
      <c r="O20" s="34">
        <f>Tableau13[[#This Row],[CA Annuel]]*0.3</f>
        <v>78475.609756097561</v>
      </c>
      <c r="P20" s="22" t="s">
        <v>56</v>
      </c>
      <c r="Q20" s="34">
        <f>Tableau13[[#This Row],[CA Annuel]]*0.2</f>
        <v>52317.073170731717</v>
      </c>
    </row>
    <row r="21" spans="1:17" x14ac:dyDescent="0.2">
      <c r="A21" s="31">
        <f>Tableau13[[#This Row],[N°]]/$B$49</f>
        <v>0.41666666666666669</v>
      </c>
      <c r="B21" s="30">
        <v>20</v>
      </c>
      <c r="C21" s="42">
        <v>7302</v>
      </c>
      <c r="D21" s="42">
        <v>73</v>
      </c>
      <c r="E21" s="17" t="s">
        <v>28</v>
      </c>
      <c r="F21" s="18">
        <v>69.359756097560975</v>
      </c>
      <c r="G21" s="20">
        <v>3600</v>
      </c>
      <c r="H21" s="21">
        <f>Tableau13[[#This Row],[Prix unitaire]]*Tableau13[[#This Row],[Quantité]]</f>
        <v>249695.12195121951</v>
      </c>
      <c r="I21" s="33">
        <f>Tableau13[[#This Row],[CA Annuel]]/Tableau13[[#Totals],[CA Annuel]]</f>
        <v>1.4596759649106878E-2</v>
      </c>
      <c r="J21" s="21">
        <f>Tableau13[[#This Row],[CA Annuel]]+J20</f>
        <v>14905609.756097561</v>
      </c>
      <c r="K21" s="33">
        <f>Tableau13[[#This Row],[CA Cumulé]]/Tableau13[[#Totals],[CA Annuel]]</f>
        <v>0.87135704267239922</v>
      </c>
      <c r="L21" s="22" t="s">
        <v>51</v>
      </c>
      <c r="M21" s="34">
        <f>Tableau13[[#This Row],[CA Annuel]]*0.5</f>
        <v>124847.56097560975</v>
      </c>
      <c r="N21" s="22" t="s">
        <v>53</v>
      </c>
      <c r="O21" s="34">
        <f>Tableau13[[#This Row],[CA Annuel]]*0.3</f>
        <v>74908.536585365844</v>
      </c>
      <c r="P21" s="22" t="s">
        <v>56</v>
      </c>
      <c r="Q21" s="34">
        <f>Tableau13[[#This Row],[CA Annuel]]*0.2</f>
        <v>49939.024390243903</v>
      </c>
    </row>
    <row r="22" spans="1:17" x14ac:dyDescent="0.2">
      <c r="A22" s="31">
        <f>Tableau13[[#This Row],[N°]]/$B$49</f>
        <v>0.4375</v>
      </c>
      <c r="B22" s="30">
        <v>21</v>
      </c>
      <c r="C22" s="42">
        <v>1713</v>
      </c>
      <c r="D22" s="42">
        <v>17</v>
      </c>
      <c r="E22" s="17" t="s">
        <v>27</v>
      </c>
      <c r="F22" s="18">
        <v>53.506097560975611</v>
      </c>
      <c r="G22" s="20">
        <v>4440</v>
      </c>
      <c r="H22" s="21">
        <f>Tableau13[[#This Row],[Prix unitaire]]*Tableau13[[#This Row],[Quantité]]</f>
        <v>237567.07317073172</v>
      </c>
      <c r="I22" s="33">
        <f>Tableau13[[#This Row],[CA Annuel]]/Tableau13[[#Totals],[CA Annuel]]</f>
        <v>1.3887774180435974E-2</v>
      </c>
      <c r="J22" s="21">
        <f>Tableau13[[#This Row],[CA Annuel]]+J21</f>
        <v>15143176.829268292</v>
      </c>
      <c r="K22" s="33">
        <f>Tableau13[[#This Row],[CA Cumulé]]/Tableau13[[#Totals],[CA Annuel]]</f>
        <v>0.88524481685283518</v>
      </c>
      <c r="L22" s="22" t="s">
        <v>52</v>
      </c>
      <c r="M22" s="34">
        <f>Tableau13[[#This Row],[CA Annuel]]*0.5</f>
        <v>118783.53658536586</v>
      </c>
      <c r="N22" s="22" t="s">
        <v>56</v>
      </c>
      <c r="O22" s="34">
        <f>Tableau13[[#This Row],[CA Annuel]]*0.3</f>
        <v>71270.121951219509</v>
      </c>
      <c r="P22" s="22" t="s">
        <v>51</v>
      </c>
      <c r="Q22" s="34">
        <f>Tableau13[[#This Row],[CA Annuel]]*0.2</f>
        <v>47513.414634146349</v>
      </c>
    </row>
    <row r="23" spans="1:17" x14ac:dyDescent="0.2">
      <c r="A23" s="31">
        <f>Tableau13[[#This Row],[N°]]/$B$49</f>
        <v>0.45833333333333331</v>
      </c>
      <c r="B23" s="30">
        <v>22</v>
      </c>
      <c r="C23" s="42">
        <v>7301</v>
      </c>
      <c r="D23" s="42">
        <v>73</v>
      </c>
      <c r="E23" s="17" t="s">
        <v>26</v>
      </c>
      <c r="F23" s="18">
        <v>128.8109756097561</v>
      </c>
      <c r="G23" s="20">
        <v>1800</v>
      </c>
      <c r="H23" s="21">
        <f>Tableau13[[#This Row],[Prix unitaire]]*Tableau13[[#This Row],[Quantité]]</f>
        <v>231859.75609756098</v>
      </c>
      <c r="I23" s="33">
        <f>Tableau13[[#This Row],[CA Annuel]]/Tableau13[[#Totals],[CA Annuel]]</f>
        <v>1.3554133959884959E-2</v>
      </c>
      <c r="J23" s="21">
        <f>Tableau13[[#This Row],[CA Annuel]]+J22</f>
        <v>15375036.585365852</v>
      </c>
      <c r="K23" s="33">
        <f>Tableau13[[#This Row],[CA Cumulé]]/Tableau13[[#Totals],[CA Annuel]]</f>
        <v>0.8987989508127201</v>
      </c>
      <c r="L23" s="22" t="s">
        <v>51</v>
      </c>
      <c r="M23" s="34">
        <f>Tableau13[[#This Row],[CA Annuel]]*0.5</f>
        <v>115929.87804878049</v>
      </c>
      <c r="N23" s="22" t="s">
        <v>53</v>
      </c>
      <c r="O23" s="34">
        <f>Tableau13[[#This Row],[CA Annuel]]*0.3</f>
        <v>69557.926829268297</v>
      </c>
      <c r="P23" s="22" t="s">
        <v>56</v>
      </c>
      <c r="Q23" s="34">
        <f>Tableau13[[#This Row],[CA Annuel]]*0.2</f>
        <v>46371.951219512201</v>
      </c>
    </row>
    <row r="24" spans="1:17" x14ac:dyDescent="0.2">
      <c r="A24" s="31">
        <f>Tableau13[[#This Row],[N°]]/$B$49</f>
        <v>0.47916666666666669</v>
      </c>
      <c r="B24" s="30">
        <v>23</v>
      </c>
      <c r="C24" s="42">
        <v>6503</v>
      </c>
      <c r="D24" s="42">
        <v>65</v>
      </c>
      <c r="E24" s="17" t="s">
        <v>25</v>
      </c>
      <c r="F24" s="18">
        <v>39.634146341463421</v>
      </c>
      <c r="G24" s="20">
        <v>4800</v>
      </c>
      <c r="H24" s="21">
        <f>Tableau13[[#This Row],[Prix unitaire]]*Tableau13[[#This Row],[Quantité]]</f>
        <v>190243.90243902442</v>
      </c>
      <c r="I24" s="33">
        <f>Tableau13[[#This Row],[CA Annuel]]/Tableau13[[#Totals],[CA Annuel]]</f>
        <v>1.1121340685033815E-2</v>
      </c>
      <c r="J24" s="21">
        <f>Tableau13[[#This Row],[CA Annuel]]+J23</f>
        <v>15565280.487804877</v>
      </c>
      <c r="K24" s="33">
        <f>Tableau13[[#This Row],[CA Cumulé]]/Tableau13[[#Totals],[CA Annuel]]</f>
        <v>0.90992029149775389</v>
      </c>
      <c r="L24" s="22" t="s">
        <v>51</v>
      </c>
      <c r="M24" s="34">
        <f>Tableau13[[#This Row],[CA Annuel]]*0.5</f>
        <v>95121.951219512208</v>
      </c>
      <c r="N24" s="22" t="s">
        <v>53</v>
      </c>
      <c r="O24" s="34">
        <f>Tableau13[[#This Row],[CA Annuel]]*0.3</f>
        <v>57073.170731707323</v>
      </c>
      <c r="P24" s="22" t="s">
        <v>56</v>
      </c>
      <c r="Q24" s="34">
        <f>Tableau13[[#This Row],[CA Annuel]]*0.2</f>
        <v>38048.780487804885</v>
      </c>
    </row>
    <row r="25" spans="1:17" x14ac:dyDescent="0.2">
      <c r="A25" s="31">
        <f>Tableau13[[#This Row],[N°]]/$B$49</f>
        <v>0.5</v>
      </c>
      <c r="B25" s="30">
        <v>24</v>
      </c>
      <c r="C25" s="42">
        <v>1716</v>
      </c>
      <c r="D25" s="42">
        <v>17</v>
      </c>
      <c r="E25" s="17" t="s">
        <v>24</v>
      </c>
      <c r="F25" s="18">
        <v>634.14634146341473</v>
      </c>
      <c r="G25" s="20">
        <v>280</v>
      </c>
      <c r="H25" s="21">
        <f>Tableau13[[#This Row],[Prix unitaire]]*Tableau13[[#This Row],[Quantité]]</f>
        <v>177560.97560975613</v>
      </c>
      <c r="I25" s="33">
        <f>Tableau13[[#This Row],[CA Annuel]]/Tableau13[[#Totals],[CA Annuel]]</f>
        <v>1.0379917972698226E-2</v>
      </c>
      <c r="J25" s="21">
        <f>Tableau13[[#This Row],[CA Annuel]]+J24</f>
        <v>15742841.463414634</v>
      </c>
      <c r="K25" s="33">
        <f>Tableau13[[#This Row],[CA Cumulé]]/Tableau13[[#Totals],[CA Annuel]]</f>
        <v>0.92030020947045221</v>
      </c>
      <c r="L25" s="22" t="s">
        <v>52</v>
      </c>
      <c r="M25" s="34">
        <f>Tableau13[[#This Row],[CA Annuel]]*0.5</f>
        <v>88780.487804878067</v>
      </c>
      <c r="N25" s="22" t="s">
        <v>56</v>
      </c>
      <c r="O25" s="34">
        <f>Tableau13[[#This Row],[CA Annuel]]*0.3</f>
        <v>53268.29268292684</v>
      </c>
      <c r="P25" s="22" t="s">
        <v>51</v>
      </c>
      <c r="Q25" s="34">
        <f>Tableau13[[#This Row],[CA Annuel]]*0.2</f>
        <v>35512.195121951227</v>
      </c>
    </row>
    <row r="26" spans="1:17" x14ac:dyDescent="0.2">
      <c r="A26" s="31">
        <f>Tableau13[[#This Row],[N°]]/$B$49</f>
        <v>0.52083333333333337</v>
      </c>
      <c r="B26" s="30">
        <v>25</v>
      </c>
      <c r="C26" s="42">
        <v>9902</v>
      </c>
      <c r="D26" s="42">
        <v>99</v>
      </c>
      <c r="E26" s="17" t="s">
        <v>23</v>
      </c>
      <c r="F26" s="18">
        <v>79.268292682926841</v>
      </c>
      <c r="G26" s="20">
        <v>1920</v>
      </c>
      <c r="H26" s="21">
        <f>Tableau13[[#This Row],[Prix unitaire]]*Tableau13[[#This Row],[Quantité]]</f>
        <v>152195.12195121954</v>
      </c>
      <c r="I26" s="33">
        <f>Tableau13[[#This Row],[CA Annuel]]/Tableau13[[#Totals],[CA Annuel]]</f>
        <v>8.8970725480270515E-3</v>
      </c>
      <c r="J26" s="21">
        <f>Tableau13[[#This Row],[CA Annuel]]+J25</f>
        <v>15895036.585365852</v>
      </c>
      <c r="K26" s="33">
        <f>Tableau13[[#This Row],[CA Cumulé]]/Tableau13[[#Totals],[CA Annuel]]</f>
        <v>0.92919728201847918</v>
      </c>
      <c r="L26" s="22" t="s">
        <v>51</v>
      </c>
      <c r="M26" s="34">
        <f>Tableau13[[#This Row],[CA Annuel]]*0.5</f>
        <v>76097.560975609769</v>
      </c>
      <c r="N26" s="22" t="s">
        <v>53</v>
      </c>
      <c r="O26" s="34">
        <f>Tableau13[[#This Row],[CA Annuel]]*0.3</f>
        <v>45658.536585365859</v>
      </c>
      <c r="P26" s="22" t="s">
        <v>56</v>
      </c>
      <c r="Q26" s="34">
        <f>Tableau13[[#This Row],[CA Annuel]]*0.2</f>
        <v>30439.024390243911</v>
      </c>
    </row>
    <row r="27" spans="1:17" x14ac:dyDescent="0.2">
      <c r="A27" s="31">
        <f>Tableau13[[#This Row],[N°]]/$B$49</f>
        <v>0.54166666666666663</v>
      </c>
      <c r="B27" s="30">
        <v>26</v>
      </c>
      <c r="C27" s="42">
        <v>4801</v>
      </c>
      <c r="D27" s="42">
        <v>48</v>
      </c>
      <c r="E27" s="17" t="s">
        <v>22</v>
      </c>
      <c r="F27" s="18">
        <v>35.670731707317074</v>
      </c>
      <c r="G27" s="20">
        <v>4027</v>
      </c>
      <c r="H27" s="21">
        <f>Tableau13[[#This Row],[Prix unitaire]]*Tableau13[[#This Row],[Quantité]]</f>
        <v>143646.03658536586</v>
      </c>
      <c r="I27" s="33">
        <f>Tableau13[[#This Row],[CA Annuel]]/Tableau13[[#Totals],[CA Annuel]]</f>
        <v>8.3973073009933428E-3</v>
      </c>
      <c r="J27" s="21">
        <f>Tableau13[[#This Row],[CA Annuel]]+J26</f>
        <v>16038682.621951219</v>
      </c>
      <c r="K27" s="33">
        <f>Tableau13[[#This Row],[CA Cumulé]]/Tableau13[[#Totals],[CA Annuel]]</f>
        <v>0.93759458931947259</v>
      </c>
      <c r="L27" s="22" t="s">
        <v>58</v>
      </c>
      <c r="M27" s="34">
        <f>Tableau13[[#This Row],[CA Annuel]]*0.5</f>
        <v>71823.018292682929</v>
      </c>
      <c r="N27" s="22" t="s">
        <v>51</v>
      </c>
      <c r="O27" s="34">
        <f>Tableau13[[#This Row],[CA Annuel]]*0.3</f>
        <v>43093.810975609755</v>
      </c>
      <c r="P27" s="22" t="s">
        <v>56</v>
      </c>
      <c r="Q27" s="34">
        <f>Tableau13[[#This Row],[CA Annuel]]*0.2</f>
        <v>28729.207317073175</v>
      </c>
    </row>
    <row r="28" spans="1:17" x14ac:dyDescent="0.2">
      <c r="A28" s="31">
        <f>Tableau13[[#This Row],[N°]]/$B$49</f>
        <v>0.5625</v>
      </c>
      <c r="B28" s="30">
        <v>27</v>
      </c>
      <c r="C28" s="42">
        <v>7304</v>
      </c>
      <c r="D28" s="42">
        <v>73</v>
      </c>
      <c r="E28" s="17" t="s">
        <v>21</v>
      </c>
      <c r="F28" s="18">
        <v>69.359756097560975</v>
      </c>
      <c r="G28" s="20">
        <v>1800</v>
      </c>
      <c r="H28" s="21">
        <f>Tableau13[[#This Row],[Prix unitaire]]*Tableau13[[#This Row],[Quantité]]</f>
        <v>124847.56097560975</v>
      </c>
      <c r="I28" s="33">
        <f>Tableau13[[#This Row],[CA Annuel]]/Tableau13[[#Totals],[CA Annuel]]</f>
        <v>7.2983798245534392E-3</v>
      </c>
      <c r="J28" s="21">
        <f>Tableau13[[#This Row],[CA Annuel]]+J27</f>
        <v>16163530.182926828</v>
      </c>
      <c r="K28" s="33">
        <f>Tableau13[[#This Row],[CA Cumulé]]/Tableau13[[#Totals],[CA Annuel]]</f>
        <v>0.94489296914402598</v>
      </c>
      <c r="L28" s="22" t="s">
        <v>51</v>
      </c>
      <c r="M28" s="34">
        <f>Tableau13[[#This Row],[CA Annuel]]*0.5</f>
        <v>62423.780487804877</v>
      </c>
      <c r="N28" s="22" t="s">
        <v>53</v>
      </c>
      <c r="O28" s="34">
        <f>Tableau13[[#This Row],[CA Annuel]]*0.3</f>
        <v>37454.268292682922</v>
      </c>
      <c r="P28" s="22" t="s">
        <v>56</v>
      </c>
      <c r="Q28" s="34">
        <f>Tableau13[[#This Row],[CA Annuel]]*0.2</f>
        <v>24969.512195121952</v>
      </c>
    </row>
    <row r="29" spans="1:17" x14ac:dyDescent="0.2">
      <c r="A29" s="31">
        <f>Tableau13[[#This Row],[N°]]/$B$49</f>
        <v>0.58333333333333337</v>
      </c>
      <c r="B29" s="30">
        <v>28</v>
      </c>
      <c r="C29" s="42">
        <v>3304</v>
      </c>
      <c r="D29" s="42">
        <v>33</v>
      </c>
      <c r="E29" s="17" t="s">
        <v>20</v>
      </c>
      <c r="F29" s="18">
        <v>435.97560975609758</v>
      </c>
      <c r="G29" s="20">
        <v>240</v>
      </c>
      <c r="H29" s="21">
        <f>Tableau13[[#This Row],[Prix unitaire]]*Tableau13[[#This Row],[Quantité]]</f>
        <v>104634.14634146342</v>
      </c>
      <c r="I29" s="33">
        <f>Tableau13[[#This Row],[CA Annuel]]/Tableau13[[#Totals],[CA Annuel]]</f>
        <v>6.1167373767685969E-3</v>
      </c>
      <c r="J29" s="21">
        <f>Tableau13[[#This Row],[CA Annuel]]+J28</f>
        <v>16268164.329268292</v>
      </c>
      <c r="K29" s="33">
        <f>Tableau13[[#This Row],[CA Cumulé]]/Tableau13[[#Totals],[CA Annuel]]</f>
        <v>0.95100970652079453</v>
      </c>
      <c r="L29" s="22" t="s">
        <v>54</v>
      </c>
      <c r="M29" s="34">
        <f>Tableau13[[#This Row],[CA Annuel]]*0.5</f>
        <v>52317.07317073171</v>
      </c>
      <c r="N29" s="22" t="s">
        <v>56</v>
      </c>
      <c r="O29" s="34">
        <f>Tableau13[[#This Row],[CA Annuel]]*0.3</f>
        <v>31390.243902439026</v>
      </c>
      <c r="P29" s="22" t="s">
        <v>51</v>
      </c>
      <c r="Q29" s="34">
        <f>Tableau13[[#This Row],[CA Annuel]]*0.2</f>
        <v>20926.829268292684</v>
      </c>
    </row>
    <row r="30" spans="1:17" x14ac:dyDescent="0.2">
      <c r="A30" s="31">
        <f>Tableau13[[#This Row],[N°]]/$B$49</f>
        <v>0.60416666666666663</v>
      </c>
      <c r="B30" s="30">
        <v>29</v>
      </c>
      <c r="C30" s="42">
        <v>2202</v>
      </c>
      <c r="D30" s="42">
        <v>22</v>
      </c>
      <c r="E30" s="17" t="s">
        <v>19</v>
      </c>
      <c r="F30" s="18">
        <v>202.92682926829269</v>
      </c>
      <c r="G30" s="20">
        <v>480</v>
      </c>
      <c r="H30" s="21">
        <f>Tableau13[[#This Row],[Prix unitaire]]*Tableau13[[#This Row],[Quantité]]</f>
        <v>97404.878048780491</v>
      </c>
      <c r="I30" s="33">
        <f>Tableau13[[#This Row],[CA Annuel]]/Tableau13[[#Totals],[CA Annuel]]</f>
        <v>5.694126430737312E-3</v>
      </c>
      <c r="J30" s="21">
        <f>Tableau13[[#This Row],[CA Annuel]]+J29</f>
        <v>16365569.207317073</v>
      </c>
      <c r="K30" s="33">
        <f>Tableau13[[#This Row],[CA Cumulé]]/Tableau13[[#Totals],[CA Annuel]]</f>
        <v>0.95670383295153194</v>
      </c>
      <c r="L30" s="22" t="s">
        <v>54</v>
      </c>
      <c r="M30" s="34">
        <f>Tableau13[[#This Row],[CA Annuel]]*0.5</f>
        <v>48702.439024390245</v>
      </c>
      <c r="N30" s="22" t="s">
        <v>56</v>
      </c>
      <c r="O30" s="34">
        <f>Tableau13[[#This Row],[CA Annuel]]*0.3</f>
        <v>29221.463414634145</v>
      </c>
      <c r="P30" s="22" t="s">
        <v>51</v>
      </c>
      <c r="Q30" s="34">
        <f>Tableau13[[#This Row],[CA Annuel]]*0.2</f>
        <v>19480.9756097561</v>
      </c>
    </row>
    <row r="31" spans="1:17" x14ac:dyDescent="0.2">
      <c r="A31" s="31">
        <f>Tableau13[[#This Row],[N°]]/$B$49</f>
        <v>0.64583333333333337</v>
      </c>
      <c r="B31" s="30">
        <v>31</v>
      </c>
      <c r="C31" s="42">
        <v>7911</v>
      </c>
      <c r="D31" s="42">
        <v>79</v>
      </c>
      <c r="E31" s="17" t="s">
        <v>17</v>
      </c>
      <c r="F31" s="18">
        <v>1.9817073170731709</v>
      </c>
      <c r="G31" s="20">
        <v>48000</v>
      </c>
      <c r="H31" s="21">
        <f>Tableau13[[#This Row],[Prix unitaire]]*Tableau13[[#This Row],[Quantité]]</f>
        <v>95121.951219512208</v>
      </c>
      <c r="I31" s="33">
        <f>Tableau13[[#This Row],[CA Annuel]]/Tableau13[[#Totals],[CA Annuel]]</f>
        <v>5.5606703425169074E-3</v>
      </c>
      <c r="J31" s="21">
        <f>Tableau13[[#This Row],[CA Annuel]]+J30</f>
        <v>16460691.158536585</v>
      </c>
      <c r="K31" s="33">
        <f>Tableau13[[#This Row],[CA Cumulé]]/Tableau13[[#Totals],[CA Annuel]]</f>
        <v>0.96226450329404878</v>
      </c>
      <c r="L31" s="22" t="s">
        <v>51</v>
      </c>
      <c r="M31" s="34">
        <f>Tableau13[[#This Row],[CA Annuel]]*0.5</f>
        <v>47560.975609756104</v>
      </c>
      <c r="N31" s="22" t="s">
        <v>56</v>
      </c>
      <c r="O31" s="34">
        <f>Tableau13[[#This Row],[CA Annuel]]*0.3</f>
        <v>28536.585365853662</v>
      </c>
      <c r="P31" s="22" t="s">
        <v>57</v>
      </c>
      <c r="Q31" s="34">
        <f>Tableau13[[#This Row],[CA Annuel]]*0.2</f>
        <v>19024.390243902442</v>
      </c>
    </row>
    <row r="32" spans="1:17" x14ac:dyDescent="0.2">
      <c r="A32" s="31">
        <f>Tableau13[[#This Row],[N°]]/$B$49</f>
        <v>0.625</v>
      </c>
      <c r="B32" s="30">
        <v>30</v>
      </c>
      <c r="C32" s="42">
        <v>7305</v>
      </c>
      <c r="D32" s="42">
        <v>73</v>
      </c>
      <c r="E32" s="17" t="s">
        <v>18</v>
      </c>
      <c r="F32" s="18">
        <v>79.268292682926841</v>
      </c>
      <c r="G32" s="20">
        <v>1200</v>
      </c>
      <c r="H32" s="21">
        <f>Tableau13[[#This Row],[Prix unitaire]]*Tableau13[[#This Row],[Quantité]]</f>
        <v>95121.951219512208</v>
      </c>
      <c r="I32" s="33">
        <f>Tableau13[[#This Row],[CA Annuel]]/Tableau13[[#Totals],[CA Annuel]]</f>
        <v>5.5606703425169074E-3</v>
      </c>
      <c r="J32" s="21">
        <f>Tableau13[[#This Row],[CA Annuel]]+J31</f>
        <v>16555813.109756097</v>
      </c>
      <c r="K32" s="33">
        <f>Tableau13[[#This Row],[CA Cumulé]]/Tableau13[[#Totals],[CA Annuel]]</f>
        <v>0.96782517363656573</v>
      </c>
      <c r="L32" s="22" t="s">
        <v>51</v>
      </c>
      <c r="M32" s="34">
        <f>Tableau13[[#This Row],[CA Annuel]]*0.5</f>
        <v>47560.975609756104</v>
      </c>
      <c r="N32" s="22" t="s">
        <v>53</v>
      </c>
      <c r="O32" s="34">
        <f>Tableau13[[#This Row],[CA Annuel]]*0.3</f>
        <v>28536.585365853662</v>
      </c>
      <c r="P32" s="22" t="s">
        <v>56</v>
      </c>
      <c r="Q32" s="34">
        <f>Tableau13[[#This Row],[CA Annuel]]*0.2</f>
        <v>19024.390243902442</v>
      </c>
    </row>
    <row r="33" spans="1:17" x14ac:dyDescent="0.2">
      <c r="A33" s="31">
        <f>Tableau13[[#This Row],[N°]]/$B$49</f>
        <v>0.66666666666666663</v>
      </c>
      <c r="B33" s="30">
        <v>32</v>
      </c>
      <c r="C33" s="42">
        <v>7303</v>
      </c>
      <c r="D33" s="42">
        <v>73</v>
      </c>
      <c r="E33" s="17" t="s">
        <v>16</v>
      </c>
      <c r="F33" s="18">
        <v>23.780487804878049</v>
      </c>
      <c r="G33" s="20">
        <v>3600</v>
      </c>
      <c r="H33" s="21">
        <f>Tableau13[[#This Row],[Prix unitaire]]*Tableau13[[#This Row],[Quantité]]</f>
        <v>85609.756097560981</v>
      </c>
      <c r="I33" s="33">
        <f>Tableau13[[#This Row],[CA Annuel]]/Tableau13[[#Totals],[CA Annuel]]</f>
        <v>5.0046033082652161E-3</v>
      </c>
      <c r="J33" s="21">
        <f>Tableau13[[#This Row],[CA Annuel]]+J32</f>
        <v>16641422.865853658</v>
      </c>
      <c r="K33" s="33">
        <f>Tableau13[[#This Row],[CA Cumulé]]/Tableau13[[#Totals],[CA Annuel]]</f>
        <v>0.97282977694483097</v>
      </c>
      <c r="L33" s="22" t="s">
        <v>51</v>
      </c>
      <c r="M33" s="34">
        <f>Tableau13[[#This Row],[CA Annuel]]*0.5</f>
        <v>42804.878048780491</v>
      </c>
      <c r="N33" s="22" t="s">
        <v>53</v>
      </c>
      <c r="O33" s="34">
        <f>Tableau13[[#This Row],[CA Annuel]]*0.3</f>
        <v>25682.926829268294</v>
      </c>
      <c r="P33" s="22" t="s">
        <v>56</v>
      </c>
      <c r="Q33" s="34">
        <f>Tableau13[[#This Row],[CA Annuel]]*0.2</f>
        <v>17121.951219512197</v>
      </c>
    </row>
    <row r="34" spans="1:17" x14ac:dyDescent="0.2">
      <c r="A34" s="31">
        <f>Tableau13[[#This Row],[N°]]/$B$49</f>
        <v>0.70833333333333337</v>
      </c>
      <c r="B34" s="30">
        <v>34</v>
      </c>
      <c r="C34" s="42">
        <v>7306</v>
      </c>
      <c r="D34" s="42">
        <v>73</v>
      </c>
      <c r="E34" s="17" t="s">
        <v>14</v>
      </c>
      <c r="F34" s="18">
        <v>55.487804878048784</v>
      </c>
      <c r="G34" s="20">
        <v>1200</v>
      </c>
      <c r="H34" s="21">
        <f>Tableau13[[#This Row],[Prix unitaire]]*Tableau13[[#This Row],[Quantité]]</f>
        <v>66585.365853658543</v>
      </c>
      <c r="I34" s="33">
        <f>Tableau13[[#This Row],[CA Annuel]]/Tableau13[[#Totals],[CA Annuel]]</f>
        <v>3.8924692397618349E-3</v>
      </c>
      <c r="J34" s="21">
        <f>Tableau13[[#This Row],[CA Annuel]]+J33</f>
        <v>16708008.231707316</v>
      </c>
      <c r="K34" s="33">
        <f>Tableau13[[#This Row],[CA Cumulé]]/Tableau13[[#Totals],[CA Annuel]]</f>
        <v>0.97672224618459269</v>
      </c>
      <c r="L34" s="22" t="s">
        <v>51</v>
      </c>
      <c r="M34" s="34">
        <f>Tableau13[[#This Row],[CA Annuel]]*0.5</f>
        <v>33292.682926829271</v>
      </c>
      <c r="N34" s="22" t="s">
        <v>53</v>
      </c>
      <c r="O34" s="34">
        <f>Tableau13[[#This Row],[CA Annuel]]*0.3</f>
        <v>19975.609756097561</v>
      </c>
      <c r="P34" s="22" t="s">
        <v>56</v>
      </c>
      <c r="Q34" s="34">
        <f>Tableau13[[#This Row],[CA Annuel]]*0.2</f>
        <v>13317.07317073171</v>
      </c>
    </row>
    <row r="35" spans="1:17" x14ac:dyDescent="0.2">
      <c r="A35" s="31">
        <f>Tableau13[[#This Row],[N°]]/$B$49</f>
        <v>0.6875</v>
      </c>
      <c r="B35" s="30">
        <v>33</v>
      </c>
      <c r="C35" s="42">
        <v>3301</v>
      </c>
      <c r="D35" s="42">
        <v>33</v>
      </c>
      <c r="E35" s="17" t="s">
        <v>15</v>
      </c>
      <c r="F35" s="18">
        <v>554.8780487804878</v>
      </c>
      <c r="G35" s="20">
        <v>120</v>
      </c>
      <c r="H35" s="21">
        <f>Tableau13[[#This Row],[Prix unitaire]]*Tableau13[[#This Row],[Quantité]]</f>
        <v>66585.365853658543</v>
      </c>
      <c r="I35" s="33">
        <f>Tableau13[[#This Row],[CA Annuel]]/Tableau13[[#Totals],[CA Annuel]]</f>
        <v>3.8924692397618349E-3</v>
      </c>
      <c r="J35" s="21">
        <f>Tableau13[[#This Row],[CA Annuel]]+J34</f>
        <v>16774593.597560974</v>
      </c>
      <c r="K35" s="33">
        <f>Tableau13[[#This Row],[CA Cumulé]]/Tableau13[[#Totals],[CA Annuel]]</f>
        <v>0.98061471542435452</v>
      </c>
      <c r="L35" s="22" t="s">
        <v>54</v>
      </c>
      <c r="M35" s="34">
        <f>Tableau13[[#This Row],[CA Annuel]]*0.5</f>
        <v>33292.682926829271</v>
      </c>
      <c r="N35" s="22" t="s">
        <v>56</v>
      </c>
      <c r="O35" s="34">
        <f>Tableau13[[#This Row],[CA Annuel]]*0.3</f>
        <v>19975.609756097561</v>
      </c>
      <c r="P35" s="22" t="s">
        <v>51</v>
      </c>
      <c r="Q35" s="34">
        <f>Tableau13[[#This Row],[CA Annuel]]*0.2</f>
        <v>13317.07317073171</v>
      </c>
    </row>
    <row r="36" spans="1:17" x14ac:dyDescent="0.2">
      <c r="A36" s="31">
        <f>Tableau13[[#This Row],[N°]]/$B$49</f>
        <v>0.72916666666666663</v>
      </c>
      <c r="B36" s="30">
        <v>35</v>
      </c>
      <c r="C36" s="42">
        <v>5402</v>
      </c>
      <c r="D36" s="42">
        <v>54</v>
      </c>
      <c r="E36" s="17" t="s">
        <v>13</v>
      </c>
      <c r="F36" s="18">
        <v>4.9542682926829276</v>
      </c>
      <c r="G36" s="20">
        <v>10800</v>
      </c>
      <c r="H36" s="21">
        <f>Tableau13[[#This Row],[Prix unitaire]]*Tableau13[[#This Row],[Quantité]]</f>
        <v>53506.097560975621</v>
      </c>
      <c r="I36" s="33">
        <f>Tableau13[[#This Row],[CA Annuel]]/Tableau13[[#Totals],[CA Annuel]]</f>
        <v>3.1278770676657604E-3</v>
      </c>
      <c r="J36" s="21">
        <f>Tableau13[[#This Row],[CA Annuel]]+J35</f>
        <v>16828099.695121948</v>
      </c>
      <c r="K36" s="33">
        <f>Tableau13[[#This Row],[CA Cumulé]]/Tableau13[[#Totals],[CA Annuel]]</f>
        <v>0.98374259249202023</v>
      </c>
      <c r="L36" s="22" t="s">
        <v>54</v>
      </c>
      <c r="M36" s="34">
        <f>Tableau13[[#This Row],[CA Annuel]]*0.5</f>
        <v>26753.04878048781</v>
      </c>
      <c r="N36" s="22" t="s">
        <v>56</v>
      </c>
      <c r="O36" s="34">
        <f>Tableau13[[#This Row],[CA Annuel]]*0.3</f>
        <v>16051.829268292686</v>
      </c>
      <c r="P36" s="22" t="s">
        <v>51</v>
      </c>
      <c r="Q36" s="34">
        <f>Tableau13[[#This Row],[CA Annuel]]*0.2</f>
        <v>10701.219512195124</v>
      </c>
    </row>
    <row r="37" spans="1:17" x14ac:dyDescent="0.2">
      <c r="A37" s="31">
        <f>Tableau13[[#This Row],[N°]]/$B$49</f>
        <v>0.75</v>
      </c>
      <c r="B37" s="30">
        <v>36</v>
      </c>
      <c r="C37" s="42">
        <v>6505</v>
      </c>
      <c r="D37" s="42">
        <v>65</v>
      </c>
      <c r="E37" s="17" t="s">
        <v>12</v>
      </c>
      <c r="F37" s="18">
        <v>21.79878048780488</v>
      </c>
      <c r="G37" s="20">
        <v>2400</v>
      </c>
      <c r="H37" s="21">
        <f>Tableau13[[#This Row],[Prix unitaire]]*Tableau13[[#This Row],[Quantité]]</f>
        <v>52317.07317073171</v>
      </c>
      <c r="I37" s="33">
        <f>Tableau13[[#This Row],[CA Annuel]]/Tableau13[[#Totals],[CA Annuel]]</f>
        <v>3.0583686883842985E-3</v>
      </c>
      <c r="J37" s="21">
        <f>Tableau13[[#This Row],[CA Annuel]]+J36</f>
        <v>16880416.76829268</v>
      </c>
      <c r="K37" s="33">
        <f>Tableau13[[#This Row],[CA Cumulé]]/Tableau13[[#Totals],[CA Annuel]]</f>
        <v>0.9868009611804045</v>
      </c>
      <c r="L37" s="22" t="s">
        <v>51</v>
      </c>
      <c r="M37" s="34">
        <f>Tableau13[[#This Row],[CA Annuel]]*0.5</f>
        <v>26158.536585365855</v>
      </c>
      <c r="N37" s="22" t="s">
        <v>53</v>
      </c>
      <c r="O37" s="34">
        <f>Tableau13[[#This Row],[CA Annuel]]*0.3</f>
        <v>15695.121951219513</v>
      </c>
      <c r="P37" s="22" t="s">
        <v>56</v>
      </c>
      <c r="Q37" s="34">
        <f>Tableau13[[#This Row],[CA Annuel]]*0.2</f>
        <v>10463.414634146342</v>
      </c>
    </row>
    <row r="38" spans="1:17" x14ac:dyDescent="0.2">
      <c r="A38" s="31">
        <f>Tableau13[[#This Row],[N°]]/$B$49</f>
        <v>0.77083333333333337</v>
      </c>
      <c r="B38" s="30">
        <v>37</v>
      </c>
      <c r="C38" s="42">
        <v>2201</v>
      </c>
      <c r="D38" s="42">
        <v>22</v>
      </c>
      <c r="E38" s="17" t="s">
        <v>11</v>
      </c>
      <c r="F38" s="18">
        <v>110.97560975609757</v>
      </c>
      <c r="G38" s="20">
        <v>360</v>
      </c>
      <c r="H38" s="21">
        <f>Tableau13[[#This Row],[Prix unitaire]]*Tableau13[[#This Row],[Quantité]]</f>
        <v>39951.219512195123</v>
      </c>
      <c r="I38" s="33">
        <f>Tableau13[[#This Row],[CA Annuel]]/Tableau13[[#Totals],[CA Annuel]]</f>
        <v>2.3354815438571008E-3</v>
      </c>
      <c r="J38" s="21">
        <f>Tableau13[[#This Row],[CA Annuel]]+J37</f>
        <v>16920367.987804875</v>
      </c>
      <c r="K38" s="33">
        <f>Tableau13[[#This Row],[CA Cumulé]]/Tableau13[[#Totals],[CA Annuel]]</f>
        <v>0.9891364427242616</v>
      </c>
      <c r="L38" s="22" t="s">
        <v>54</v>
      </c>
      <c r="M38" s="34">
        <f>Tableau13[[#This Row],[CA Annuel]]*0.5</f>
        <v>19975.609756097561</v>
      </c>
      <c r="N38" s="22" t="s">
        <v>56</v>
      </c>
      <c r="O38" s="34">
        <f>Tableau13[[#This Row],[CA Annuel]]*0.3</f>
        <v>11985.365853658537</v>
      </c>
      <c r="P38" s="22" t="s">
        <v>51</v>
      </c>
      <c r="Q38" s="34">
        <f>Tableau13[[#This Row],[CA Annuel]]*0.2</f>
        <v>7990.2439024390251</v>
      </c>
    </row>
    <row r="39" spans="1:17" x14ac:dyDescent="0.2">
      <c r="A39" s="31">
        <f>Tableau13[[#This Row],[N°]]/$B$49</f>
        <v>0.79166666666666663</v>
      </c>
      <c r="B39" s="30">
        <v>38</v>
      </c>
      <c r="C39" s="42">
        <v>9904</v>
      </c>
      <c r="D39" s="42">
        <v>99</v>
      </c>
      <c r="E39" s="17" t="s">
        <v>10</v>
      </c>
      <c r="F39" s="18">
        <v>1089.939024390244</v>
      </c>
      <c r="G39" s="20">
        <v>36</v>
      </c>
      <c r="H39" s="21">
        <f>Tableau13[[#This Row],[Prix unitaire]]*Tableau13[[#This Row],[Quantité]]</f>
        <v>39237.804878048781</v>
      </c>
      <c r="I39" s="33">
        <f>Tableau13[[#This Row],[CA Annuel]]/Tableau13[[#Totals],[CA Annuel]]</f>
        <v>2.293776516288224E-3</v>
      </c>
      <c r="J39" s="21">
        <f>Tableau13[[#This Row],[CA Annuel]]+J38</f>
        <v>16959605.792682923</v>
      </c>
      <c r="K39" s="33">
        <f>Tableau13[[#This Row],[CA Cumulé]]/Tableau13[[#Totals],[CA Annuel]]</f>
        <v>0.99143021924054986</v>
      </c>
      <c r="L39" s="22" t="s">
        <v>51</v>
      </c>
      <c r="M39" s="34">
        <f>Tableau13[[#This Row],[CA Annuel]]*0.5</f>
        <v>19618.90243902439</v>
      </c>
      <c r="N39" s="22" t="s">
        <v>53</v>
      </c>
      <c r="O39" s="34">
        <f>Tableau13[[#This Row],[CA Annuel]]*0.3</f>
        <v>11771.341463414634</v>
      </c>
      <c r="P39" s="22" t="s">
        <v>56</v>
      </c>
      <c r="Q39" s="34">
        <f>Tableau13[[#This Row],[CA Annuel]]*0.2</f>
        <v>7847.5609756097565</v>
      </c>
    </row>
    <row r="40" spans="1:17" x14ac:dyDescent="0.2">
      <c r="A40" s="31">
        <f>Tableau13[[#This Row],[N°]]/$B$49</f>
        <v>0.8125</v>
      </c>
      <c r="B40" s="30">
        <v>39</v>
      </c>
      <c r="C40" s="42">
        <v>5403</v>
      </c>
      <c r="D40" s="42">
        <v>54</v>
      </c>
      <c r="E40" s="17" t="s">
        <v>9</v>
      </c>
      <c r="F40" s="18">
        <v>6.3414634146341466</v>
      </c>
      <c r="G40" s="20">
        <v>4800</v>
      </c>
      <c r="H40" s="21">
        <f>Tableau13[[#This Row],[Prix unitaire]]*Tableau13[[#This Row],[Quantité]]</f>
        <v>30439.024390243903</v>
      </c>
      <c r="I40" s="33">
        <f>Tableau13[[#This Row],[CA Annuel]]/Tableau13[[#Totals],[CA Annuel]]</f>
        <v>1.7794145096054102E-3</v>
      </c>
      <c r="J40" s="21">
        <f>Tableau13[[#This Row],[CA Annuel]]+J39</f>
        <v>16990044.817073166</v>
      </c>
      <c r="K40" s="33">
        <f>Tableau13[[#This Row],[CA Cumulé]]/Tableau13[[#Totals],[CA Annuel]]</f>
        <v>0.99320963375015514</v>
      </c>
      <c r="L40" s="22" t="s">
        <v>54</v>
      </c>
      <c r="M40" s="34">
        <f>Tableau13[[#This Row],[CA Annuel]]*0.5</f>
        <v>15219.512195121952</v>
      </c>
      <c r="N40" s="22" t="s">
        <v>56</v>
      </c>
      <c r="O40" s="34">
        <f>Tableau13[[#This Row],[CA Annuel]]*0.3</f>
        <v>9131.707317073171</v>
      </c>
      <c r="P40" s="22" t="s">
        <v>51</v>
      </c>
      <c r="Q40" s="34">
        <f>Tableau13[[#This Row],[CA Annuel]]*0.2</f>
        <v>6087.8048780487807</v>
      </c>
    </row>
    <row r="41" spans="1:17" x14ac:dyDescent="0.2">
      <c r="A41" s="31">
        <f>Tableau13[[#This Row],[N°]]/$B$49</f>
        <v>0.83333333333333337</v>
      </c>
      <c r="B41" s="30">
        <v>40</v>
      </c>
      <c r="C41" s="42">
        <v>5401</v>
      </c>
      <c r="D41" s="42">
        <v>54</v>
      </c>
      <c r="E41" s="17" t="s">
        <v>8</v>
      </c>
      <c r="F41" s="18">
        <v>3.6661585365853662</v>
      </c>
      <c r="G41" s="20">
        <v>7200</v>
      </c>
      <c r="H41" s="21">
        <f>Tableau13[[#This Row],[Prix unitaire]]*Tableau13[[#This Row],[Quantité]]</f>
        <v>26396.341463414636</v>
      </c>
      <c r="I41" s="33">
        <f>Tableau13[[#This Row],[CA Annuel]]/Tableau13[[#Totals],[CA Annuel]]</f>
        <v>1.5430860200484416E-3</v>
      </c>
      <c r="J41" s="21">
        <f>Tableau13[[#This Row],[CA Annuel]]+J40</f>
        <v>17016441.158536579</v>
      </c>
      <c r="K41" s="33">
        <f>Tableau13[[#This Row],[CA Cumulé]]/Tableau13[[#Totals],[CA Annuel]]</f>
        <v>0.99475271977020352</v>
      </c>
      <c r="L41" s="22" t="s">
        <v>54</v>
      </c>
      <c r="M41" s="34">
        <f>Tableau13[[#This Row],[CA Annuel]]*0.5</f>
        <v>13198.170731707318</v>
      </c>
      <c r="N41" s="22" t="s">
        <v>56</v>
      </c>
      <c r="O41" s="34">
        <f>Tableau13[[#This Row],[CA Annuel]]*0.3</f>
        <v>7918.9024390243903</v>
      </c>
      <c r="P41" s="22" t="s">
        <v>51</v>
      </c>
      <c r="Q41" s="34">
        <f>Tableau13[[#This Row],[CA Annuel]]*0.2</f>
        <v>5279.2682926829275</v>
      </c>
    </row>
    <row r="42" spans="1:17" x14ac:dyDescent="0.2">
      <c r="A42" s="31">
        <f>Tableau13[[#This Row],[N°]]/$B$49</f>
        <v>0.85416666666666663</v>
      </c>
      <c r="B42" s="30">
        <v>41</v>
      </c>
      <c r="C42" s="42">
        <v>4501</v>
      </c>
      <c r="D42" s="42">
        <v>45</v>
      </c>
      <c r="E42" s="17" t="s">
        <v>7</v>
      </c>
      <c r="F42" s="18">
        <v>168.44512195121953</v>
      </c>
      <c r="G42" s="20">
        <v>120</v>
      </c>
      <c r="H42" s="21">
        <f>Tableau13[[#This Row],[Prix unitaire]]*Tableau13[[#This Row],[Quantité]]</f>
        <v>20213.414634146346</v>
      </c>
      <c r="I42" s="33">
        <f>Tableau13[[#This Row],[CA Annuel]]/Tableau13[[#Totals],[CA Annuel]]</f>
        <v>1.1816424477848427E-3</v>
      </c>
      <c r="J42" s="21">
        <f>Tableau13[[#This Row],[CA Annuel]]+J41</f>
        <v>17036654.573170725</v>
      </c>
      <c r="K42" s="33">
        <f>Tableau13[[#This Row],[CA Cumulé]]/Tableau13[[#Totals],[CA Annuel]]</f>
        <v>0.99593436221798837</v>
      </c>
      <c r="L42" s="22" t="s">
        <v>54</v>
      </c>
      <c r="M42" s="34">
        <f>Tableau13[[#This Row],[CA Annuel]]*0.5</f>
        <v>10106.707317073173</v>
      </c>
      <c r="N42" s="22" t="s">
        <v>56</v>
      </c>
      <c r="O42" s="34">
        <f>Tableau13[[#This Row],[CA Annuel]]*0.3</f>
        <v>6064.0243902439033</v>
      </c>
      <c r="P42" s="22" t="s">
        <v>51</v>
      </c>
      <c r="Q42" s="34">
        <f>Tableau13[[#This Row],[CA Annuel]]*0.2</f>
        <v>4042.6829268292695</v>
      </c>
    </row>
    <row r="43" spans="1:17" x14ac:dyDescent="0.2">
      <c r="A43" s="31">
        <f>Tableau13[[#This Row],[N°]]/$B$49</f>
        <v>0.875</v>
      </c>
      <c r="B43" s="30">
        <v>42</v>
      </c>
      <c r="C43" s="42">
        <v>3302</v>
      </c>
      <c r="D43" s="42">
        <v>33</v>
      </c>
      <c r="E43" s="17" t="s">
        <v>6</v>
      </c>
      <c r="F43" s="18">
        <v>416.15853658536588</v>
      </c>
      <c r="G43" s="20">
        <v>36</v>
      </c>
      <c r="H43" s="21">
        <f>Tableau13[[#This Row],[Prix unitaire]]*Tableau13[[#This Row],[Quantité]]</f>
        <v>14981.707317073171</v>
      </c>
      <c r="I43" s="33">
        <f>Tableau13[[#This Row],[CA Annuel]]/Tableau13[[#Totals],[CA Annuel]]</f>
        <v>8.7580557894641274E-4</v>
      </c>
      <c r="J43" s="21">
        <f>Tableau13[[#This Row],[CA Annuel]]+J42</f>
        <v>17051636.280487798</v>
      </c>
      <c r="K43" s="33">
        <f>Tableau13[[#This Row],[CA Cumulé]]/Tableau13[[#Totals],[CA Annuel]]</f>
        <v>0.99681016779693477</v>
      </c>
      <c r="L43" s="22" t="s">
        <v>54</v>
      </c>
      <c r="M43" s="34">
        <f>Tableau13[[#This Row],[CA Annuel]]*0.5</f>
        <v>7490.8536585365855</v>
      </c>
      <c r="N43" s="22" t="s">
        <v>56</v>
      </c>
      <c r="O43" s="34">
        <f>Tableau13[[#This Row],[CA Annuel]]*0.3</f>
        <v>4494.5121951219508</v>
      </c>
      <c r="P43" s="22" t="s">
        <v>51</v>
      </c>
      <c r="Q43" s="34">
        <f>Tableau13[[#This Row],[CA Annuel]]*0.2</f>
        <v>2996.3414634146343</v>
      </c>
    </row>
    <row r="44" spans="1:17" x14ac:dyDescent="0.2">
      <c r="A44" s="31">
        <f>Tableau13[[#This Row],[N°]]/$B$49</f>
        <v>0.89583333333333337</v>
      </c>
      <c r="B44" s="30">
        <v>43</v>
      </c>
      <c r="C44" s="42">
        <v>1712</v>
      </c>
      <c r="D44" s="42">
        <v>17</v>
      </c>
      <c r="E44" s="17" t="s">
        <v>5</v>
      </c>
      <c r="F44" s="18">
        <v>7.7286585365853666</v>
      </c>
      <c r="G44" s="20">
        <v>1920</v>
      </c>
      <c r="H44" s="21">
        <f>Tableau13[[#This Row],[Prix unitaire]]*Tableau13[[#This Row],[Quantité]]</f>
        <v>14839.024390243903</v>
      </c>
      <c r="I44" s="33">
        <f>Tableau13[[#This Row],[CA Annuel]]/Tableau13[[#Totals],[CA Annuel]]</f>
        <v>8.6746457343263739E-4</v>
      </c>
      <c r="J44" s="21">
        <f>Tableau13[[#This Row],[CA Annuel]]+J43</f>
        <v>17066475.304878041</v>
      </c>
      <c r="K44" s="33">
        <f>Tableau13[[#This Row],[CA Cumulé]]/Tableau13[[#Totals],[CA Annuel]]</f>
        <v>0.99767763237036733</v>
      </c>
      <c r="L44" s="22" t="s">
        <v>51</v>
      </c>
      <c r="M44" s="34">
        <f>Tableau13[[#This Row],[CA Annuel]]*0.5</f>
        <v>7419.5121951219517</v>
      </c>
      <c r="N44" s="22" t="s">
        <v>52</v>
      </c>
      <c r="O44" s="34">
        <f>Tableau13[[#This Row],[CA Annuel]]*0.3</f>
        <v>4451.707317073171</v>
      </c>
      <c r="P44" s="22" t="s">
        <v>56</v>
      </c>
      <c r="Q44" s="34">
        <f>Tableau13[[#This Row],[CA Annuel]]*0.2</f>
        <v>2967.8048780487807</v>
      </c>
    </row>
    <row r="45" spans="1:17" x14ac:dyDescent="0.2">
      <c r="A45" s="31">
        <f>Tableau13[[#This Row],[N°]]/$B$49</f>
        <v>0.91666666666666663</v>
      </c>
      <c r="B45" s="30">
        <v>44</v>
      </c>
      <c r="C45" s="42">
        <v>5002</v>
      </c>
      <c r="D45" s="42">
        <v>50</v>
      </c>
      <c r="E45" s="17" t="s">
        <v>4</v>
      </c>
      <c r="F45" s="18">
        <v>2.1798780487804881</v>
      </c>
      <c r="G45" s="20">
        <v>6144</v>
      </c>
      <c r="H45" s="21">
        <f>Tableau13[[#This Row],[Prix unitaire]]*Tableau13[[#This Row],[Quantité]]</f>
        <v>13393.17073170732</v>
      </c>
      <c r="I45" s="33">
        <f>Tableau13[[#This Row],[CA Annuel]]/Tableau13[[#Totals],[CA Annuel]]</f>
        <v>7.8294238422638054E-4</v>
      </c>
      <c r="J45" s="21">
        <f>Tableau13[[#This Row],[CA Annuel]]+J44</f>
        <v>17079868.47560975</v>
      </c>
      <c r="K45" s="33">
        <f>Tableau13[[#This Row],[CA Cumulé]]/Tableau13[[#Totals],[CA Annuel]]</f>
        <v>0.99846057475459371</v>
      </c>
      <c r="L45" s="22" t="s">
        <v>54</v>
      </c>
      <c r="M45" s="34">
        <f>Tableau13[[#This Row],[CA Annuel]]*0.5</f>
        <v>6696.5853658536598</v>
      </c>
      <c r="N45" s="22" t="s">
        <v>56</v>
      </c>
      <c r="O45" s="34">
        <f>Tableau13[[#This Row],[CA Annuel]]*0.3</f>
        <v>4017.9512195121956</v>
      </c>
      <c r="P45" s="22" t="s">
        <v>51</v>
      </c>
      <c r="Q45" s="34">
        <f>Tableau13[[#This Row],[CA Annuel]]*0.2</f>
        <v>2678.6341463414642</v>
      </c>
    </row>
    <row r="46" spans="1:17" x14ac:dyDescent="0.2">
      <c r="A46" s="31">
        <f>Tableau13[[#This Row],[N°]]/$B$49</f>
        <v>0.9375</v>
      </c>
      <c r="B46" s="30">
        <v>45</v>
      </c>
      <c r="C46" s="42">
        <v>5001</v>
      </c>
      <c r="D46" s="42">
        <v>50</v>
      </c>
      <c r="E46" s="17" t="s">
        <v>3</v>
      </c>
      <c r="F46" s="18">
        <v>2.1798780487804881</v>
      </c>
      <c r="G46" s="20">
        <v>5376</v>
      </c>
      <c r="H46" s="21">
        <f>Tableau13[[#This Row],[Prix unitaire]]*Tableau13[[#This Row],[Quantité]]</f>
        <v>11719.024390243903</v>
      </c>
      <c r="I46" s="33">
        <f>Tableau13[[#This Row],[CA Annuel]]/Tableau13[[#Totals],[CA Annuel]]</f>
        <v>6.8507458619808295E-4</v>
      </c>
      <c r="J46" s="21">
        <f>Tableau13[[#This Row],[CA Annuel]]+J45</f>
        <v>17091587.499999993</v>
      </c>
      <c r="K46" s="33">
        <f>Tableau13[[#This Row],[CA Cumulé]]/Tableau13[[#Totals],[CA Annuel]]</f>
        <v>0.99914564934079175</v>
      </c>
      <c r="L46" s="22" t="s">
        <v>54</v>
      </c>
      <c r="M46" s="34">
        <f>Tableau13[[#This Row],[CA Annuel]]*0.5</f>
        <v>5859.5121951219517</v>
      </c>
      <c r="N46" s="22" t="s">
        <v>56</v>
      </c>
      <c r="O46" s="34">
        <f>Tableau13[[#This Row],[CA Annuel]]*0.3</f>
        <v>3515.707317073171</v>
      </c>
      <c r="P46" s="22" t="s">
        <v>51</v>
      </c>
      <c r="Q46" s="34">
        <f>Tableau13[[#This Row],[CA Annuel]]*0.2</f>
        <v>2343.8048780487807</v>
      </c>
    </row>
    <row r="47" spans="1:17" x14ac:dyDescent="0.2">
      <c r="A47" s="31">
        <f>Tableau13[[#This Row],[N°]]/$B$49</f>
        <v>0.95833333333333337</v>
      </c>
      <c r="B47" s="30">
        <v>46</v>
      </c>
      <c r="C47" s="42">
        <v>5404</v>
      </c>
      <c r="D47" s="42">
        <v>54</v>
      </c>
      <c r="E47" s="17" t="s">
        <v>2</v>
      </c>
      <c r="F47" s="18">
        <v>9.5121951219512209</v>
      </c>
      <c r="G47" s="20">
        <v>1200</v>
      </c>
      <c r="H47" s="21">
        <f>Tableau13[[#This Row],[Prix unitaire]]*Tableau13[[#This Row],[Quantité]]</f>
        <v>11414.634146341465</v>
      </c>
      <c r="I47" s="33">
        <f>Tableau13[[#This Row],[CA Annuel]]/Tableau13[[#Totals],[CA Annuel]]</f>
        <v>6.6728044110202884E-4</v>
      </c>
      <c r="J47" s="21">
        <f>Tableau13[[#This Row],[CA Annuel]]+J46</f>
        <v>17103002.134146333</v>
      </c>
      <c r="K47" s="33">
        <f>Tableau13[[#This Row],[CA Cumulé]]/Tableau13[[#Totals],[CA Annuel]]</f>
        <v>0.99981292978189373</v>
      </c>
      <c r="L47" s="22" t="s">
        <v>54</v>
      </c>
      <c r="M47" s="34">
        <f>Tableau13[[#This Row],[CA Annuel]]*0.5</f>
        <v>5707.3170731707323</v>
      </c>
      <c r="N47" s="22" t="s">
        <v>56</v>
      </c>
      <c r="O47" s="34">
        <f>Tableau13[[#This Row],[CA Annuel]]*0.3</f>
        <v>3424.3902439024391</v>
      </c>
      <c r="P47" s="22" t="s">
        <v>51</v>
      </c>
      <c r="Q47" s="34">
        <f>Tableau13[[#This Row],[CA Annuel]]*0.2</f>
        <v>2282.9268292682932</v>
      </c>
    </row>
    <row r="48" spans="1:17" x14ac:dyDescent="0.2">
      <c r="A48" s="31">
        <f>Tableau13[[#This Row],[N°]]/$B$49</f>
        <v>0.97916666666666663</v>
      </c>
      <c r="B48" s="30">
        <v>47</v>
      </c>
      <c r="C48" s="42">
        <v>2203</v>
      </c>
      <c r="D48" s="42">
        <v>22</v>
      </c>
      <c r="E48" s="17" t="s">
        <v>1</v>
      </c>
      <c r="F48" s="18">
        <v>237.80487804878049</v>
      </c>
      <c r="G48" s="20">
        <v>12</v>
      </c>
      <c r="H48" s="21">
        <f>Tableau13[[#This Row],[Prix unitaire]]*Tableau13[[#This Row],[Quantité]]</f>
        <v>2853.6585365853662</v>
      </c>
      <c r="I48" s="33">
        <f>Tableau13[[#This Row],[CA Annuel]]/Tableau13[[#Totals],[CA Annuel]]</f>
        <v>1.6682011027550721E-4</v>
      </c>
      <c r="J48" s="21">
        <f>Tableau13[[#This Row],[CA Annuel]]+J47</f>
        <v>17105855.79268292</v>
      </c>
      <c r="K48" s="33">
        <f>Tableau13[[#This Row],[CA Cumulé]]/Tableau13[[#Totals],[CA Annuel]]</f>
        <v>0.99997974989216931</v>
      </c>
      <c r="L48" s="22" t="s">
        <v>54</v>
      </c>
      <c r="M48" s="34">
        <f>Tableau13[[#This Row],[CA Annuel]]*0.5</f>
        <v>1426.8292682926831</v>
      </c>
      <c r="N48" s="22" t="s">
        <v>56</v>
      </c>
      <c r="O48" s="34">
        <f>Tableau13[[#This Row],[CA Annuel]]*0.3</f>
        <v>856.09756097560978</v>
      </c>
      <c r="P48" s="22" t="s">
        <v>51</v>
      </c>
      <c r="Q48" s="34">
        <f>Tableau13[[#This Row],[CA Annuel]]*0.2</f>
        <v>570.7317073170733</v>
      </c>
    </row>
    <row r="49" spans="1:17" x14ac:dyDescent="0.2">
      <c r="A49" s="31">
        <f>Tableau13[[#This Row],[N°]]/$B$49</f>
        <v>1</v>
      </c>
      <c r="B49" s="30">
        <v>48</v>
      </c>
      <c r="C49" s="42">
        <v>7910</v>
      </c>
      <c r="D49" s="42">
        <v>79</v>
      </c>
      <c r="E49" s="17" t="s">
        <v>0</v>
      </c>
      <c r="F49" s="18">
        <v>7.5304878048780486</v>
      </c>
      <c r="G49" s="20">
        <v>46</v>
      </c>
      <c r="H49" s="21">
        <f>Tableau13[[#This Row],[Prix unitaire]]*Tableau13[[#This Row],[Quantité]]</f>
        <v>346.40243902439022</v>
      </c>
      <c r="I49" s="33">
        <f>Tableau13[[#This Row],[CA Annuel]]/Tableau13[[#Totals],[CA Annuel]]</f>
        <v>2.0250107830665733E-5</v>
      </c>
      <c r="J49" s="21">
        <f>Tableau13[[#This Row],[CA Annuel]]+J48</f>
        <v>17106202.195121944</v>
      </c>
      <c r="K49" s="33">
        <f>Tableau13[[#This Row],[CA Cumulé]]/Tableau13[[#Totals],[CA Annuel]]</f>
        <v>1</v>
      </c>
      <c r="L49" s="22" t="s">
        <v>57</v>
      </c>
      <c r="M49" s="34">
        <f>Tableau13[[#This Row],[CA Annuel]]*0.5</f>
        <v>173.20121951219511</v>
      </c>
      <c r="N49" s="22" t="s">
        <v>56</v>
      </c>
      <c r="O49" s="34">
        <f>Tableau13[[#This Row],[CA Annuel]]*0.3</f>
        <v>103.92073170731706</v>
      </c>
      <c r="P49" s="22" t="s">
        <v>51</v>
      </c>
      <c r="Q49" s="34">
        <f>Tableau13[[#This Row],[CA Annuel]]*0.2</f>
        <v>69.280487804878049</v>
      </c>
    </row>
    <row r="50" spans="1:17" x14ac:dyDescent="0.2">
      <c r="A50" s="38"/>
      <c r="B50" s="30"/>
      <c r="C50" s="30"/>
      <c r="D50" s="30"/>
      <c r="E50" s="17"/>
      <c r="F50" s="18"/>
      <c r="G50" s="20"/>
      <c r="H50" s="39">
        <f>SUBTOTAL(9,Tableau13[CA Annuel])</f>
        <v>17106202.195121944</v>
      </c>
      <c r="I50" s="39"/>
      <c r="J50" s="39"/>
      <c r="K50" s="39"/>
      <c r="L50" s="22"/>
      <c r="M50" s="40">
        <f>SUBTOTAL(9,Tableau13[CA Frns Entonnoir 1])</f>
        <v>8553101.097560972</v>
      </c>
      <c r="N50" s="32"/>
      <c r="O50" s="41">
        <f>SUBTOTAL(9,Tableau13[CA Frns Entonnoir 2])</f>
        <v>5402006.9999999972</v>
      </c>
      <c r="P50" s="32"/>
      <c r="Q50" s="41">
        <f>SUBTOTAL(9,Tableau13[CA Frns Entonnoir 3])</f>
        <v>3151094.0975609752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59"/>
  <sheetViews>
    <sheetView topLeftCell="A6" workbookViewId="0">
      <selection activeCell="B24" sqref="B24"/>
    </sheetView>
  </sheetViews>
  <sheetFormatPr baseColWidth="10" defaultRowHeight="12.75" x14ac:dyDescent="0.2"/>
  <cols>
    <col min="1" max="1" width="11.140625" customWidth="1"/>
    <col min="2" max="2" width="35.42578125" bestFit="1" customWidth="1"/>
    <col min="3" max="3" width="18.28515625" customWidth="1"/>
    <col min="4" max="4" width="16" customWidth="1"/>
    <col min="5" max="5" width="20.140625" style="11" customWidth="1"/>
    <col min="6" max="6" width="13" style="11" customWidth="1"/>
    <col min="7" max="7" width="23.140625" style="11" customWidth="1"/>
  </cols>
  <sheetData>
    <row r="2" spans="1:8" x14ac:dyDescent="0.2">
      <c r="H2" s="8"/>
    </row>
    <row r="10" spans="1:8" ht="12" customHeight="1" x14ac:dyDescent="0.2"/>
    <row r="11" spans="1:8" ht="15.75" x14ac:dyDescent="0.2">
      <c r="A11" s="7" t="s">
        <v>50</v>
      </c>
      <c r="B11" s="6" t="s">
        <v>49</v>
      </c>
      <c r="C11" s="16" t="s">
        <v>48</v>
      </c>
      <c r="D11" s="5" t="s">
        <v>47</v>
      </c>
      <c r="E11" s="12" t="s">
        <v>96</v>
      </c>
      <c r="F11" s="13" t="s">
        <v>97</v>
      </c>
      <c r="G11" s="14" t="s">
        <v>98</v>
      </c>
    </row>
    <row r="12" spans="1:8" x14ac:dyDescent="0.2">
      <c r="A12" s="4">
        <v>5001</v>
      </c>
      <c r="B12" s="3" t="s">
        <v>3</v>
      </c>
      <c r="C12" s="2">
        <v>2.1798780487804881</v>
      </c>
      <c r="D12" s="1">
        <v>5376</v>
      </c>
      <c r="E12" s="9" t="s">
        <v>54</v>
      </c>
      <c r="F12" s="9" t="s">
        <v>56</v>
      </c>
      <c r="G12" s="9" t="s">
        <v>51</v>
      </c>
    </row>
    <row r="13" spans="1:8" x14ac:dyDescent="0.2">
      <c r="A13" s="4">
        <v>7306</v>
      </c>
      <c r="B13" s="3" t="s">
        <v>14</v>
      </c>
      <c r="C13" s="2">
        <v>55.487804878048784</v>
      </c>
      <c r="D13" s="1">
        <v>1200</v>
      </c>
      <c r="E13" s="9" t="s">
        <v>51</v>
      </c>
      <c r="F13" s="9" t="s">
        <v>53</v>
      </c>
      <c r="G13" s="9" t="s">
        <v>56</v>
      </c>
    </row>
    <row r="14" spans="1:8" x14ac:dyDescent="0.2">
      <c r="A14" s="4">
        <v>7301</v>
      </c>
      <c r="B14" s="3" t="s">
        <v>26</v>
      </c>
      <c r="C14" s="2">
        <v>128.8109756097561</v>
      </c>
      <c r="D14" s="1">
        <v>1800</v>
      </c>
      <c r="E14" s="9" t="s">
        <v>51</v>
      </c>
      <c r="F14" s="9" t="s">
        <v>53</v>
      </c>
      <c r="G14" s="9" t="s">
        <v>56</v>
      </c>
    </row>
    <row r="15" spans="1:8" x14ac:dyDescent="0.2">
      <c r="A15" s="4">
        <v>1717</v>
      </c>
      <c r="B15" s="3" t="s">
        <v>34</v>
      </c>
      <c r="C15" s="2">
        <v>18.826219512195124</v>
      </c>
      <c r="D15" s="1">
        <v>24000</v>
      </c>
      <c r="E15" s="9" t="s">
        <v>52</v>
      </c>
      <c r="F15" s="9" t="s">
        <v>56</v>
      </c>
      <c r="G15" s="9" t="s">
        <v>53</v>
      </c>
    </row>
    <row r="16" spans="1:8" x14ac:dyDescent="0.2">
      <c r="A16" s="4">
        <v>7304</v>
      </c>
      <c r="B16" s="3" t="s">
        <v>21</v>
      </c>
      <c r="C16" s="2">
        <v>69.359756097560975</v>
      </c>
      <c r="D16" s="1">
        <v>1800</v>
      </c>
      <c r="E16" s="9" t="s">
        <v>51</v>
      </c>
      <c r="F16" s="9" t="s">
        <v>53</v>
      </c>
      <c r="G16" s="9" t="s">
        <v>56</v>
      </c>
    </row>
    <row r="17" spans="1:7" x14ac:dyDescent="0.2">
      <c r="A17" s="4">
        <v>9904</v>
      </c>
      <c r="B17" s="3" t="s">
        <v>10</v>
      </c>
      <c r="C17" s="2">
        <v>1089.939024390244</v>
      </c>
      <c r="D17" s="1">
        <v>36</v>
      </c>
      <c r="E17" s="9" t="s">
        <v>51</v>
      </c>
      <c r="F17" s="9" t="s">
        <v>53</v>
      </c>
      <c r="G17" s="9" t="s">
        <v>56</v>
      </c>
    </row>
    <row r="18" spans="1:7" x14ac:dyDescent="0.2">
      <c r="A18" s="4">
        <v>9901</v>
      </c>
      <c r="B18" s="3" t="s">
        <v>40</v>
      </c>
      <c r="C18" s="2">
        <v>693.59756097560978</v>
      </c>
      <c r="D18" s="1">
        <v>1080</v>
      </c>
      <c r="E18" s="9" t="s">
        <v>51</v>
      </c>
      <c r="F18" s="9" t="s">
        <v>53</v>
      </c>
      <c r="G18" s="9" t="s">
        <v>56</v>
      </c>
    </row>
    <row r="19" spans="1:7" x14ac:dyDescent="0.2">
      <c r="A19" s="4">
        <v>1710</v>
      </c>
      <c r="B19" s="3" t="s">
        <v>36</v>
      </c>
      <c r="C19" s="2">
        <v>7.5304878048780486</v>
      </c>
      <c r="D19" s="1">
        <v>60000</v>
      </c>
      <c r="E19" s="9" t="s">
        <v>51</v>
      </c>
      <c r="F19" s="9" t="s">
        <v>52</v>
      </c>
      <c r="G19" s="9" t="s">
        <v>56</v>
      </c>
    </row>
    <row r="20" spans="1:7" x14ac:dyDescent="0.2">
      <c r="A20" s="4">
        <v>1711</v>
      </c>
      <c r="B20" s="3" t="s">
        <v>35</v>
      </c>
      <c r="C20" s="2">
        <v>7.5304878048780486</v>
      </c>
      <c r="D20" s="1">
        <v>60000</v>
      </c>
      <c r="E20" s="9" t="s">
        <v>51</v>
      </c>
      <c r="F20" s="9" t="s">
        <v>52</v>
      </c>
      <c r="G20" s="9" t="s">
        <v>56</v>
      </c>
    </row>
    <row r="21" spans="1:7" x14ac:dyDescent="0.2">
      <c r="A21" s="4">
        <v>9902</v>
      </c>
      <c r="B21" s="3" t="s">
        <v>23</v>
      </c>
      <c r="C21" s="2">
        <v>79.268292682926841</v>
      </c>
      <c r="D21" s="1">
        <v>1920</v>
      </c>
      <c r="E21" s="9" t="s">
        <v>51</v>
      </c>
      <c r="F21" s="9" t="s">
        <v>53</v>
      </c>
      <c r="G21" s="9" t="s">
        <v>56</v>
      </c>
    </row>
    <row r="22" spans="1:7" x14ac:dyDescent="0.2">
      <c r="A22" s="4">
        <v>4501</v>
      </c>
      <c r="B22" s="3" t="s">
        <v>7</v>
      </c>
      <c r="C22" s="2">
        <v>168.44512195121953</v>
      </c>
      <c r="D22" s="1">
        <v>120</v>
      </c>
      <c r="E22" s="9" t="s">
        <v>54</v>
      </c>
      <c r="F22" s="9" t="s">
        <v>56</v>
      </c>
      <c r="G22" s="9" t="s">
        <v>51</v>
      </c>
    </row>
    <row r="23" spans="1:7" x14ac:dyDescent="0.2">
      <c r="A23" s="4">
        <v>2310</v>
      </c>
      <c r="B23" s="3" t="s">
        <v>37</v>
      </c>
      <c r="C23" s="2">
        <v>634.14634146341473</v>
      </c>
      <c r="D23" s="1">
        <v>780</v>
      </c>
      <c r="E23" s="9" t="s">
        <v>53</v>
      </c>
      <c r="F23" s="9" t="s">
        <v>56</v>
      </c>
      <c r="G23" s="15"/>
    </row>
    <row r="24" spans="1:7" x14ac:dyDescent="0.2">
      <c r="A24" s="4">
        <v>3302</v>
      </c>
      <c r="B24" s="3" t="s">
        <v>6</v>
      </c>
      <c r="C24" s="2">
        <v>416.15853658536588</v>
      </c>
      <c r="D24" s="1">
        <v>36</v>
      </c>
      <c r="E24" s="9" t="s">
        <v>54</v>
      </c>
      <c r="F24" s="9" t="s">
        <v>56</v>
      </c>
      <c r="G24" s="9" t="s">
        <v>51</v>
      </c>
    </row>
    <row r="25" spans="1:7" x14ac:dyDescent="0.2">
      <c r="A25" s="4">
        <v>3301</v>
      </c>
      <c r="B25" s="3" t="s">
        <v>15</v>
      </c>
      <c r="C25" s="2">
        <v>554.8780487804878</v>
      </c>
      <c r="D25" s="1">
        <v>120</v>
      </c>
      <c r="E25" s="9" t="s">
        <v>54</v>
      </c>
      <c r="F25" s="9" t="s">
        <v>56</v>
      </c>
      <c r="G25" s="9" t="s">
        <v>51</v>
      </c>
    </row>
    <row r="26" spans="1:7" x14ac:dyDescent="0.2">
      <c r="A26" s="4">
        <v>3304</v>
      </c>
      <c r="B26" s="3" t="s">
        <v>20</v>
      </c>
      <c r="C26" s="2">
        <v>435.97560975609758</v>
      </c>
      <c r="D26" s="1">
        <v>240</v>
      </c>
      <c r="E26" s="9" t="s">
        <v>54</v>
      </c>
      <c r="F26" s="9" t="s">
        <v>56</v>
      </c>
      <c r="G26" s="9" t="s">
        <v>51</v>
      </c>
    </row>
    <row r="27" spans="1:7" x14ac:dyDescent="0.2">
      <c r="A27" s="4">
        <v>7911</v>
      </c>
      <c r="B27" s="3" t="s">
        <v>17</v>
      </c>
      <c r="C27" s="2">
        <v>1.9817073170731709</v>
      </c>
      <c r="D27" s="1">
        <v>48000</v>
      </c>
      <c r="E27" s="9" t="s">
        <v>51</v>
      </c>
      <c r="F27" s="9" t="s">
        <v>56</v>
      </c>
      <c r="G27" s="9" t="s">
        <v>57</v>
      </c>
    </row>
    <row r="28" spans="1:7" x14ac:dyDescent="0.2">
      <c r="A28" s="4">
        <v>7302</v>
      </c>
      <c r="B28" s="3" t="s">
        <v>28</v>
      </c>
      <c r="C28" s="2">
        <v>69.359756097560975</v>
      </c>
      <c r="D28" s="1">
        <v>3600</v>
      </c>
      <c r="E28" s="9" t="s">
        <v>51</v>
      </c>
      <c r="F28" s="9" t="s">
        <v>53</v>
      </c>
      <c r="G28" s="9" t="s">
        <v>56</v>
      </c>
    </row>
    <row r="29" spans="1:7" x14ac:dyDescent="0.2">
      <c r="A29" s="4">
        <v>2312</v>
      </c>
      <c r="B29" s="3" t="s">
        <v>39</v>
      </c>
      <c r="C29" s="2">
        <v>792.68292682926835</v>
      </c>
      <c r="D29" s="1">
        <v>720</v>
      </c>
      <c r="E29" s="9" t="s">
        <v>53</v>
      </c>
      <c r="F29" s="9" t="s">
        <v>56</v>
      </c>
      <c r="G29" s="15"/>
    </row>
    <row r="30" spans="1:7" x14ac:dyDescent="0.2">
      <c r="A30" s="4">
        <v>2311</v>
      </c>
      <c r="B30" s="3" t="s">
        <v>30</v>
      </c>
      <c r="C30" s="2">
        <v>1189.0243902439024</v>
      </c>
      <c r="D30" s="1">
        <v>240</v>
      </c>
      <c r="E30" s="9" t="s">
        <v>53</v>
      </c>
      <c r="F30" s="9" t="s">
        <v>56</v>
      </c>
      <c r="G30" s="15"/>
    </row>
    <row r="31" spans="1:7" x14ac:dyDescent="0.2">
      <c r="A31" s="4">
        <v>5002</v>
      </c>
      <c r="B31" s="3" t="s">
        <v>4</v>
      </c>
      <c r="C31" s="2">
        <v>2.1798780487804881</v>
      </c>
      <c r="D31" s="1">
        <v>6144</v>
      </c>
      <c r="E31" s="9" t="s">
        <v>54</v>
      </c>
      <c r="F31" s="9" t="s">
        <v>56</v>
      </c>
      <c r="G31" s="9" t="s">
        <v>51</v>
      </c>
    </row>
    <row r="32" spans="1:7" x14ac:dyDescent="0.2">
      <c r="A32" s="4">
        <v>8601</v>
      </c>
      <c r="B32" s="3" t="s">
        <v>45</v>
      </c>
      <c r="C32" s="2">
        <v>15.853658536585368</v>
      </c>
      <c r="D32" s="1">
        <v>120000</v>
      </c>
      <c r="E32" s="9" t="s">
        <v>51</v>
      </c>
      <c r="F32" s="9" t="s">
        <v>56</v>
      </c>
      <c r="G32" s="9" t="s">
        <v>57</v>
      </c>
    </row>
    <row r="33" spans="1:7" x14ac:dyDescent="0.2">
      <c r="A33" s="4">
        <v>8602</v>
      </c>
      <c r="B33" s="3" t="s">
        <v>46</v>
      </c>
      <c r="C33" s="2">
        <v>11.890243902439025</v>
      </c>
      <c r="D33" s="1">
        <v>180000</v>
      </c>
      <c r="E33" s="9" t="s">
        <v>51</v>
      </c>
      <c r="F33" s="9" t="s">
        <v>56</v>
      </c>
      <c r="G33" s="9" t="s">
        <v>57</v>
      </c>
    </row>
    <row r="34" spans="1:7" x14ac:dyDescent="0.2">
      <c r="A34" s="4">
        <v>8604</v>
      </c>
      <c r="B34" s="10" t="s">
        <v>55</v>
      </c>
      <c r="C34" s="2">
        <v>49.542682926829272</v>
      </c>
      <c r="D34" s="1">
        <v>12000</v>
      </c>
      <c r="E34" s="9" t="s">
        <v>57</v>
      </c>
      <c r="F34" s="9" t="s">
        <v>56</v>
      </c>
      <c r="G34" s="9" t="s">
        <v>51</v>
      </c>
    </row>
    <row r="35" spans="1:7" x14ac:dyDescent="0.2">
      <c r="A35" s="4">
        <v>8603</v>
      </c>
      <c r="B35" s="3" t="s">
        <v>43</v>
      </c>
      <c r="C35" s="2">
        <v>7.9268292682926838</v>
      </c>
      <c r="D35" s="1">
        <v>120000</v>
      </c>
      <c r="E35" s="9" t="s">
        <v>51</v>
      </c>
      <c r="F35" s="9" t="s">
        <v>56</v>
      </c>
      <c r="G35" s="9" t="s">
        <v>57</v>
      </c>
    </row>
    <row r="36" spans="1:7" x14ac:dyDescent="0.2">
      <c r="A36" s="4">
        <v>7303</v>
      </c>
      <c r="B36" s="3" t="s">
        <v>16</v>
      </c>
      <c r="C36" s="2">
        <v>23.780487804878049</v>
      </c>
      <c r="D36" s="1">
        <v>3600</v>
      </c>
      <c r="E36" s="9" t="s">
        <v>51</v>
      </c>
      <c r="F36" s="9" t="s">
        <v>53</v>
      </c>
      <c r="G36" s="9" t="s">
        <v>56</v>
      </c>
    </row>
    <row r="37" spans="1:7" x14ac:dyDescent="0.2">
      <c r="A37" s="4">
        <v>1716</v>
      </c>
      <c r="B37" s="3" t="s">
        <v>24</v>
      </c>
      <c r="C37" s="2">
        <v>634.14634146341473</v>
      </c>
      <c r="D37" s="1">
        <v>280</v>
      </c>
      <c r="E37" s="9" t="s">
        <v>52</v>
      </c>
      <c r="F37" s="9" t="s">
        <v>56</v>
      </c>
      <c r="G37" s="9" t="s">
        <v>51</v>
      </c>
    </row>
    <row r="38" spans="1:7" x14ac:dyDescent="0.2">
      <c r="A38" s="4">
        <v>1713</v>
      </c>
      <c r="B38" s="3" t="s">
        <v>27</v>
      </c>
      <c r="C38" s="2">
        <v>53.506097560975611</v>
      </c>
      <c r="D38" s="1">
        <v>4440</v>
      </c>
      <c r="E38" s="9" t="s">
        <v>52</v>
      </c>
      <c r="F38" s="9" t="s">
        <v>56</v>
      </c>
      <c r="G38" s="9" t="s">
        <v>51</v>
      </c>
    </row>
    <row r="39" spans="1:7" x14ac:dyDescent="0.2">
      <c r="A39" s="4">
        <v>1712</v>
      </c>
      <c r="B39" s="3" t="s">
        <v>5</v>
      </c>
      <c r="C39" s="2">
        <v>7.7286585365853666</v>
      </c>
      <c r="D39" s="1">
        <v>1920</v>
      </c>
      <c r="E39" s="9" t="s">
        <v>51</v>
      </c>
      <c r="F39" s="9" t="s">
        <v>52</v>
      </c>
      <c r="G39" s="9" t="s">
        <v>56</v>
      </c>
    </row>
    <row r="40" spans="1:7" x14ac:dyDescent="0.2">
      <c r="A40" s="4">
        <v>4802</v>
      </c>
      <c r="B40" s="3" t="s">
        <v>38</v>
      </c>
      <c r="C40" s="2">
        <v>29.725609756097562</v>
      </c>
      <c r="D40" s="1">
        <v>18000</v>
      </c>
      <c r="E40" s="9" t="s">
        <v>58</v>
      </c>
      <c r="F40" s="9" t="s">
        <v>51</v>
      </c>
      <c r="G40" s="9" t="s">
        <v>56</v>
      </c>
    </row>
    <row r="41" spans="1:7" x14ac:dyDescent="0.2">
      <c r="A41" s="4">
        <v>1714</v>
      </c>
      <c r="B41" s="3" t="s">
        <v>42</v>
      </c>
      <c r="C41" s="2">
        <v>5.1524390243902447</v>
      </c>
      <c r="D41" s="1">
        <v>180000</v>
      </c>
      <c r="E41" s="9" t="s">
        <v>51</v>
      </c>
      <c r="F41" s="9" t="s">
        <v>52</v>
      </c>
      <c r="G41" s="9" t="s">
        <v>56</v>
      </c>
    </row>
    <row r="42" spans="1:7" x14ac:dyDescent="0.2">
      <c r="A42" s="4">
        <v>1715</v>
      </c>
      <c r="B42" s="3" t="s">
        <v>41</v>
      </c>
      <c r="C42" s="2">
        <v>5.1524390243902447</v>
      </c>
      <c r="D42" s="1">
        <v>180000</v>
      </c>
      <c r="E42" s="9" t="s">
        <v>51</v>
      </c>
      <c r="F42" s="9" t="s">
        <v>52</v>
      </c>
      <c r="G42" s="9" t="s">
        <v>56</v>
      </c>
    </row>
    <row r="43" spans="1:7" x14ac:dyDescent="0.2">
      <c r="A43" s="4">
        <v>4801</v>
      </c>
      <c r="B43" s="3" t="s">
        <v>22</v>
      </c>
      <c r="C43" s="2">
        <v>35.670731707317074</v>
      </c>
      <c r="D43" s="1">
        <v>4027</v>
      </c>
      <c r="E43" s="9" t="s">
        <v>58</v>
      </c>
      <c r="F43" s="9" t="s">
        <v>51</v>
      </c>
      <c r="G43" s="9" t="s">
        <v>56</v>
      </c>
    </row>
    <row r="44" spans="1:7" x14ac:dyDescent="0.2">
      <c r="A44" s="4">
        <v>9903</v>
      </c>
      <c r="B44" s="3" t="s">
        <v>29</v>
      </c>
      <c r="C44" s="2">
        <v>217.98780487804879</v>
      </c>
      <c r="D44" s="1">
        <v>1200</v>
      </c>
      <c r="E44" s="9" t="s">
        <v>51</v>
      </c>
      <c r="F44" s="9" t="s">
        <v>53</v>
      </c>
      <c r="G44" s="9" t="s">
        <v>56</v>
      </c>
    </row>
    <row r="45" spans="1:7" x14ac:dyDescent="0.2">
      <c r="A45" s="4">
        <v>7305</v>
      </c>
      <c r="B45" s="3" t="s">
        <v>18</v>
      </c>
      <c r="C45" s="2">
        <v>79.268292682926841</v>
      </c>
      <c r="D45" s="1">
        <v>1200</v>
      </c>
      <c r="E45" s="9" t="s">
        <v>51</v>
      </c>
      <c r="F45" s="9" t="s">
        <v>53</v>
      </c>
      <c r="G45" s="9" t="s">
        <v>56</v>
      </c>
    </row>
    <row r="46" spans="1:7" x14ac:dyDescent="0.2">
      <c r="A46" s="4">
        <v>6505</v>
      </c>
      <c r="B46" s="3" t="s">
        <v>12</v>
      </c>
      <c r="C46" s="2">
        <v>21.79878048780488</v>
      </c>
      <c r="D46" s="1">
        <v>2400</v>
      </c>
      <c r="E46" s="9" t="s">
        <v>51</v>
      </c>
      <c r="F46" s="9" t="s">
        <v>53</v>
      </c>
      <c r="G46" s="9" t="s">
        <v>56</v>
      </c>
    </row>
    <row r="47" spans="1:7" x14ac:dyDescent="0.2">
      <c r="A47" s="4">
        <v>4803</v>
      </c>
      <c r="B47" s="3" t="s">
        <v>44</v>
      </c>
      <c r="C47" s="2">
        <v>15.853658536585368</v>
      </c>
      <c r="D47" s="1">
        <v>120000</v>
      </c>
      <c r="E47" s="9" t="s">
        <v>58</v>
      </c>
      <c r="F47" s="9" t="s">
        <v>51</v>
      </c>
      <c r="G47" s="9" t="s">
        <v>56</v>
      </c>
    </row>
    <row r="48" spans="1:7" x14ac:dyDescent="0.2">
      <c r="A48" s="4">
        <v>2201</v>
      </c>
      <c r="B48" s="3" t="s">
        <v>11</v>
      </c>
      <c r="C48" s="2">
        <v>110.97560975609757</v>
      </c>
      <c r="D48" s="1">
        <v>360</v>
      </c>
      <c r="E48" s="9" t="s">
        <v>54</v>
      </c>
      <c r="F48" s="9" t="s">
        <v>56</v>
      </c>
      <c r="G48" s="9" t="s">
        <v>51</v>
      </c>
    </row>
    <row r="49" spans="1:7" x14ac:dyDescent="0.2">
      <c r="A49" s="4">
        <v>2202</v>
      </c>
      <c r="B49" s="3" t="s">
        <v>19</v>
      </c>
      <c r="C49" s="2">
        <v>202.92682926829269</v>
      </c>
      <c r="D49" s="1">
        <v>480</v>
      </c>
      <c r="E49" s="9" t="s">
        <v>54</v>
      </c>
      <c r="F49" s="9" t="s">
        <v>56</v>
      </c>
      <c r="G49" s="9" t="s">
        <v>51</v>
      </c>
    </row>
    <row r="50" spans="1:7" x14ac:dyDescent="0.2">
      <c r="A50" s="4">
        <v>2203</v>
      </c>
      <c r="B50" s="3" t="s">
        <v>1</v>
      </c>
      <c r="C50" s="2">
        <v>237.80487804878049</v>
      </c>
      <c r="D50" s="1">
        <v>12</v>
      </c>
      <c r="E50" s="9" t="s">
        <v>54</v>
      </c>
      <c r="F50" s="9" t="s">
        <v>56</v>
      </c>
      <c r="G50" s="9" t="s">
        <v>51</v>
      </c>
    </row>
    <row r="51" spans="1:7" x14ac:dyDescent="0.2">
      <c r="A51" s="4">
        <v>5401</v>
      </c>
      <c r="B51" s="3" t="s">
        <v>8</v>
      </c>
      <c r="C51" s="2">
        <v>3.6661585365853662</v>
      </c>
      <c r="D51" s="1">
        <v>7200</v>
      </c>
      <c r="E51" s="9" t="s">
        <v>54</v>
      </c>
      <c r="F51" s="9" t="s">
        <v>56</v>
      </c>
      <c r="G51" s="9" t="s">
        <v>51</v>
      </c>
    </row>
    <row r="52" spans="1:7" x14ac:dyDescent="0.2">
      <c r="A52" s="4">
        <v>5402</v>
      </c>
      <c r="B52" s="3" t="s">
        <v>13</v>
      </c>
      <c r="C52" s="2">
        <v>4.9542682926829276</v>
      </c>
      <c r="D52" s="1">
        <v>10800</v>
      </c>
      <c r="E52" s="9" t="s">
        <v>54</v>
      </c>
      <c r="F52" s="9" t="s">
        <v>56</v>
      </c>
      <c r="G52" s="9" t="s">
        <v>51</v>
      </c>
    </row>
    <row r="53" spans="1:7" x14ac:dyDescent="0.2">
      <c r="A53" s="4">
        <v>5403</v>
      </c>
      <c r="B53" s="3" t="s">
        <v>9</v>
      </c>
      <c r="C53" s="2">
        <v>6.3414634146341466</v>
      </c>
      <c r="D53" s="1">
        <v>4800</v>
      </c>
      <c r="E53" s="9" t="s">
        <v>54</v>
      </c>
      <c r="F53" s="9" t="s">
        <v>56</v>
      </c>
      <c r="G53" s="9" t="s">
        <v>51</v>
      </c>
    </row>
    <row r="54" spans="1:7" x14ac:dyDescent="0.2">
      <c r="A54" s="4">
        <v>5404</v>
      </c>
      <c r="B54" s="3" t="s">
        <v>2</v>
      </c>
      <c r="C54" s="2">
        <v>9.5121951219512209</v>
      </c>
      <c r="D54" s="1">
        <v>1200</v>
      </c>
      <c r="E54" s="9" t="s">
        <v>54</v>
      </c>
      <c r="F54" s="9" t="s">
        <v>56</v>
      </c>
      <c r="G54" s="9" t="s">
        <v>51</v>
      </c>
    </row>
    <row r="55" spans="1:7" x14ac:dyDescent="0.2">
      <c r="A55" s="4">
        <v>6502</v>
      </c>
      <c r="B55" s="3" t="s">
        <v>33</v>
      </c>
      <c r="C55" s="2">
        <v>35.670731707317074</v>
      </c>
      <c r="D55" s="1">
        <v>12000</v>
      </c>
      <c r="E55" s="9" t="s">
        <v>51</v>
      </c>
      <c r="F55" s="9" t="s">
        <v>53</v>
      </c>
      <c r="G55" s="9" t="s">
        <v>56</v>
      </c>
    </row>
    <row r="56" spans="1:7" x14ac:dyDescent="0.2">
      <c r="A56" s="4">
        <v>6503</v>
      </c>
      <c r="B56" s="3" t="s">
        <v>25</v>
      </c>
      <c r="C56" s="2">
        <v>39.634146341463421</v>
      </c>
      <c r="D56" s="1">
        <v>4800</v>
      </c>
      <c r="E56" s="9" t="s">
        <v>51</v>
      </c>
      <c r="F56" s="9" t="s">
        <v>53</v>
      </c>
      <c r="G56" s="9" t="s">
        <v>56</v>
      </c>
    </row>
    <row r="57" spans="1:7" x14ac:dyDescent="0.2">
      <c r="A57" s="4">
        <v>6504</v>
      </c>
      <c r="B57" s="3" t="s">
        <v>31</v>
      </c>
      <c r="C57" s="2">
        <v>49.542682926829272</v>
      </c>
      <c r="D57" s="1">
        <v>6000</v>
      </c>
      <c r="E57" s="9" t="s">
        <v>51</v>
      </c>
      <c r="F57" s="9" t="s">
        <v>53</v>
      </c>
      <c r="G57" s="9" t="s">
        <v>56</v>
      </c>
    </row>
    <row r="58" spans="1:7" x14ac:dyDescent="0.2">
      <c r="A58" s="4">
        <v>6501</v>
      </c>
      <c r="B58" s="3" t="s">
        <v>32</v>
      </c>
      <c r="C58" s="2">
        <v>138.71951219512195</v>
      </c>
      <c r="D58" s="1">
        <v>2400</v>
      </c>
      <c r="E58" s="9" t="s">
        <v>51</v>
      </c>
      <c r="F58" s="9" t="s">
        <v>53</v>
      </c>
      <c r="G58" s="9" t="s">
        <v>56</v>
      </c>
    </row>
    <row r="59" spans="1:7" x14ac:dyDescent="0.2">
      <c r="A59" s="4">
        <v>7910</v>
      </c>
      <c r="B59" s="3" t="s">
        <v>0</v>
      </c>
      <c r="C59" s="2">
        <v>7.5304878048780486</v>
      </c>
      <c r="D59" s="1">
        <v>46</v>
      </c>
      <c r="E59" s="9" t="s">
        <v>57</v>
      </c>
      <c r="F59" s="9" t="s">
        <v>56</v>
      </c>
      <c r="G59" s="9" t="s">
        <v>51</v>
      </c>
    </row>
  </sheetData>
  <autoFilter ref="A11:G59">
    <sortState ref="A12:G59">
      <sortCondition ref="B11:B59"/>
    </sortState>
  </autoFilter>
  <sortState ref="A12:D59">
    <sortCondition ref="A2"/>
  </sortState>
  <pageMargins left="0.78740157499999996" right="0.22" top="0.45" bottom="0.66" header="0.26" footer="0.17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zoomScale="85" zoomScaleNormal="85" workbookViewId="0">
      <selection activeCell="G8" sqref="G8"/>
    </sheetView>
  </sheetViews>
  <sheetFormatPr baseColWidth="10" defaultRowHeight="12.75" x14ac:dyDescent="0.2"/>
  <cols>
    <col min="1" max="1" width="7.140625" bestFit="1" customWidth="1"/>
    <col min="2" max="3" width="12" customWidth="1"/>
    <col min="4" max="4" width="12.28515625" bestFit="1" customWidth="1"/>
    <col min="5" max="5" width="34.140625" bestFit="1" customWidth="1"/>
    <col min="6" max="6" width="14" bestFit="1" customWidth="1"/>
    <col min="7" max="7" width="14.42578125" bestFit="1" customWidth="1"/>
    <col min="8" max="8" width="18" customWidth="1"/>
    <col min="9" max="9" width="11.28515625" customWidth="1"/>
    <col min="10" max="10" width="17.7109375" customWidth="1"/>
    <col min="11" max="11" width="13.28515625" bestFit="1" customWidth="1"/>
    <col min="12" max="12" width="11.28515625" customWidth="1"/>
    <col min="13" max="13" width="19.140625" customWidth="1"/>
    <col min="15" max="15" width="18.7109375" customWidth="1"/>
    <col min="17" max="17" width="16.7109375" customWidth="1"/>
  </cols>
  <sheetData>
    <row r="1" spans="1:17" ht="63.4" customHeight="1" x14ac:dyDescent="0.2">
      <c r="A1" s="29" t="s">
        <v>67</v>
      </c>
      <c r="B1" s="29" t="s">
        <v>66</v>
      </c>
      <c r="C1" s="29" t="s">
        <v>50</v>
      </c>
      <c r="D1" s="29" t="s">
        <v>69</v>
      </c>
      <c r="E1" s="25" t="s">
        <v>49</v>
      </c>
      <c r="F1" s="25" t="s">
        <v>59</v>
      </c>
      <c r="G1" s="25" t="s">
        <v>47</v>
      </c>
      <c r="H1" s="25" t="s">
        <v>60</v>
      </c>
      <c r="I1" s="29" t="s">
        <v>68</v>
      </c>
      <c r="J1" s="25" t="s">
        <v>61</v>
      </c>
      <c r="K1" s="29" t="s">
        <v>65</v>
      </c>
      <c r="L1" s="48" t="s">
        <v>79</v>
      </c>
      <c r="M1" s="48" t="s">
        <v>80</v>
      </c>
      <c r="N1" s="49" t="s">
        <v>81</v>
      </c>
      <c r="O1" s="49" t="s">
        <v>82</v>
      </c>
      <c r="P1" s="50" t="s">
        <v>83</v>
      </c>
      <c r="Q1" s="50" t="s">
        <v>84</v>
      </c>
    </row>
    <row r="2" spans="1:17" x14ac:dyDescent="0.2">
      <c r="A2" s="31">
        <f>Tableau1[[#This Row],[N°]]/$B$49</f>
        <v>2.0833333333333332E-2</v>
      </c>
      <c r="B2" s="30">
        <v>1</v>
      </c>
      <c r="C2" s="42">
        <v>8602</v>
      </c>
      <c r="D2" s="42">
        <v>86</v>
      </c>
      <c r="E2" s="17" t="s">
        <v>46</v>
      </c>
      <c r="F2" s="18">
        <v>11.890243902439025</v>
      </c>
      <c r="G2" s="20">
        <v>180000</v>
      </c>
      <c r="H2" s="21">
        <f>Tableau1[[#This Row],[Prix unitaire]]*Tableau1[[#This Row],[Quantité]]</f>
        <v>2140243.9024390243</v>
      </c>
      <c r="I2" s="33">
        <f>Tableau1[[#This Row],[CA Annuel]]/Tableau1[[#Totals],[CA Annuel]]</f>
        <v>0.12511508270663038</v>
      </c>
      <c r="J2" s="21">
        <f>Tableau1[[#This Row],[CA Annuel]]</f>
        <v>2140243.9024390243</v>
      </c>
      <c r="K2" s="33">
        <f>Tableau1[[#This Row],[CA Cumulé]]/Tableau1[[#Totals],[CA Annuel]]</f>
        <v>0.12511508270663038</v>
      </c>
      <c r="L2" s="22" t="s">
        <v>51</v>
      </c>
      <c r="M2" s="34">
        <f>Tableau1[[#This Row],[CA Annuel]]*0.5</f>
        <v>1070121.9512195121</v>
      </c>
      <c r="N2" s="22" t="s">
        <v>56</v>
      </c>
      <c r="O2" s="34">
        <f>Tableau1[[#This Row],[CA Annuel]]*0.3</f>
        <v>642073.17073170724</v>
      </c>
      <c r="P2" s="22" t="s">
        <v>57</v>
      </c>
      <c r="Q2" s="34">
        <f>Tableau1[[#This Row],[CA Annuel]]*0.2</f>
        <v>428048.78048780491</v>
      </c>
    </row>
    <row r="3" spans="1:17" x14ac:dyDescent="0.2">
      <c r="A3" s="31">
        <f>Tableau1[[#This Row],[N°]]/$B$49</f>
        <v>6.25E-2</v>
      </c>
      <c r="B3" s="30">
        <v>3</v>
      </c>
      <c r="C3" s="42">
        <v>8601</v>
      </c>
      <c r="D3" s="42">
        <v>86</v>
      </c>
      <c r="E3" s="17" t="s">
        <v>45</v>
      </c>
      <c r="F3" s="18">
        <v>15.853658536585368</v>
      </c>
      <c r="G3" s="20">
        <v>120000</v>
      </c>
      <c r="H3" s="21">
        <f>Tableau1[[#This Row],[Prix unitaire]]*Tableau1[[#This Row],[Quantité]]</f>
        <v>1902439.0243902442</v>
      </c>
      <c r="I3" s="33">
        <f>Tableau1[[#This Row],[CA Annuel]]/Tableau1[[#Totals],[CA Annuel]]</f>
        <v>0.11121340685033815</v>
      </c>
      <c r="J3" s="21">
        <f>Tableau1[[#This Row],[CA Annuel]]+J2</f>
        <v>4042682.9268292682</v>
      </c>
      <c r="K3" s="33">
        <f>Tableau1[[#This Row],[CA Cumulé]]/Tableau1[[#Totals],[CA Annuel]]</f>
        <v>0.2363284895569685</v>
      </c>
      <c r="L3" s="22" t="s">
        <v>51</v>
      </c>
      <c r="M3" s="34">
        <f>Tableau1[[#This Row],[CA Annuel]]*0.5</f>
        <v>951219.51219512208</v>
      </c>
      <c r="N3" s="22" t="s">
        <v>56</v>
      </c>
      <c r="O3" s="34">
        <f>Tableau1[[#This Row],[CA Annuel]]*0.3</f>
        <v>570731.70731707325</v>
      </c>
      <c r="P3" s="22" t="s">
        <v>57</v>
      </c>
      <c r="Q3" s="34">
        <f>Tableau1[[#This Row],[CA Annuel]]*0.2</f>
        <v>380487.80487804883</v>
      </c>
    </row>
    <row r="4" spans="1:17" x14ac:dyDescent="0.2">
      <c r="A4" s="31">
        <f>Tableau1[[#This Row],[N°]]/$B$49</f>
        <v>4.1666666666666664E-2</v>
      </c>
      <c r="B4" s="30">
        <v>2</v>
      </c>
      <c r="C4" s="42">
        <v>4803</v>
      </c>
      <c r="D4" s="42">
        <v>48</v>
      </c>
      <c r="E4" s="17" t="s">
        <v>44</v>
      </c>
      <c r="F4" s="18">
        <v>15.853658536585368</v>
      </c>
      <c r="G4" s="20">
        <v>120000</v>
      </c>
      <c r="H4" s="21">
        <f>Tableau1[[#This Row],[Prix unitaire]]*Tableau1[[#This Row],[Quantité]]</f>
        <v>1902439.0243902442</v>
      </c>
      <c r="I4" s="33">
        <f>Tableau1[[#This Row],[CA Annuel]]/Tableau1[[#Totals],[CA Annuel]]</f>
        <v>0.11121340685033815</v>
      </c>
      <c r="J4" s="21">
        <f>Tableau1[[#This Row],[CA Annuel]]+J3</f>
        <v>5945121.9512195121</v>
      </c>
      <c r="K4" s="33">
        <f>Tableau1[[#This Row],[CA Cumulé]]/Tableau1[[#Totals],[CA Annuel]]</f>
        <v>0.34754189640730665</v>
      </c>
      <c r="L4" s="22" t="s">
        <v>58</v>
      </c>
      <c r="M4" s="34">
        <f>Tableau1[[#This Row],[CA Annuel]]*0.5</f>
        <v>951219.51219512208</v>
      </c>
      <c r="N4" s="22" t="s">
        <v>51</v>
      </c>
      <c r="O4" s="34">
        <f>Tableau1[[#This Row],[CA Annuel]]*0.3</f>
        <v>570731.70731707325</v>
      </c>
      <c r="P4" s="22" t="s">
        <v>56</v>
      </c>
      <c r="Q4" s="34">
        <f>Tableau1[[#This Row],[CA Annuel]]*0.2</f>
        <v>380487.80487804883</v>
      </c>
    </row>
    <row r="5" spans="1:17" x14ac:dyDescent="0.2">
      <c r="A5" s="31">
        <f>Tableau1[[#This Row],[N°]]/$B$49</f>
        <v>8.3333333333333329E-2</v>
      </c>
      <c r="B5" s="30">
        <v>4</v>
      </c>
      <c r="C5" s="42">
        <v>8603</v>
      </c>
      <c r="D5" s="42">
        <v>86</v>
      </c>
      <c r="E5" s="17" t="s">
        <v>43</v>
      </c>
      <c r="F5" s="18">
        <v>7.9268292682926838</v>
      </c>
      <c r="G5" s="20">
        <v>120000</v>
      </c>
      <c r="H5" s="21">
        <f>Tableau1[[#This Row],[Prix unitaire]]*Tableau1[[#This Row],[Quantité]]</f>
        <v>951219.51219512208</v>
      </c>
      <c r="I5" s="33">
        <f>Tableau1[[#This Row],[CA Annuel]]/Tableau1[[#Totals],[CA Annuel]]</f>
        <v>5.5606703425169074E-2</v>
      </c>
      <c r="J5" s="21">
        <f>Tableau1[[#This Row],[CA Annuel]]+J4</f>
        <v>6896341.4634146346</v>
      </c>
      <c r="K5" s="33">
        <f>Tableau1[[#This Row],[CA Cumulé]]/Tableau1[[#Totals],[CA Annuel]]</f>
        <v>0.40314859983247575</v>
      </c>
      <c r="L5" s="22" t="s">
        <v>51</v>
      </c>
      <c r="M5" s="34">
        <f>Tableau1[[#This Row],[CA Annuel]]*0.5</f>
        <v>475609.75609756104</v>
      </c>
      <c r="N5" s="22" t="s">
        <v>56</v>
      </c>
      <c r="O5" s="34">
        <f>Tableau1[[#This Row],[CA Annuel]]*0.3</f>
        <v>285365.85365853662</v>
      </c>
      <c r="P5" s="22" t="s">
        <v>57</v>
      </c>
      <c r="Q5" s="34">
        <f>Tableau1[[#This Row],[CA Annuel]]*0.2</f>
        <v>190243.90243902442</v>
      </c>
    </row>
    <row r="6" spans="1:17" x14ac:dyDescent="0.2">
      <c r="A6" s="31">
        <f>Tableau1[[#This Row],[N°]]/$B$49</f>
        <v>0.10416666666666667</v>
      </c>
      <c r="B6" s="30">
        <v>5</v>
      </c>
      <c r="C6" s="42">
        <v>1714</v>
      </c>
      <c r="D6" s="42">
        <v>17</v>
      </c>
      <c r="E6" s="17" t="s">
        <v>42</v>
      </c>
      <c r="F6" s="18">
        <v>5.1524390243902447</v>
      </c>
      <c r="G6" s="20">
        <v>180000</v>
      </c>
      <c r="H6" s="21">
        <f>Tableau1[[#This Row],[Prix unitaire]]*Tableau1[[#This Row],[Quantité]]</f>
        <v>927439.02439024404</v>
      </c>
      <c r="I6" s="33">
        <f>Tableau1[[#This Row],[CA Annuel]]/Tableau1[[#Totals],[CA Annuel]]</f>
        <v>5.4216535839539844E-2</v>
      </c>
      <c r="J6" s="21">
        <f>Tableau1[[#This Row],[CA Annuel]]+J5</f>
        <v>7823780.4878048785</v>
      </c>
      <c r="K6" s="33">
        <f>Tableau1[[#This Row],[CA Cumulé]]/Tableau1[[#Totals],[CA Annuel]]</f>
        <v>0.45736513567201559</v>
      </c>
      <c r="L6" s="22" t="s">
        <v>51</v>
      </c>
      <c r="M6" s="34">
        <f>Tableau1[[#This Row],[CA Annuel]]*0.5</f>
        <v>463719.51219512202</v>
      </c>
      <c r="N6" s="22" t="s">
        <v>52</v>
      </c>
      <c r="O6" s="34">
        <f>Tableau1[[#This Row],[CA Annuel]]*0.3</f>
        <v>278231.70731707319</v>
      </c>
      <c r="P6" s="22" t="s">
        <v>56</v>
      </c>
      <c r="Q6" s="34">
        <f>Tableau1[[#This Row],[CA Annuel]]*0.2</f>
        <v>185487.80487804883</v>
      </c>
    </row>
    <row r="7" spans="1:17" x14ac:dyDescent="0.2">
      <c r="A7" s="31">
        <f>Tableau1[[#This Row],[N°]]/$B$49</f>
        <v>0.125</v>
      </c>
      <c r="B7" s="30">
        <v>6</v>
      </c>
      <c r="C7" s="42">
        <v>1715</v>
      </c>
      <c r="D7" s="42">
        <v>17</v>
      </c>
      <c r="E7" s="17" t="s">
        <v>41</v>
      </c>
      <c r="F7" s="18">
        <v>5.1524390243902447</v>
      </c>
      <c r="G7" s="20">
        <v>180000</v>
      </c>
      <c r="H7" s="21">
        <f>Tableau1[[#This Row],[Prix unitaire]]*Tableau1[[#This Row],[Quantité]]</f>
        <v>927439.02439024404</v>
      </c>
      <c r="I7" s="33">
        <f>Tableau1[[#This Row],[CA Annuel]]/Tableau1[[#Totals],[CA Annuel]]</f>
        <v>5.4216535839539844E-2</v>
      </c>
      <c r="J7" s="21">
        <f>Tableau1[[#This Row],[CA Annuel]]+J6</f>
        <v>8751219.5121951234</v>
      </c>
      <c r="K7" s="33">
        <f>Tableau1[[#This Row],[CA Cumulé]]/Tableau1[[#Totals],[CA Annuel]]</f>
        <v>0.51158167151155542</v>
      </c>
      <c r="L7" s="22" t="s">
        <v>51</v>
      </c>
      <c r="M7" s="34">
        <f>Tableau1[[#This Row],[CA Annuel]]*0.5</f>
        <v>463719.51219512202</v>
      </c>
      <c r="N7" s="22" t="s">
        <v>52</v>
      </c>
      <c r="O7" s="34">
        <f>Tableau1[[#This Row],[CA Annuel]]*0.3</f>
        <v>278231.70731707319</v>
      </c>
      <c r="P7" s="22" t="s">
        <v>56</v>
      </c>
      <c r="Q7" s="34">
        <f>Tableau1[[#This Row],[CA Annuel]]*0.2</f>
        <v>185487.80487804883</v>
      </c>
    </row>
    <row r="8" spans="1:17" x14ac:dyDescent="0.2">
      <c r="A8" s="31">
        <f>Tableau1[[#This Row],[N°]]/$B$49</f>
        <v>0.14583333333333334</v>
      </c>
      <c r="B8" s="30">
        <v>7</v>
      </c>
      <c r="C8" s="42">
        <v>9901</v>
      </c>
      <c r="D8" s="42">
        <v>99</v>
      </c>
      <c r="E8" s="17" t="s">
        <v>40</v>
      </c>
      <c r="F8" s="18">
        <v>693.59756097560978</v>
      </c>
      <c r="G8" s="20">
        <v>1080</v>
      </c>
      <c r="H8" s="21">
        <f>Tableau1[[#This Row],[Prix unitaire]]*Tableau1[[#This Row],[Quantité]]</f>
        <v>749085.36585365853</v>
      </c>
      <c r="I8" s="33">
        <f>Tableau1[[#This Row],[CA Annuel]]/Tableau1[[#Totals],[CA Annuel]]</f>
        <v>4.3790278947320634E-2</v>
      </c>
      <c r="J8" s="21">
        <f>Tableau1[[#This Row],[CA Annuel]]+J7</f>
        <v>9500304.8780487813</v>
      </c>
      <c r="K8" s="33">
        <f>Tableau1[[#This Row],[CA Cumulé]]/Tableau1[[#Totals],[CA Annuel]]</f>
        <v>0.55537195045887611</v>
      </c>
      <c r="L8" s="22" t="s">
        <v>51</v>
      </c>
      <c r="M8" s="34">
        <f>Tableau1[[#This Row],[CA Annuel]]*0.5</f>
        <v>374542.68292682926</v>
      </c>
      <c r="N8" s="22" t="s">
        <v>53</v>
      </c>
      <c r="O8" s="34">
        <f>Tableau1[[#This Row],[CA Annuel]]*0.3</f>
        <v>224725.60975609755</v>
      </c>
      <c r="P8" s="22" t="s">
        <v>56</v>
      </c>
      <c r="Q8" s="34">
        <f>Tableau1[[#This Row],[CA Annuel]]*0.2</f>
        <v>149817.07317073172</v>
      </c>
    </row>
    <row r="9" spans="1:17" x14ac:dyDescent="0.2">
      <c r="A9" s="31">
        <f>Tableau1[[#This Row],[N°]]/$B$49</f>
        <v>0.16666666666666666</v>
      </c>
      <c r="B9" s="30">
        <v>8</v>
      </c>
      <c r="C9" s="42">
        <v>8604</v>
      </c>
      <c r="D9" s="42">
        <v>86</v>
      </c>
      <c r="E9" s="19" t="s">
        <v>55</v>
      </c>
      <c r="F9" s="18">
        <v>49.542682926829272</v>
      </c>
      <c r="G9" s="20">
        <v>12000</v>
      </c>
      <c r="H9" s="21">
        <f>Tableau1[[#This Row],[Prix unitaire]]*Tableau1[[#This Row],[Quantité]]</f>
        <v>594512.19512195128</v>
      </c>
      <c r="I9" s="33">
        <f>Tableau1[[#This Row],[CA Annuel]]/Tableau1[[#Totals],[CA Annuel]]</f>
        <v>3.4754189640730668E-2</v>
      </c>
      <c r="J9" s="21">
        <f>Tableau1[[#This Row],[CA Annuel]]+J8</f>
        <v>10094817.073170733</v>
      </c>
      <c r="K9" s="33">
        <f>Tableau1[[#This Row],[CA Cumulé]]/Tableau1[[#Totals],[CA Annuel]]</f>
        <v>0.59012614009960673</v>
      </c>
      <c r="L9" s="22" t="s">
        <v>57</v>
      </c>
      <c r="M9" s="34">
        <f>Tableau1[[#This Row],[CA Annuel]]*0.5</f>
        <v>297256.09756097564</v>
      </c>
      <c r="N9" s="22" t="s">
        <v>56</v>
      </c>
      <c r="O9" s="34">
        <f>Tableau1[[#This Row],[CA Annuel]]*0.3</f>
        <v>178353.65853658537</v>
      </c>
      <c r="P9" s="22" t="s">
        <v>51</v>
      </c>
      <c r="Q9" s="34">
        <f>Tableau1[[#This Row],[CA Annuel]]*0.2</f>
        <v>118902.43902439026</v>
      </c>
    </row>
    <row r="10" spans="1:17" x14ac:dyDescent="0.2">
      <c r="A10" s="31">
        <f>Tableau1[[#This Row],[N°]]/$B$49</f>
        <v>0.1875</v>
      </c>
      <c r="B10" s="30">
        <v>9</v>
      </c>
      <c r="C10" s="42">
        <v>2312</v>
      </c>
      <c r="D10" s="42">
        <v>23</v>
      </c>
      <c r="E10" s="17" t="s">
        <v>39</v>
      </c>
      <c r="F10" s="18">
        <v>792.68292682926835</v>
      </c>
      <c r="G10" s="20">
        <v>720</v>
      </c>
      <c r="H10" s="21">
        <f>Tableau1[[#This Row],[Prix unitaire]]*Tableau1[[#This Row],[Quantité]]</f>
        <v>570731.70731707325</v>
      </c>
      <c r="I10" s="33">
        <f>Tableau1[[#This Row],[CA Annuel]]/Tableau1[[#Totals],[CA Annuel]]</f>
        <v>3.3364022055101444E-2</v>
      </c>
      <c r="J10" s="21">
        <f>Tableau1[[#This Row],[CA Annuel]]+J9</f>
        <v>10665548.780487806</v>
      </c>
      <c r="K10" s="33">
        <f>Tableau1[[#This Row],[CA Cumulé]]/Tableau1[[#Totals],[CA Annuel]]</f>
        <v>0.62349016215470821</v>
      </c>
      <c r="L10" s="22" t="s">
        <v>53</v>
      </c>
      <c r="M10" s="34">
        <f>Tableau1[[#This Row],[CA Annuel]]*0.5</f>
        <v>285365.85365853662</v>
      </c>
      <c r="N10" s="22" t="s">
        <v>56</v>
      </c>
      <c r="O10" s="34">
        <f>Tableau1[[#This Row],[CA Annuel]]*0.5</f>
        <v>285365.85365853662</v>
      </c>
      <c r="P10" s="23"/>
      <c r="Q10" s="35"/>
    </row>
    <row r="11" spans="1:17" x14ac:dyDescent="0.2">
      <c r="A11" s="31">
        <f>Tableau1[[#This Row],[N°]]/$B$49</f>
        <v>0.20833333333333334</v>
      </c>
      <c r="B11" s="30">
        <v>10</v>
      </c>
      <c r="C11" s="42">
        <v>4802</v>
      </c>
      <c r="D11" s="42">
        <v>48</v>
      </c>
      <c r="E11" s="17" t="s">
        <v>38</v>
      </c>
      <c r="F11" s="18">
        <v>29.725609756097562</v>
      </c>
      <c r="G11" s="20">
        <v>18000</v>
      </c>
      <c r="H11" s="21">
        <f>Tableau1[[#This Row],[Prix unitaire]]*Tableau1[[#This Row],[Quantité]]</f>
        <v>535060.97560975607</v>
      </c>
      <c r="I11" s="33">
        <f>Tableau1[[#This Row],[CA Annuel]]/Tableau1[[#Totals],[CA Annuel]]</f>
        <v>3.1278770676657595E-2</v>
      </c>
      <c r="J11" s="21">
        <f>Tableau1[[#This Row],[CA Annuel]]+J10</f>
        <v>11200609.756097563</v>
      </c>
      <c r="K11" s="33">
        <f>Tableau1[[#This Row],[CA Cumulé]]/Tableau1[[#Totals],[CA Annuel]]</f>
        <v>0.65476893283136584</v>
      </c>
      <c r="L11" s="22" t="s">
        <v>58</v>
      </c>
      <c r="M11" s="34">
        <f>Tableau1[[#This Row],[CA Annuel]]*0.5</f>
        <v>267530.48780487804</v>
      </c>
      <c r="N11" s="22" t="s">
        <v>51</v>
      </c>
      <c r="O11" s="34">
        <f>Tableau1[[#This Row],[CA Annuel]]*0.3</f>
        <v>160518.29268292681</v>
      </c>
      <c r="P11" s="22" t="s">
        <v>56</v>
      </c>
      <c r="Q11" s="34">
        <f>Tableau1[[#This Row],[CA Annuel]]*0.2</f>
        <v>107012.19512195123</v>
      </c>
    </row>
    <row r="12" spans="1:17" x14ac:dyDescent="0.2">
      <c r="A12" s="31">
        <f>Tableau1[[#This Row],[N°]]/$B$49</f>
        <v>0.22916666666666666</v>
      </c>
      <c r="B12" s="30">
        <v>11</v>
      </c>
      <c r="C12" s="42">
        <v>2310</v>
      </c>
      <c r="D12" s="42">
        <v>23</v>
      </c>
      <c r="E12" s="17" t="s">
        <v>37</v>
      </c>
      <c r="F12" s="18">
        <v>634.14634146341473</v>
      </c>
      <c r="G12" s="20">
        <v>780</v>
      </c>
      <c r="H12" s="21">
        <f>Tableau1[[#This Row],[Prix unitaire]]*Tableau1[[#This Row],[Quantité]]</f>
        <v>494634.14634146349</v>
      </c>
      <c r="I12" s="33">
        <f>Tableau1[[#This Row],[CA Annuel]]/Tableau1[[#Totals],[CA Annuel]]</f>
        <v>2.8915485781087918E-2</v>
      </c>
      <c r="J12" s="21">
        <f>Tableau1[[#This Row],[CA Annuel]]+J11</f>
        <v>11695243.902439026</v>
      </c>
      <c r="K12" s="33">
        <f>Tableau1[[#This Row],[CA Cumulé]]/Tableau1[[#Totals],[CA Annuel]]</f>
        <v>0.68368441861245377</v>
      </c>
      <c r="L12" s="22" t="s">
        <v>53</v>
      </c>
      <c r="M12" s="34">
        <f>Tableau1[[#This Row],[CA Annuel]]*0.5</f>
        <v>247317.07317073175</v>
      </c>
      <c r="N12" s="22" t="s">
        <v>56</v>
      </c>
      <c r="O12" s="34">
        <f>Tableau1[[#This Row],[CA Annuel]]*0.5</f>
        <v>247317.07317073175</v>
      </c>
      <c r="P12" s="23"/>
      <c r="Q12" s="35"/>
    </row>
    <row r="13" spans="1:17" x14ac:dyDescent="0.2">
      <c r="A13" s="31">
        <f>Tableau1[[#This Row],[N°]]/$B$49</f>
        <v>0.29166666666666669</v>
      </c>
      <c r="B13" s="30">
        <v>14</v>
      </c>
      <c r="C13" s="42">
        <v>1717</v>
      </c>
      <c r="D13" s="42">
        <v>17</v>
      </c>
      <c r="E13" s="17" t="s">
        <v>34</v>
      </c>
      <c r="F13" s="18">
        <v>18.826219512195124</v>
      </c>
      <c r="G13" s="20">
        <v>24000</v>
      </c>
      <c r="H13" s="21">
        <f>Tableau1[[#This Row],[Prix unitaire]]*Tableau1[[#This Row],[Quantité]]</f>
        <v>451829.26829268294</v>
      </c>
      <c r="I13" s="33">
        <f>Tableau1[[#This Row],[CA Annuel]]/Tableau1[[#Totals],[CA Annuel]]</f>
        <v>2.6413184126955307E-2</v>
      </c>
      <c r="J13" s="21">
        <f>Tableau1[[#This Row],[CA Annuel]]+J12</f>
        <v>12147073.170731708</v>
      </c>
      <c r="K13" s="33">
        <f>Tableau1[[#This Row],[CA Cumulé]]/Tableau1[[#Totals],[CA Annuel]]</f>
        <v>0.71009760273940903</v>
      </c>
      <c r="L13" s="22" t="s">
        <v>52</v>
      </c>
      <c r="M13" s="34">
        <f>Tableau1[[#This Row],[CA Annuel]]*0.5</f>
        <v>225914.63414634147</v>
      </c>
      <c r="N13" s="22" t="s">
        <v>56</v>
      </c>
      <c r="O13" s="34">
        <f>Tableau1[[#This Row],[CA Annuel]]*0.3</f>
        <v>135548.78048780488</v>
      </c>
      <c r="P13" s="22" t="s">
        <v>53</v>
      </c>
      <c r="Q13" s="34">
        <f>Tableau1[[#This Row],[CA Annuel]]*0.2</f>
        <v>90365.853658536595</v>
      </c>
    </row>
    <row r="14" spans="1:17" x14ac:dyDescent="0.2">
      <c r="A14" s="31">
        <f>Tableau1[[#This Row],[N°]]/$B$49</f>
        <v>0.25</v>
      </c>
      <c r="B14" s="30">
        <v>12</v>
      </c>
      <c r="C14" s="42">
        <v>1710</v>
      </c>
      <c r="D14" s="42">
        <v>17</v>
      </c>
      <c r="E14" s="17" t="s">
        <v>36</v>
      </c>
      <c r="F14" s="18">
        <v>7.5304878048780486</v>
      </c>
      <c r="G14" s="20">
        <v>60000</v>
      </c>
      <c r="H14" s="21">
        <f>Tableau1[[#This Row],[Prix unitaire]]*Tableau1[[#This Row],[Quantité]]</f>
        <v>451829.26829268294</v>
      </c>
      <c r="I14" s="33">
        <f>Tableau1[[#This Row],[CA Annuel]]/Tableau1[[#Totals],[CA Annuel]]</f>
        <v>2.6413184126955307E-2</v>
      </c>
      <c r="J14" s="21">
        <f>Tableau1[[#This Row],[CA Annuel]]+J13</f>
        <v>12598902.439024391</v>
      </c>
      <c r="K14" s="33">
        <f>Tableau1[[#This Row],[CA Cumulé]]/Tableau1[[#Totals],[CA Annuel]]</f>
        <v>0.73651078686636429</v>
      </c>
      <c r="L14" s="22" t="s">
        <v>52</v>
      </c>
      <c r="M14" s="34">
        <f>Tableau1[[#This Row],[CA Annuel]]*0.5</f>
        <v>225914.63414634147</v>
      </c>
      <c r="N14" s="22" t="s">
        <v>56</v>
      </c>
      <c r="O14" s="34">
        <f>Tableau1[[#This Row],[CA Annuel]]*0.3</f>
        <v>135548.78048780488</v>
      </c>
      <c r="P14" s="24" t="s">
        <v>53</v>
      </c>
      <c r="Q14" s="36">
        <f>Tableau1[[#This Row],[CA Annuel]]*0.2</f>
        <v>90365.853658536595</v>
      </c>
    </row>
    <row r="15" spans="1:17" x14ac:dyDescent="0.2">
      <c r="A15" s="31">
        <f>Tableau1[[#This Row],[N°]]/$B$49</f>
        <v>0.27083333333333331</v>
      </c>
      <c r="B15" s="30">
        <v>13</v>
      </c>
      <c r="C15" s="42">
        <v>1711</v>
      </c>
      <c r="D15" s="42">
        <v>17</v>
      </c>
      <c r="E15" s="17" t="s">
        <v>35</v>
      </c>
      <c r="F15" s="18">
        <v>7.5304878048780486</v>
      </c>
      <c r="G15" s="20">
        <v>60000</v>
      </c>
      <c r="H15" s="21">
        <f>Tableau1[[#This Row],[Prix unitaire]]*Tableau1[[#This Row],[Quantité]]</f>
        <v>451829.26829268294</v>
      </c>
      <c r="I15" s="33">
        <f>Tableau1[[#This Row],[CA Annuel]]/Tableau1[[#Totals],[CA Annuel]]</f>
        <v>2.6413184126955307E-2</v>
      </c>
      <c r="J15" s="21">
        <f>Tableau1[[#This Row],[CA Annuel]]+J14</f>
        <v>13050731.707317073</v>
      </c>
      <c r="K15" s="33">
        <f>Tableau1[[#This Row],[CA Cumulé]]/Tableau1[[#Totals],[CA Annuel]]</f>
        <v>0.76292397099331954</v>
      </c>
      <c r="L15" s="22" t="s">
        <v>51</v>
      </c>
      <c r="M15" s="34">
        <f>Tableau1[[#This Row],[CA Annuel]]*0.5</f>
        <v>225914.63414634147</v>
      </c>
      <c r="N15" s="22" t="s">
        <v>52</v>
      </c>
      <c r="O15" s="34">
        <f>Tableau1[[#This Row],[CA Annuel]]*0.3</f>
        <v>135548.78048780488</v>
      </c>
      <c r="P15" s="22" t="s">
        <v>56</v>
      </c>
      <c r="Q15" s="34">
        <f>Tableau1[[#This Row],[CA Annuel]]*0.2</f>
        <v>90365.853658536595</v>
      </c>
    </row>
    <row r="16" spans="1:17" x14ac:dyDescent="0.2">
      <c r="A16" s="31">
        <f>Tableau1[[#This Row],[N°]]/$B$49</f>
        <v>0.3125</v>
      </c>
      <c r="B16" s="30">
        <v>15</v>
      </c>
      <c r="C16" s="42">
        <v>6502</v>
      </c>
      <c r="D16" s="42">
        <v>65</v>
      </c>
      <c r="E16" s="17" t="s">
        <v>33</v>
      </c>
      <c r="F16" s="18">
        <v>35.670731707317074</v>
      </c>
      <c r="G16" s="20">
        <v>12000</v>
      </c>
      <c r="H16" s="21">
        <f>Tableau1[[#This Row],[Prix unitaire]]*Tableau1[[#This Row],[Quantité]]</f>
        <v>428048.78048780491</v>
      </c>
      <c r="I16" s="33">
        <f>Tableau1[[#This Row],[CA Annuel]]/Tableau1[[#Totals],[CA Annuel]]</f>
        <v>2.502301654132608E-2</v>
      </c>
      <c r="J16" s="21">
        <f>Tableau1[[#This Row],[CA Annuel]]+J15</f>
        <v>13478780.487804879</v>
      </c>
      <c r="K16" s="33">
        <f>Tableau1[[#This Row],[CA Cumulé]]/Tableau1[[#Totals],[CA Annuel]]</f>
        <v>0.78794698753464565</v>
      </c>
      <c r="L16" s="22" t="s">
        <v>51</v>
      </c>
      <c r="M16" s="34">
        <f>Tableau1[[#This Row],[CA Annuel]]*0.5</f>
        <v>214024.39024390245</v>
      </c>
      <c r="N16" s="22" t="s">
        <v>53</v>
      </c>
      <c r="O16" s="34">
        <f>Tableau1[[#This Row],[CA Annuel]]*0.3</f>
        <v>128414.63414634147</v>
      </c>
      <c r="P16" s="22" t="s">
        <v>56</v>
      </c>
      <c r="Q16" s="34">
        <f>Tableau1[[#This Row],[CA Annuel]]*0.2</f>
        <v>85609.756097560981</v>
      </c>
    </row>
    <row r="17" spans="1:17" x14ac:dyDescent="0.2">
      <c r="A17" s="31">
        <f>Tableau1[[#This Row],[N°]]/$B$49</f>
        <v>0.33333333333333331</v>
      </c>
      <c r="B17" s="30">
        <v>16</v>
      </c>
      <c r="C17" s="42">
        <v>6501</v>
      </c>
      <c r="D17" s="42">
        <v>65</v>
      </c>
      <c r="E17" s="17" t="s">
        <v>32</v>
      </c>
      <c r="F17" s="18">
        <v>138.71951219512195</v>
      </c>
      <c r="G17" s="20">
        <v>2400</v>
      </c>
      <c r="H17" s="21">
        <f>Tableau1[[#This Row],[Prix unitaire]]*Tableau1[[#This Row],[Quantité]]</f>
        <v>332926.8292682927</v>
      </c>
      <c r="I17" s="33">
        <f>Tableau1[[#This Row],[CA Annuel]]/Tableau1[[#Totals],[CA Annuel]]</f>
        <v>1.9462346198809172E-2</v>
      </c>
      <c r="J17" s="21">
        <f>Tableau1[[#This Row],[CA Annuel]]+J16</f>
        <v>13811707.317073172</v>
      </c>
      <c r="K17" s="33">
        <f>Tableau1[[#This Row],[CA Cumulé]]/Tableau1[[#Totals],[CA Annuel]]</f>
        <v>0.80740933373345491</v>
      </c>
      <c r="L17" s="22" t="s">
        <v>51</v>
      </c>
      <c r="M17" s="34">
        <f>Tableau1[[#This Row],[CA Annuel]]*0.5</f>
        <v>166463.41463414635</v>
      </c>
      <c r="N17" s="22" t="s">
        <v>53</v>
      </c>
      <c r="O17" s="34">
        <f>Tableau1[[#This Row],[CA Annuel]]*0.3</f>
        <v>99878.048780487807</v>
      </c>
      <c r="P17" s="22" t="s">
        <v>56</v>
      </c>
      <c r="Q17" s="34">
        <f>Tableau1[[#This Row],[CA Annuel]]*0.2</f>
        <v>66585.365853658543</v>
      </c>
    </row>
    <row r="18" spans="1:17" x14ac:dyDescent="0.2">
      <c r="A18" s="31">
        <f>Tableau1[[#This Row],[N°]]/$B$49</f>
        <v>0.35416666666666669</v>
      </c>
      <c r="B18" s="30">
        <v>17</v>
      </c>
      <c r="C18" s="42">
        <v>6504</v>
      </c>
      <c r="D18" s="42">
        <v>65</v>
      </c>
      <c r="E18" s="17" t="s">
        <v>31</v>
      </c>
      <c r="F18" s="18">
        <v>49.542682926829272</v>
      </c>
      <c r="G18" s="20">
        <v>6000</v>
      </c>
      <c r="H18" s="21">
        <f>Tableau1[[#This Row],[Prix unitaire]]*Tableau1[[#This Row],[Quantité]]</f>
        <v>297256.09756097564</v>
      </c>
      <c r="I18" s="33">
        <f>Tableau1[[#This Row],[CA Annuel]]/Tableau1[[#Totals],[CA Annuel]]</f>
        <v>1.7377094820365334E-2</v>
      </c>
      <c r="J18" s="21">
        <f>Tableau1[[#This Row],[CA Annuel]]+J17</f>
        <v>14108963.414634148</v>
      </c>
      <c r="K18" s="33">
        <f>Tableau1[[#This Row],[CA Cumulé]]/Tableau1[[#Totals],[CA Annuel]]</f>
        <v>0.82478642855382023</v>
      </c>
      <c r="L18" s="22" t="s">
        <v>51</v>
      </c>
      <c r="M18" s="34">
        <f>Tableau1[[#This Row],[CA Annuel]]*0.5</f>
        <v>148628.04878048782</v>
      </c>
      <c r="N18" s="22" t="s">
        <v>53</v>
      </c>
      <c r="O18" s="34">
        <f>Tableau1[[#This Row],[CA Annuel]]*0.3</f>
        <v>89176.829268292684</v>
      </c>
      <c r="P18" s="22" t="s">
        <v>56</v>
      </c>
      <c r="Q18" s="34">
        <f>Tableau1[[#This Row],[CA Annuel]]*0.2</f>
        <v>59451.21951219513</v>
      </c>
    </row>
    <row r="19" spans="1:17" x14ac:dyDescent="0.2">
      <c r="A19" s="31">
        <f>Tableau1[[#This Row],[N°]]/$B$49</f>
        <v>0.375</v>
      </c>
      <c r="B19" s="30">
        <v>18</v>
      </c>
      <c r="C19" s="42">
        <v>2311</v>
      </c>
      <c r="D19" s="42">
        <v>23</v>
      </c>
      <c r="E19" s="17" t="s">
        <v>30</v>
      </c>
      <c r="F19" s="18">
        <v>1189.0243902439024</v>
      </c>
      <c r="G19" s="20">
        <v>240</v>
      </c>
      <c r="H19" s="21">
        <f>Tableau1[[#This Row],[Prix unitaire]]*Tableau1[[#This Row],[Quantité]]</f>
        <v>285365.85365853657</v>
      </c>
      <c r="I19" s="33">
        <f>Tableau1[[#This Row],[CA Annuel]]/Tableau1[[#Totals],[CA Annuel]]</f>
        <v>1.6682011027550719E-2</v>
      </c>
      <c r="J19" s="21">
        <f>Tableau1[[#This Row],[CA Annuel]]+J18</f>
        <v>14394329.268292684</v>
      </c>
      <c r="K19" s="33">
        <f>Tableau1[[#This Row],[CA Cumulé]]/Tableau1[[#Totals],[CA Annuel]]</f>
        <v>0.84146843958137096</v>
      </c>
      <c r="L19" s="22" t="s">
        <v>53</v>
      </c>
      <c r="M19" s="34">
        <f>Tableau1[[#This Row],[CA Annuel]]*0.5</f>
        <v>142682.92682926828</v>
      </c>
      <c r="N19" s="22" t="s">
        <v>56</v>
      </c>
      <c r="O19" s="34">
        <f>Tableau1[[#This Row],[CA Annuel]]*0.5</f>
        <v>142682.92682926828</v>
      </c>
      <c r="P19" s="23"/>
      <c r="Q19" s="35"/>
    </row>
    <row r="20" spans="1:17" x14ac:dyDescent="0.2">
      <c r="A20" s="31">
        <f>Tableau1[[#This Row],[N°]]/$B$49</f>
        <v>0.39583333333333331</v>
      </c>
      <c r="B20" s="30">
        <v>19</v>
      </c>
      <c r="C20" s="42">
        <v>9903</v>
      </c>
      <c r="D20" s="42">
        <v>99</v>
      </c>
      <c r="E20" s="17" t="s">
        <v>29</v>
      </c>
      <c r="F20" s="18">
        <v>217.98780487804879</v>
      </c>
      <c r="G20" s="20">
        <v>1200</v>
      </c>
      <c r="H20" s="21">
        <f>Tableau1[[#This Row],[Prix unitaire]]*Tableau1[[#This Row],[Quantité]]</f>
        <v>261585.36585365856</v>
      </c>
      <c r="I20" s="33">
        <f>Tableau1[[#This Row],[CA Annuel]]/Tableau1[[#Totals],[CA Annuel]]</f>
        <v>1.5291843441921494E-2</v>
      </c>
      <c r="J20" s="21">
        <f>Tableau1[[#This Row],[CA Annuel]]+J19</f>
        <v>14655914.634146342</v>
      </c>
      <c r="K20" s="33">
        <f>Tableau1[[#This Row],[CA Cumulé]]/Tableau1[[#Totals],[CA Annuel]]</f>
        <v>0.85676028302329232</v>
      </c>
      <c r="L20" s="22" t="s">
        <v>51</v>
      </c>
      <c r="M20" s="34">
        <f>Tableau1[[#This Row],[CA Annuel]]*0.5</f>
        <v>130792.68292682928</v>
      </c>
      <c r="N20" s="22" t="s">
        <v>53</v>
      </c>
      <c r="O20" s="34">
        <f>Tableau1[[#This Row],[CA Annuel]]*0.3</f>
        <v>78475.609756097561</v>
      </c>
      <c r="P20" s="22" t="s">
        <v>56</v>
      </c>
      <c r="Q20" s="34">
        <f>Tableau1[[#This Row],[CA Annuel]]*0.2</f>
        <v>52317.073170731717</v>
      </c>
    </row>
    <row r="21" spans="1:17" x14ac:dyDescent="0.2">
      <c r="A21" s="31">
        <f>Tableau1[[#This Row],[N°]]/$B$49</f>
        <v>0.41666666666666669</v>
      </c>
      <c r="B21" s="30">
        <v>20</v>
      </c>
      <c r="C21" s="42">
        <v>7302</v>
      </c>
      <c r="D21" s="42">
        <v>73</v>
      </c>
      <c r="E21" s="17" t="s">
        <v>28</v>
      </c>
      <c r="F21" s="18">
        <v>69.359756097560975</v>
      </c>
      <c r="G21" s="20">
        <v>3600</v>
      </c>
      <c r="H21" s="21">
        <f>Tableau1[[#This Row],[Prix unitaire]]*Tableau1[[#This Row],[Quantité]]</f>
        <v>249695.12195121951</v>
      </c>
      <c r="I21" s="33">
        <f>Tableau1[[#This Row],[CA Annuel]]/Tableau1[[#Totals],[CA Annuel]]</f>
        <v>1.4596759649106878E-2</v>
      </c>
      <c r="J21" s="21">
        <f>Tableau1[[#This Row],[CA Annuel]]+J20</f>
        <v>14905609.756097561</v>
      </c>
      <c r="K21" s="33">
        <f>Tableau1[[#This Row],[CA Cumulé]]/Tableau1[[#Totals],[CA Annuel]]</f>
        <v>0.87135704267239922</v>
      </c>
      <c r="L21" s="22" t="s">
        <v>51</v>
      </c>
      <c r="M21" s="34">
        <f>Tableau1[[#This Row],[CA Annuel]]*0.5</f>
        <v>124847.56097560975</v>
      </c>
      <c r="N21" s="22" t="s">
        <v>53</v>
      </c>
      <c r="O21" s="34">
        <f>Tableau1[[#This Row],[CA Annuel]]*0.3</f>
        <v>74908.536585365844</v>
      </c>
      <c r="P21" s="22" t="s">
        <v>56</v>
      </c>
      <c r="Q21" s="34">
        <f>Tableau1[[#This Row],[CA Annuel]]*0.2</f>
        <v>49939.024390243903</v>
      </c>
    </row>
    <row r="22" spans="1:17" x14ac:dyDescent="0.2">
      <c r="A22" s="31">
        <f>Tableau1[[#This Row],[N°]]/$B$49</f>
        <v>0.4375</v>
      </c>
      <c r="B22" s="30">
        <v>21</v>
      </c>
      <c r="C22" s="42">
        <v>1713</v>
      </c>
      <c r="D22" s="42">
        <v>17</v>
      </c>
      <c r="E22" s="17" t="s">
        <v>27</v>
      </c>
      <c r="F22" s="18">
        <v>53.506097560975611</v>
      </c>
      <c r="G22" s="20">
        <v>4440</v>
      </c>
      <c r="H22" s="21">
        <f>Tableau1[[#This Row],[Prix unitaire]]*Tableau1[[#This Row],[Quantité]]</f>
        <v>237567.07317073172</v>
      </c>
      <c r="I22" s="33">
        <f>Tableau1[[#This Row],[CA Annuel]]/Tableau1[[#Totals],[CA Annuel]]</f>
        <v>1.3887774180435974E-2</v>
      </c>
      <c r="J22" s="21">
        <f>Tableau1[[#This Row],[CA Annuel]]+J21</f>
        <v>15143176.829268292</v>
      </c>
      <c r="K22" s="33">
        <f>Tableau1[[#This Row],[CA Cumulé]]/Tableau1[[#Totals],[CA Annuel]]</f>
        <v>0.88524481685283518</v>
      </c>
      <c r="L22" s="22" t="s">
        <v>52</v>
      </c>
      <c r="M22" s="34">
        <f>Tableau1[[#This Row],[CA Annuel]]*0.5</f>
        <v>118783.53658536586</v>
      </c>
      <c r="N22" s="22" t="s">
        <v>56</v>
      </c>
      <c r="O22" s="34">
        <f>Tableau1[[#This Row],[CA Annuel]]*0.3</f>
        <v>71270.121951219509</v>
      </c>
      <c r="P22" s="22" t="s">
        <v>51</v>
      </c>
      <c r="Q22" s="34">
        <f>Tableau1[[#This Row],[CA Annuel]]*0.2</f>
        <v>47513.414634146349</v>
      </c>
    </row>
    <row r="23" spans="1:17" x14ac:dyDescent="0.2">
      <c r="A23" s="31">
        <f>Tableau1[[#This Row],[N°]]/$B$49</f>
        <v>0.45833333333333331</v>
      </c>
      <c r="B23" s="30">
        <v>22</v>
      </c>
      <c r="C23" s="42">
        <v>7301</v>
      </c>
      <c r="D23" s="42">
        <v>73</v>
      </c>
      <c r="E23" s="17" t="s">
        <v>26</v>
      </c>
      <c r="F23" s="18">
        <v>128.8109756097561</v>
      </c>
      <c r="G23" s="20">
        <v>1800</v>
      </c>
      <c r="H23" s="21">
        <f>Tableau1[[#This Row],[Prix unitaire]]*Tableau1[[#This Row],[Quantité]]</f>
        <v>231859.75609756098</v>
      </c>
      <c r="I23" s="33">
        <f>Tableau1[[#This Row],[CA Annuel]]/Tableau1[[#Totals],[CA Annuel]]</f>
        <v>1.3554133959884959E-2</v>
      </c>
      <c r="J23" s="21">
        <f>Tableau1[[#This Row],[CA Annuel]]+J22</f>
        <v>15375036.585365852</v>
      </c>
      <c r="K23" s="33">
        <f>Tableau1[[#This Row],[CA Cumulé]]/Tableau1[[#Totals],[CA Annuel]]</f>
        <v>0.8987989508127201</v>
      </c>
      <c r="L23" s="22" t="s">
        <v>51</v>
      </c>
      <c r="M23" s="34">
        <f>Tableau1[[#This Row],[CA Annuel]]*0.5</f>
        <v>115929.87804878049</v>
      </c>
      <c r="N23" s="22" t="s">
        <v>53</v>
      </c>
      <c r="O23" s="34">
        <f>Tableau1[[#This Row],[CA Annuel]]*0.3</f>
        <v>69557.926829268297</v>
      </c>
      <c r="P23" s="22" t="s">
        <v>56</v>
      </c>
      <c r="Q23" s="34">
        <f>Tableau1[[#This Row],[CA Annuel]]*0.2</f>
        <v>46371.951219512201</v>
      </c>
    </row>
    <row r="24" spans="1:17" x14ac:dyDescent="0.2">
      <c r="A24" s="31">
        <f>Tableau1[[#This Row],[N°]]/$B$49</f>
        <v>0.47916666666666669</v>
      </c>
      <c r="B24" s="30">
        <v>23</v>
      </c>
      <c r="C24" s="42">
        <v>6503</v>
      </c>
      <c r="D24" s="42">
        <v>65</v>
      </c>
      <c r="E24" s="17" t="s">
        <v>25</v>
      </c>
      <c r="F24" s="18">
        <v>39.634146341463421</v>
      </c>
      <c r="G24" s="20">
        <v>4800</v>
      </c>
      <c r="H24" s="21">
        <f>Tableau1[[#This Row],[Prix unitaire]]*Tableau1[[#This Row],[Quantité]]</f>
        <v>190243.90243902442</v>
      </c>
      <c r="I24" s="33">
        <f>Tableau1[[#This Row],[CA Annuel]]/Tableau1[[#Totals],[CA Annuel]]</f>
        <v>1.1121340685033815E-2</v>
      </c>
      <c r="J24" s="21">
        <f>Tableau1[[#This Row],[CA Annuel]]+J23</f>
        <v>15565280.487804877</v>
      </c>
      <c r="K24" s="33">
        <f>Tableau1[[#This Row],[CA Cumulé]]/Tableau1[[#Totals],[CA Annuel]]</f>
        <v>0.90992029149775389</v>
      </c>
      <c r="L24" s="22" t="s">
        <v>51</v>
      </c>
      <c r="M24" s="34">
        <f>Tableau1[[#This Row],[CA Annuel]]*0.5</f>
        <v>95121.951219512208</v>
      </c>
      <c r="N24" s="22" t="s">
        <v>53</v>
      </c>
      <c r="O24" s="34">
        <f>Tableau1[[#This Row],[CA Annuel]]*0.3</f>
        <v>57073.170731707323</v>
      </c>
      <c r="P24" s="22" t="s">
        <v>56</v>
      </c>
      <c r="Q24" s="34">
        <f>Tableau1[[#This Row],[CA Annuel]]*0.2</f>
        <v>38048.780487804885</v>
      </c>
    </row>
    <row r="25" spans="1:17" x14ac:dyDescent="0.2">
      <c r="A25" s="31">
        <f>Tableau1[[#This Row],[N°]]/$B$49</f>
        <v>0.5</v>
      </c>
      <c r="B25" s="30">
        <v>24</v>
      </c>
      <c r="C25" s="42">
        <v>1716</v>
      </c>
      <c r="D25" s="42">
        <v>17</v>
      </c>
      <c r="E25" s="17" t="s">
        <v>24</v>
      </c>
      <c r="F25" s="18">
        <v>634.14634146341473</v>
      </c>
      <c r="G25" s="20">
        <v>280</v>
      </c>
      <c r="H25" s="21">
        <f>Tableau1[[#This Row],[Prix unitaire]]*Tableau1[[#This Row],[Quantité]]</f>
        <v>177560.97560975613</v>
      </c>
      <c r="I25" s="33">
        <f>Tableau1[[#This Row],[CA Annuel]]/Tableau1[[#Totals],[CA Annuel]]</f>
        <v>1.0379917972698226E-2</v>
      </c>
      <c r="J25" s="21">
        <f>Tableau1[[#This Row],[CA Annuel]]+J24</f>
        <v>15742841.463414634</v>
      </c>
      <c r="K25" s="33">
        <f>Tableau1[[#This Row],[CA Cumulé]]/Tableau1[[#Totals],[CA Annuel]]</f>
        <v>0.92030020947045221</v>
      </c>
      <c r="L25" s="22" t="s">
        <v>52</v>
      </c>
      <c r="M25" s="34">
        <f>Tableau1[[#This Row],[CA Annuel]]*0.5</f>
        <v>88780.487804878067</v>
      </c>
      <c r="N25" s="22" t="s">
        <v>56</v>
      </c>
      <c r="O25" s="34">
        <f>Tableau1[[#This Row],[CA Annuel]]*0.3</f>
        <v>53268.29268292684</v>
      </c>
      <c r="P25" s="22" t="s">
        <v>51</v>
      </c>
      <c r="Q25" s="34">
        <f>Tableau1[[#This Row],[CA Annuel]]*0.2</f>
        <v>35512.195121951227</v>
      </c>
    </row>
    <row r="26" spans="1:17" x14ac:dyDescent="0.2">
      <c r="A26" s="31">
        <f>Tableau1[[#This Row],[N°]]/$B$49</f>
        <v>0.52083333333333337</v>
      </c>
      <c r="B26" s="30">
        <v>25</v>
      </c>
      <c r="C26" s="42">
        <v>9902</v>
      </c>
      <c r="D26" s="42">
        <v>99</v>
      </c>
      <c r="E26" s="17" t="s">
        <v>23</v>
      </c>
      <c r="F26" s="18">
        <v>79.268292682926841</v>
      </c>
      <c r="G26" s="20">
        <v>1920</v>
      </c>
      <c r="H26" s="21">
        <f>Tableau1[[#This Row],[Prix unitaire]]*Tableau1[[#This Row],[Quantité]]</f>
        <v>152195.12195121954</v>
      </c>
      <c r="I26" s="33">
        <f>Tableau1[[#This Row],[CA Annuel]]/Tableau1[[#Totals],[CA Annuel]]</f>
        <v>8.8970725480270515E-3</v>
      </c>
      <c r="J26" s="21">
        <f>Tableau1[[#This Row],[CA Annuel]]+J25</f>
        <v>15895036.585365852</v>
      </c>
      <c r="K26" s="33">
        <f>Tableau1[[#This Row],[CA Cumulé]]/Tableau1[[#Totals],[CA Annuel]]</f>
        <v>0.92919728201847918</v>
      </c>
      <c r="L26" s="22" t="s">
        <v>51</v>
      </c>
      <c r="M26" s="34">
        <f>Tableau1[[#This Row],[CA Annuel]]*0.5</f>
        <v>76097.560975609769</v>
      </c>
      <c r="N26" s="22" t="s">
        <v>53</v>
      </c>
      <c r="O26" s="34">
        <f>Tableau1[[#This Row],[CA Annuel]]*0.3</f>
        <v>45658.536585365859</v>
      </c>
      <c r="P26" s="22" t="s">
        <v>56</v>
      </c>
      <c r="Q26" s="34">
        <f>Tableau1[[#This Row],[CA Annuel]]*0.2</f>
        <v>30439.024390243911</v>
      </c>
    </row>
    <row r="27" spans="1:17" x14ac:dyDescent="0.2">
      <c r="A27" s="31">
        <f>Tableau1[[#This Row],[N°]]/$B$49</f>
        <v>0.54166666666666663</v>
      </c>
      <c r="B27" s="30">
        <v>26</v>
      </c>
      <c r="C27" s="42">
        <v>4801</v>
      </c>
      <c r="D27" s="42">
        <v>48</v>
      </c>
      <c r="E27" s="17" t="s">
        <v>22</v>
      </c>
      <c r="F27" s="18">
        <v>35.670731707317074</v>
      </c>
      <c r="G27" s="20">
        <v>4027</v>
      </c>
      <c r="H27" s="21">
        <f>Tableau1[[#This Row],[Prix unitaire]]*Tableau1[[#This Row],[Quantité]]</f>
        <v>143646.03658536586</v>
      </c>
      <c r="I27" s="33">
        <f>Tableau1[[#This Row],[CA Annuel]]/Tableau1[[#Totals],[CA Annuel]]</f>
        <v>8.3973073009933428E-3</v>
      </c>
      <c r="J27" s="21">
        <f>Tableau1[[#This Row],[CA Annuel]]+J26</f>
        <v>16038682.621951219</v>
      </c>
      <c r="K27" s="33">
        <f>Tableau1[[#This Row],[CA Cumulé]]/Tableau1[[#Totals],[CA Annuel]]</f>
        <v>0.93759458931947259</v>
      </c>
      <c r="L27" s="22" t="s">
        <v>58</v>
      </c>
      <c r="M27" s="34">
        <f>Tableau1[[#This Row],[CA Annuel]]*0.5</f>
        <v>71823.018292682929</v>
      </c>
      <c r="N27" s="22" t="s">
        <v>51</v>
      </c>
      <c r="O27" s="34">
        <f>Tableau1[[#This Row],[CA Annuel]]*0.3</f>
        <v>43093.810975609755</v>
      </c>
      <c r="P27" s="22" t="s">
        <v>56</v>
      </c>
      <c r="Q27" s="34">
        <f>Tableau1[[#This Row],[CA Annuel]]*0.2</f>
        <v>28729.207317073175</v>
      </c>
    </row>
    <row r="28" spans="1:17" x14ac:dyDescent="0.2">
      <c r="A28" s="31">
        <f>Tableau1[[#This Row],[N°]]/$B$49</f>
        <v>0.5625</v>
      </c>
      <c r="B28" s="30">
        <v>27</v>
      </c>
      <c r="C28" s="42">
        <v>7304</v>
      </c>
      <c r="D28" s="42">
        <v>73</v>
      </c>
      <c r="E28" s="17" t="s">
        <v>21</v>
      </c>
      <c r="F28" s="18">
        <v>69.359756097560975</v>
      </c>
      <c r="G28" s="20">
        <v>1800</v>
      </c>
      <c r="H28" s="21">
        <f>Tableau1[[#This Row],[Prix unitaire]]*Tableau1[[#This Row],[Quantité]]</f>
        <v>124847.56097560975</v>
      </c>
      <c r="I28" s="33">
        <f>Tableau1[[#This Row],[CA Annuel]]/Tableau1[[#Totals],[CA Annuel]]</f>
        <v>7.2983798245534392E-3</v>
      </c>
      <c r="J28" s="21">
        <f>Tableau1[[#This Row],[CA Annuel]]+J27</f>
        <v>16163530.182926828</v>
      </c>
      <c r="K28" s="33">
        <f>Tableau1[[#This Row],[CA Cumulé]]/Tableau1[[#Totals],[CA Annuel]]</f>
        <v>0.94489296914402598</v>
      </c>
      <c r="L28" s="22" t="s">
        <v>51</v>
      </c>
      <c r="M28" s="34">
        <f>Tableau1[[#This Row],[CA Annuel]]*0.5</f>
        <v>62423.780487804877</v>
      </c>
      <c r="N28" s="22" t="s">
        <v>53</v>
      </c>
      <c r="O28" s="34">
        <f>Tableau1[[#This Row],[CA Annuel]]*0.3</f>
        <v>37454.268292682922</v>
      </c>
      <c r="P28" s="22" t="s">
        <v>56</v>
      </c>
      <c r="Q28" s="34">
        <f>Tableau1[[#This Row],[CA Annuel]]*0.2</f>
        <v>24969.512195121952</v>
      </c>
    </row>
    <row r="29" spans="1:17" x14ac:dyDescent="0.2">
      <c r="A29" s="31">
        <f>Tableau1[[#This Row],[N°]]/$B$49</f>
        <v>0.58333333333333337</v>
      </c>
      <c r="B29" s="30">
        <v>28</v>
      </c>
      <c r="C29" s="42">
        <v>3304</v>
      </c>
      <c r="D29" s="42">
        <v>33</v>
      </c>
      <c r="E29" s="17" t="s">
        <v>20</v>
      </c>
      <c r="F29" s="18">
        <v>435.97560975609758</v>
      </c>
      <c r="G29" s="20">
        <v>240</v>
      </c>
      <c r="H29" s="21">
        <f>Tableau1[[#This Row],[Prix unitaire]]*Tableau1[[#This Row],[Quantité]]</f>
        <v>104634.14634146342</v>
      </c>
      <c r="I29" s="33">
        <f>Tableau1[[#This Row],[CA Annuel]]/Tableau1[[#Totals],[CA Annuel]]</f>
        <v>6.1167373767685969E-3</v>
      </c>
      <c r="J29" s="21">
        <f>Tableau1[[#This Row],[CA Annuel]]+J28</f>
        <v>16268164.329268292</v>
      </c>
      <c r="K29" s="33">
        <f>Tableau1[[#This Row],[CA Cumulé]]/Tableau1[[#Totals],[CA Annuel]]</f>
        <v>0.95100970652079453</v>
      </c>
      <c r="L29" s="22" t="s">
        <v>54</v>
      </c>
      <c r="M29" s="34">
        <f>Tableau1[[#This Row],[CA Annuel]]*0.5</f>
        <v>52317.07317073171</v>
      </c>
      <c r="N29" s="22" t="s">
        <v>56</v>
      </c>
      <c r="O29" s="34">
        <f>Tableau1[[#This Row],[CA Annuel]]*0.3</f>
        <v>31390.243902439026</v>
      </c>
      <c r="P29" s="22" t="s">
        <v>51</v>
      </c>
      <c r="Q29" s="34">
        <f>Tableau1[[#This Row],[CA Annuel]]*0.2</f>
        <v>20926.829268292684</v>
      </c>
    </row>
    <row r="30" spans="1:17" x14ac:dyDescent="0.2">
      <c r="A30" s="31">
        <f>Tableau1[[#This Row],[N°]]/$B$49</f>
        <v>0.60416666666666663</v>
      </c>
      <c r="B30" s="30">
        <v>29</v>
      </c>
      <c r="C30" s="42">
        <v>2202</v>
      </c>
      <c r="D30" s="42">
        <v>22</v>
      </c>
      <c r="E30" s="17" t="s">
        <v>19</v>
      </c>
      <c r="F30" s="18">
        <v>202.92682926829269</v>
      </c>
      <c r="G30" s="20">
        <v>480</v>
      </c>
      <c r="H30" s="21">
        <f>Tableau1[[#This Row],[Prix unitaire]]*Tableau1[[#This Row],[Quantité]]</f>
        <v>97404.878048780491</v>
      </c>
      <c r="I30" s="33">
        <f>Tableau1[[#This Row],[CA Annuel]]/Tableau1[[#Totals],[CA Annuel]]</f>
        <v>5.694126430737312E-3</v>
      </c>
      <c r="J30" s="21">
        <f>Tableau1[[#This Row],[CA Annuel]]+J29</f>
        <v>16365569.207317073</v>
      </c>
      <c r="K30" s="33">
        <f>Tableau1[[#This Row],[CA Cumulé]]/Tableau1[[#Totals],[CA Annuel]]</f>
        <v>0.95670383295153194</v>
      </c>
      <c r="L30" s="22" t="s">
        <v>54</v>
      </c>
      <c r="M30" s="34">
        <f>Tableau1[[#This Row],[CA Annuel]]*0.5</f>
        <v>48702.439024390245</v>
      </c>
      <c r="N30" s="22" t="s">
        <v>56</v>
      </c>
      <c r="O30" s="34">
        <f>Tableau1[[#This Row],[CA Annuel]]*0.3</f>
        <v>29221.463414634145</v>
      </c>
      <c r="P30" s="22" t="s">
        <v>51</v>
      </c>
      <c r="Q30" s="34">
        <f>Tableau1[[#This Row],[CA Annuel]]*0.2</f>
        <v>19480.9756097561</v>
      </c>
    </row>
    <row r="31" spans="1:17" x14ac:dyDescent="0.2">
      <c r="A31" s="31">
        <f>Tableau1[[#This Row],[N°]]/$B$49</f>
        <v>0.64583333333333337</v>
      </c>
      <c r="B31" s="30">
        <v>31</v>
      </c>
      <c r="C31" s="42">
        <v>7911</v>
      </c>
      <c r="D31" s="42">
        <v>79</v>
      </c>
      <c r="E31" s="17" t="s">
        <v>17</v>
      </c>
      <c r="F31" s="18">
        <v>1.9817073170731709</v>
      </c>
      <c r="G31" s="20">
        <v>48000</v>
      </c>
      <c r="H31" s="21">
        <f>Tableau1[[#This Row],[Prix unitaire]]*Tableau1[[#This Row],[Quantité]]</f>
        <v>95121.951219512208</v>
      </c>
      <c r="I31" s="33">
        <f>Tableau1[[#This Row],[CA Annuel]]/Tableau1[[#Totals],[CA Annuel]]</f>
        <v>5.5606703425169074E-3</v>
      </c>
      <c r="J31" s="21">
        <f>Tableau1[[#This Row],[CA Annuel]]+J30</f>
        <v>16460691.158536585</v>
      </c>
      <c r="K31" s="33">
        <f>Tableau1[[#This Row],[CA Cumulé]]/Tableau1[[#Totals],[CA Annuel]]</f>
        <v>0.96226450329404878</v>
      </c>
      <c r="L31" s="22" t="s">
        <v>51</v>
      </c>
      <c r="M31" s="34">
        <f>Tableau1[[#This Row],[CA Annuel]]*0.5</f>
        <v>47560.975609756104</v>
      </c>
      <c r="N31" s="22" t="s">
        <v>56</v>
      </c>
      <c r="O31" s="34">
        <f>Tableau1[[#This Row],[CA Annuel]]*0.3</f>
        <v>28536.585365853662</v>
      </c>
      <c r="P31" s="22" t="s">
        <v>57</v>
      </c>
      <c r="Q31" s="34">
        <f>Tableau1[[#This Row],[CA Annuel]]*0.2</f>
        <v>19024.390243902442</v>
      </c>
    </row>
    <row r="32" spans="1:17" x14ac:dyDescent="0.2">
      <c r="A32" s="31">
        <f>Tableau1[[#This Row],[N°]]/$B$49</f>
        <v>0.625</v>
      </c>
      <c r="B32" s="30">
        <v>30</v>
      </c>
      <c r="C32" s="42">
        <v>7305</v>
      </c>
      <c r="D32" s="42">
        <v>73</v>
      </c>
      <c r="E32" s="17" t="s">
        <v>18</v>
      </c>
      <c r="F32" s="18">
        <v>79.268292682926841</v>
      </c>
      <c r="G32" s="20">
        <v>1200</v>
      </c>
      <c r="H32" s="21">
        <f>Tableau1[[#This Row],[Prix unitaire]]*Tableau1[[#This Row],[Quantité]]</f>
        <v>95121.951219512208</v>
      </c>
      <c r="I32" s="33">
        <f>Tableau1[[#This Row],[CA Annuel]]/Tableau1[[#Totals],[CA Annuel]]</f>
        <v>5.5606703425169074E-3</v>
      </c>
      <c r="J32" s="21">
        <f>Tableau1[[#This Row],[CA Annuel]]+J31</f>
        <v>16555813.109756097</v>
      </c>
      <c r="K32" s="33">
        <f>Tableau1[[#This Row],[CA Cumulé]]/Tableau1[[#Totals],[CA Annuel]]</f>
        <v>0.96782517363656573</v>
      </c>
      <c r="L32" s="22" t="s">
        <v>51</v>
      </c>
      <c r="M32" s="34">
        <f>Tableau1[[#This Row],[CA Annuel]]*0.5</f>
        <v>47560.975609756104</v>
      </c>
      <c r="N32" s="22" t="s">
        <v>53</v>
      </c>
      <c r="O32" s="34">
        <f>Tableau1[[#This Row],[CA Annuel]]*0.3</f>
        <v>28536.585365853662</v>
      </c>
      <c r="P32" s="22" t="s">
        <v>56</v>
      </c>
      <c r="Q32" s="34">
        <f>Tableau1[[#This Row],[CA Annuel]]*0.2</f>
        <v>19024.390243902442</v>
      </c>
    </row>
    <row r="33" spans="1:17" x14ac:dyDescent="0.2">
      <c r="A33" s="31">
        <f>Tableau1[[#This Row],[N°]]/$B$49</f>
        <v>0.66666666666666663</v>
      </c>
      <c r="B33" s="30">
        <v>32</v>
      </c>
      <c r="C33" s="42">
        <v>7303</v>
      </c>
      <c r="D33" s="42">
        <v>73</v>
      </c>
      <c r="E33" s="17" t="s">
        <v>16</v>
      </c>
      <c r="F33" s="18">
        <v>23.780487804878049</v>
      </c>
      <c r="G33" s="20">
        <v>3600</v>
      </c>
      <c r="H33" s="21">
        <f>Tableau1[[#This Row],[Prix unitaire]]*Tableau1[[#This Row],[Quantité]]</f>
        <v>85609.756097560981</v>
      </c>
      <c r="I33" s="33">
        <f>Tableau1[[#This Row],[CA Annuel]]/Tableau1[[#Totals],[CA Annuel]]</f>
        <v>5.0046033082652161E-3</v>
      </c>
      <c r="J33" s="21">
        <f>Tableau1[[#This Row],[CA Annuel]]+J32</f>
        <v>16641422.865853658</v>
      </c>
      <c r="K33" s="33">
        <f>Tableau1[[#This Row],[CA Cumulé]]/Tableau1[[#Totals],[CA Annuel]]</f>
        <v>0.97282977694483097</v>
      </c>
      <c r="L33" s="22" t="s">
        <v>51</v>
      </c>
      <c r="M33" s="34">
        <f>Tableau1[[#This Row],[CA Annuel]]*0.5</f>
        <v>42804.878048780491</v>
      </c>
      <c r="N33" s="22" t="s">
        <v>53</v>
      </c>
      <c r="O33" s="34">
        <f>Tableau1[[#This Row],[CA Annuel]]*0.3</f>
        <v>25682.926829268294</v>
      </c>
      <c r="P33" s="22" t="s">
        <v>56</v>
      </c>
      <c r="Q33" s="34">
        <f>Tableau1[[#This Row],[CA Annuel]]*0.2</f>
        <v>17121.951219512197</v>
      </c>
    </row>
    <row r="34" spans="1:17" x14ac:dyDescent="0.2">
      <c r="A34" s="31">
        <f>Tableau1[[#This Row],[N°]]/$B$49</f>
        <v>0.70833333333333337</v>
      </c>
      <c r="B34" s="30">
        <v>34</v>
      </c>
      <c r="C34" s="42">
        <v>7306</v>
      </c>
      <c r="D34" s="42">
        <v>73</v>
      </c>
      <c r="E34" s="17" t="s">
        <v>14</v>
      </c>
      <c r="F34" s="18">
        <v>55.487804878048784</v>
      </c>
      <c r="G34" s="20">
        <v>1200</v>
      </c>
      <c r="H34" s="21">
        <f>Tableau1[[#This Row],[Prix unitaire]]*Tableau1[[#This Row],[Quantité]]</f>
        <v>66585.365853658543</v>
      </c>
      <c r="I34" s="33">
        <f>Tableau1[[#This Row],[CA Annuel]]/Tableau1[[#Totals],[CA Annuel]]</f>
        <v>3.8924692397618349E-3</v>
      </c>
      <c r="J34" s="21">
        <f>Tableau1[[#This Row],[CA Annuel]]+J33</f>
        <v>16708008.231707316</v>
      </c>
      <c r="K34" s="33">
        <f>Tableau1[[#This Row],[CA Cumulé]]/Tableau1[[#Totals],[CA Annuel]]</f>
        <v>0.97672224618459269</v>
      </c>
      <c r="L34" s="22" t="s">
        <v>51</v>
      </c>
      <c r="M34" s="34">
        <f>Tableau1[[#This Row],[CA Annuel]]*0.5</f>
        <v>33292.682926829271</v>
      </c>
      <c r="N34" s="22" t="s">
        <v>53</v>
      </c>
      <c r="O34" s="34">
        <f>Tableau1[[#This Row],[CA Annuel]]*0.3</f>
        <v>19975.609756097561</v>
      </c>
      <c r="P34" s="22" t="s">
        <v>56</v>
      </c>
      <c r="Q34" s="34">
        <f>Tableau1[[#This Row],[CA Annuel]]*0.2</f>
        <v>13317.07317073171</v>
      </c>
    </row>
    <row r="35" spans="1:17" x14ac:dyDescent="0.2">
      <c r="A35" s="31">
        <f>Tableau1[[#This Row],[N°]]/$B$49</f>
        <v>0.6875</v>
      </c>
      <c r="B35" s="30">
        <v>33</v>
      </c>
      <c r="C35" s="42">
        <v>3301</v>
      </c>
      <c r="D35" s="42">
        <v>33</v>
      </c>
      <c r="E35" s="17" t="s">
        <v>15</v>
      </c>
      <c r="F35" s="18">
        <v>554.8780487804878</v>
      </c>
      <c r="G35" s="20">
        <v>120</v>
      </c>
      <c r="H35" s="21">
        <f>Tableau1[[#This Row],[Prix unitaire]]*Tableau1[[#This Row],[Quantité]]</f>
        <v>66585.365853658543</v>
      </c>
      <c r="I35" s="33">
        <f>Tableau1[[#This Row],[CA Annuel]]/Tableau1[[#Totals],[CA Annuel]]</f>
        <v>3.8924692397618349E-3</v>
      </c>
      <c r="J35" s="21">
        <f>Tableau1[[#This Row],[CA Annuel]]+J34</f>
        <v>16774593.597560974</v>
      </c>
      <c r="K35" s="33">
        <f>Tableau1[[#This Row],[CA Cumulé]]/Tableau1[[#Totals],[CA Annuel]]</f>
        <v>0.98061471542435452</v>
      </c>
      <c r="L35" s="22" t="s">
        <v>54</v>
      </c>
      <c r="M35" s="34">
        <f>Tableau1[[#This Row],[CA Annuel]]*0.5</f>
        <v>33292.682926829271</v>
      </c>
      <c r="N35" s="22" t="s">
        <v>56</v>
      </c>
      <c r="O35" s="34">
        <f>Tableau1[[#This Row],[CA Annuel]]*0.3</f>
        <v>19975.609756097561</v>
      </c>
      <c r="P35" s="22" t="s">
        <v>51</v>
      </c>
      <c r="Q35" s="34">
        <f>Tableau1[[#This Row],[CA Annuel]]*0.2</f>
        <v>13317.07317073171</v>
      </c>
    </row>
    <row r="36" spans="1:17" x14ac:dyDescent="0.2">
      <c r="A36" s="31">
        <f>Tableau1[[#This Row],[N°]]/$B$49</f>
        <v>0.72916666666666663</v>
      </c>
      <c r="B36" s="30">
        <v>35</v>
      </c>
      <c r="C36" s="42">
        <v>5402</v>
      </c>
      <c r="D36" s="42">
        <v>54</v>
      </c>
      <c r="E36" s="17" t="s">
        <v>13</v>
      </c>
      <c r="F36" s="18">
        <v>4.9542682926829276</v>
      </c>
      <c r="G36" s="20">
        <v>10800</v>
      </c>
      <c r="H36" s="21">
        <f>Tableau1[[#This Row],[Prix unitaire]]*Tableau1[[#This Row],[Quantité]]</f>
        <v>53506.097560975621</v>
      </c>
      <c r="I36" s="33">
        <f>Tableau1[[#This Row],[CA Annuel]]/Tableau1[[#Totals],[CA Annuel]]</f>
        <v>3.1278770676657604E-3</v>
      </c>
      <c r="J36" s="21">
        <f>Tableau1[[#This Row],[CA Annuel]]+J35</f>
        <v>16828099.695121948</v>
      </c>
      <c r="K36" s="33">
        <f>Tableau1[[#This Row],[CA Cumulé]]/Tableau1[[#Totals],[CA Annuel]]</f>
        <v>0.98374259249202023</v>
      </c>
      <c r="L36" s="22" t="s">
        <v>54</v>
      </c>
      <c r="M36" s="34">
        <f>Tableau1[[#This Row],[CA Annuel]]*0.5</f>
        <v>26753.04878048781</v>
      </c>
      <c r="N36" s="22" t="s">
        <v>56</v>
      </c>
      <c r="O36" s="34">
        <f>Tableau1[[#This Row],[CA Annuel]]*0.3</f>
        <v>16051.829268292686</v>
      </c>
      <c r="P36" s="22" t="s">
        <v>51</v>
      </c>
      <c r="Q36" s="34">
        <f>Tableau1[[#This Row],[CA Annuel]]*0.2</f>
        <v>10701.219512195124</v>
      </c>
    </row>
    <row r="37" spans="1:17" x14ac:dyDescent="0.2">
      <c r="A37" s="31">
        <f>Tableau1[[#This Row],[N°]]/$B$49</f>
        <v>0.75</v>
      </c>
      <c r="B37" s="30">
        <v>36</v>
      </c>
      <c r="C37" s="42">
        <v>6505</v>
      </c>
      <c r="D37" s="42">
        <v>65</v>
      </c>
      <c r="E37" s="17" t="s">
        <v>12</v>
      </c>
      <c r="F37" s="18">
        <v>21.79878048780488</v>
      </c>
      <c r="G37" s="20">
        <v>2400</v>
      </c>
      <c r="H37" s="21">
        <f>Tableau1[[#This Row],[Prix unitaire]]*Tableau1[[#This Row],[Quantité]]</f>
        <v>52317.07317073171</v>
      </c>
      <c r="I37" s="33">
        <f>Tableau1[[#This Row],[CA Annuel]]/Tableau1[[#Totals],[CA Annuel]]</f>
        <v>3.0583686883842985E-3</v>
      </c>
      <c r="J37" s="21">
        <f>Tableau1[[#This Row],[CA Annuel]]+J36</f>
        <v>16880416.76829268</v>
      </c>
      <c r="K37" s="33">
        <f>Tableau1[[#This Row],[CA Cumulé]]/Tableau1[[#Totals],[CA Annuel]]</f>
        <v>0.9868009611804045</v>
      </c>
      <c r="L37" s="22" t="s">
        <v>51</v>
      </c>
      <c r="M37" s="34">
        <f>Tableau1[[#This Row],[CA Annuel]]*0.5</f>
        <v>26158.536585365855</v>
      </c>
      <c r="N37" s="22" t="s">
        <v>53</v>
      </c>
      <c r="O37" s="34">
        <f>Tableau1[[#This Row],[CA Annuel]]*0.3</f>
        <v>15695.121951219513</v>
      </c>
      <c r="P37" s="22" t="s">
        <v>56</v>
      </c>
      <c r="Q37" s="34">
        <f>Tableau1[[#This Row],[CA Annuel]]*0.2</f>
        <v>10463.414634146342</v>
      </c>
    </row>
    <row r="38" spans="1:17" x14ac:dyDescent="0.2">
      <c r="A38" s="31">
        <f>Tableau1[[#This Row],[N°]]/$B$49</f>
        <v>0.77083333333333337</v>
      </c>
      <c r="B38" s="30">
        <v>37</v>
      </c>
      <c r="C38" s="42">
        <v>2201</v>
      </c>
      <c r="D38" s="42">
        <v>22</v>
      </c>
      <c r="E38" s="17" t="s">
        <v>11</v>
      </c>
      <c r="F38" s="18">
        <v>110.97560975609757</v>
      </c>
      <c r="G38" s="20">
        <v>360</v>
      </c>
      <c r="H38" s="21">
        <f>Tableau1[[#This Row],[Prix unitaire]]*Tableau1[[#This Row],[Quantité]]</f>
        <v>39951.219512195123</v>
      </c>
      <c r="I38" s="33">
        <f>Tableau1[[#This Row],[CA Annuel]]/Tableau1[[#Totals],[CA Annuel]]</f>
        <v>2.3354815438571008E-3</v>
      </c>
      <c r="J38" s="21">
        <f>Tableau1[[#This Row],[CA Annuel]]+J37</f>
        <v>16920367.987804875</v>
      </c>
      <c r="K38" s="33">
        <f>Tableau1[[#This Row],[CA Cumulé]]/Tableau1[[#Totals],[CA Annuel]]</f>
        <v>0.9891364427242616</v>
      </c>
      <c r="L38" s="22" t="s">
        <v>54</v>
      </c>
      <c r="M38" s="34">
        <f>Tableau1[[#This Row],[CA Annuel]]*0.5</f>
        <v>19975.609756097561</v>
      </c>
      <c r="N38" s="22" t="s">
        <v>56</v>
      </c>
      <c r="O38" s="34">
        <f>Tableau1[[#This Row],[CA Annuel]]*0.3</f>
        <v>11985.365853658537</v>
      </c>
      <c r="P38" s="22" t="s">
        <v>51</v>
      </c>
      <c r="Q38" s="34">
        <f>Tableau1[[#This Row],[CA Annuel]]*0.2</f>
        <v>7990.2439024390251</v>
      </c>
    </row>
    <row r="39" spans="1:17" x14ac:dyDescent="0.2">
      <c r="A39" s="31">
        <f>Tableau1[[#This Row],[N°]]/$B$49</f>
        <v>0.79166666666666663</v>
      </c>
      <c r="B39" s="30">
        <v>38</v>
      </c>
      <c r="C39" s="42">
        <v>9904</v>
      </c>
      <c r="D39" s="42">
        <v>99</v>
      </c>
      <c r="E39" s="17" t="s">
        <v>10</v>
      </c>
      <c r="F39" s="18">
        <v>1089.939024390244</v>
      </c>
      <c r="G39" s="20">
        <v>36</v>
      </c>
      <c r="H39" s="21">
        <f>Tableau1[[#This Row],[Prix unitaire]]*Tableau1[[#This Row],[Quantité]]</f>
        <v>39237.804878048781</v>
      </c>
      <c r="I39" s="33">
        <f>Tableau1[[#This Row],[CA Annuel]]/Tableau1[[#Totals],[CA Annuel]]</f>
        <v>2.293776516288224E-3</v>
      </c>
      <c r="J39" s="21">
        <f>Tableau1[[#This Row],[CA Annuel]]+J38</f>
        <v>16959605.792682923</v>
      </c>
      <c r="K39" s="33">
        <f>Tableau1[[#This Row],[CA Cumulé]]/Tableau1[[#Totals],[CA Annuel]]</f>
        <v>0.99143021924054986</v>
      </c>
      <c r="L39" s="22" t="s">
        <v>51</v>
      </c>
      <c r="M39" s="34">
        <f>Tableau1[[#This Row],[CA Annuel]]*0.5</f>
        <v>19618.90243902439</v>
      </c>
      <c r="N39" s="22" t="s">
        <v>53</v>
      </c>
      <c r="O39" s="34">
        <f>Tableau1[[#This Row],[CA Annuel]]*0.3</f>
        <v>11771.341463414634</v>
      </c>
      <c r="P39" s="22" t="s">
        <v>56</v>
      </c>
      <c r="Q39" s="34">
        <f>Tableau1[[#This Row],[CA Annuel]]*0.2</f>
        <v>7847.5609756097565</v>
      </c>
    </row>
    <row r="40" spans="1:17" x14ac:dyDescent="0.2">
      <c r="A40" s="31">
        <f>Tableau1[[#This Row],[N°]]/$B$49</f>
        <v>0.8125</v>
      </c>
      <c r="B40" s="30">
        <v>39</v>
      </c>
      <c r="C40" s="42">
        <v>5403</v>
      </c>
      <c r="D40" s="42">
        <v>54</v>
      </c>
      <c r="E40" s="17" t="s">
        <v>9</v>
      </c>
      <c r="F40" s="18">
        <v>6.3414634146341466</v>
      </c>
      <c r="G40" s="20">
        <v>4800</v>
      </c>
      <c r="H40" s="21">
        <f>Tableau1[[#This Row],[Prix unitaire]]*Tableau1[[#This Row],[Quantité]]</f>
        <v>30439.024390243903</v>
      </c>
      <c r="I40" s="33">
        <f>Tableau1[[#This Row],[CA Annuel]]/Tableau1[[#Totals],[CA Annuel]]</f>
        <v>1.7794145096054102E-3</v>
      </c>
      <c r="J40" s="21">
        <f>Tableau1[[#This Row],[CA Annuel]]+J39</f>
        <v>16990044.817073166</v>
      </c>
      <c r="K40" s="33">
        <f>Tableau1[[#This Row],[CA Cumulé]]/Tableau1[[#Totals],[CA Annuel]]</f>
        <v>0.99320963375015514</v>
      </c>
      <c r="L40" s="22" t="s">
        <v>54</v>
      </c>
      <c r="M40" s="34">
        <f>Tableau1[[#This Row],[CA Annuel]]*0.5</f>
        <v>15219.512195121952</v>
      </c>
      <c r="N40" s="22" t="s">
        <v>56</v>
      </c>
      <c r="O40" s="34">
        <f>Tableau1[[#This Row],[CA Annuel]]*0.3</f>
        <v>9131.707317073171</v>
      </c>
      <c r="P40" s="22" t="s">
        <v>51</v>
      </c>
      <c r="Q40" s="34">
        <f>Tableau1[[#This Row],[CA Annuel]]*0.2</f>
        <v>6087.8048780487807</v>
      </c>
    </row>
    <row r="41" spans="1:17" x14ac:dyDescent="0.2">
      <c r="A41" s="31">
        <f>Tableau1[[#This Row],[N°]]/$B$49</f>
        <v>0.83333333333333337</v>
      </c>
      <c r="B41" s="30">
        <v>40</v>
      </c>
      <c r="C41" s="42">
        <v>5401</v>
      </c>
      <c r="D41" s="42">
        <v>54</v>
      </c>
      <c r="E41" s="17" t="s">
        <v>8</v>
      </c>
      <c r="F41" s="18">
        <v>3.6661585365853662</v>
      </c>
      <c r="G41" s="20">
        <v>7200</v>
      </c>
      <c r="H41" s="21">
        <f>Tableau1[[#This Row],[Prix unitaire]]*Tableau1[[#This Row],[Quantité]]</f>
        <v>26396.341463414636</v>
      </c>
      <c r="I41" s="33">
        <f>Tableau1[[#This Row],[CA Annuel]]/Tableau1[[#Totals],[CA Annuel]]</f>
        <v>1.5430860200484416E-3</v>
      </c>
      <c r="J41" s="21">
        <f>Tableau1[[#This Row],[CA Annuel]]+J40</f>
        <v>17016441.158536579</v>
      </c>
      <c r="K41" s="33">
        <f>Tableau1[[#This Row],[CA Cumulé]]/Tableau1[[#Totals],[CA Annuel]]</f>
        <v>0.99475271977020352</v>
      </c>
      <c r="L41" s="22" t="s">
        <v>54</v>
      </c>
      <c r="M41" s="34">
        <f>Tableau1[[#This Row],[CA Annuel]]*0.5</f>
        <v>13198.170731707318</v>
      </c>
      <c r="N41" s="22" t="s">
        <v>56</v>
      </c>
      <c r="O41" s="34">
        <f>Tableau1[[#This Row],[CA Annuel]]*0.3</f>
        <v>7918.9024390243903</v>
      </c>
      <c r="P41" s="22" t="s">
        <v>51</v>
      </c>
      <c r="Q41" s="34">
        <f>Tableau1[[#This Row],[CA Annuel]]*0.2</f>
        <v>5279.2682926829275</v>
      </c>
    </row>
    <row r="42" spans="1:17" x14ac:dyDescent="0.2">
      <c r="A42" s="31">
        <f>Tableau1[[#This Row],[N°]]/$B$49</f>
        <v>0.85416666666666663</v>
      </c>
      <c r="B42" s="30">
        <v>41</v>
      </c>
      <c r="C42" s="42">
        <v>4501</v>
      </c>
      <c r="D42" s="42">
        <v>45</v>
      </c>
      <c r="E42" s="17" t="s">
        <v>7</v>
      </c>
      <c r="F42" s="18">
        <v>168.44512195121953</v>
      </c>
      <c r="G42" s="20">
        <v>120</v>
      </c>
      <c r="H42" s="21">
        <f>Tableau1[[#This Row],[Prix unitaire]]*Tableau1[[#This Row],[Quantité]]</f>
        <v>20213.414634146346</v>
      </c>
      <c r="I42" s="33">
        <f>Tableau1[[#This Row],[CA Annuel]]/Tableau1[[#Totals],[CA Annuel]]</f>
        <v>1.1816424477848427E-3</v>
      </c>
      <c r="J42" s="21">
        <f>Tableau1[[#This Row],[CA Annuel]]+J41</f>
        <v>17036654.573170725</v>
      </c>
      <c r="K42" s="33">
        <f>Tableau1[[#This Row],[CA Cumulé]]/Tableau1[[#Totals],[CA Annuel]]</f>
        <v>0.99593436221798837</v>
      </c>
      <c r="L42" s="22" t="s">
        <v>54</v>
      </c>
      <c r="M42" s="34">
        <f>Tableau1[[#This Row],[CA Annuel]]*0.5</f>
        <v>10106.707317073173</v>
      </c>
      <c r="N42" s="22" t="s">
        <v>56</v>
      </c>
      <c r="O42" s="34">
        <f>Tableau1[[#This Row],[CA Annuel]]*0.3</f>
        <v>6064.0243902439033</v>
      </c>
      <c r="P42" s="22" t="s">
        <v>51</v>
      </c>
      <c r="Q42" s="34">
        <f>Tableau1[[#This Row],[CA Annuel]]*0.2</f>
        <v>4042.6829268292695</v>
      </c>
    </row>
    <row r="43" spans="1:17" x14ac:dyDescent="0.2">
      <c r="A43" s="31">
        <f>Tableau1[[#This Row],[N°]]/$B$49</f>
        <v>0.875</v>
      </c>
      <c r="B43" s="30">
        <v>42</v>
      </c>
      <c r="C43" s="42">
        <v>3302</v>
      </c>
      <c r="D43" s="42">
        <v>33</v>
      </c>
      <c r="E43" s="17" t="s">
        <v>6</v>
      </c>
      <c r="F43" s="18">
        <v>416.15853658536588</v>
      </c>
      <c r="G43" s="20">
        <v>36</v>
      </c>
      <c r="H43" s="21">
        <f>Tableau1[[#This Row],[Prix unitaire]]*Tableau1[[#This Row],[Quantité]]</f>
        <v>14981.707317073171</v>
      </c>
      <c r="I43" s="33">
        <f>Tableau1[[#This Row],[CA Annuel]]/Tableau1[[#Totals],[CA Annuel]]</f>
        <v>8.7580557894641274E-4</v>
      </c>
      <c r="J43" s="21">
        <f>Tableau1[[#This Row],[CA Annuel]]+J42</f>
        <v>17051636.280487798</v>
      </c>
      <c r="K43" s="33">
        <f>Tableau1[[#This Row],[CA Cumulé]]/Tableau1[[#Totals],[CA Annuel]]</f>
        <v>0.99681016779693477</v>
      </c>
      <c r="L43" s="22" t="s">
        <v>54</v>
      </c>
      <c r="M43" s="34">
        <f>Tableau1[[#This Row],[CA Annuel]]*0.5</f>
        <v>7490.8536585365855</v>
      </c>
      <c r="N43" s="22" t="s">
        <v>56</v>
      </c>
      <c r="O43" s="34">
        <f>Tableau1[[#This Row],[CA Annuel]]*0.3</f>
        <v>4494.5121951219508</v>
      </c>
      <c r="P43" s="22" t="s">
        <v>51</v>
      </c>
      <c r="Q43" s="34">
        <f>Tableau1[[#This Row],[CA Annuel]]*0.2</f>
        <v>2996.3414634146343</v>
      </c>
    </row>
    <row r="44" spans="1:17" x14ac:dyDescent="0.2">
      <c r="A44" s="31">
        <f>Tableau1[[#This Row],[N°]]/$B$49</f>
        <v>0.89583333333333337</v>
      </c>
      <c r="B44" s="30">
        <v>43</v>
      </c>
      <c r="C44" s="42">
        <v>1712</v>
      </c>
      <c r="D44" s="42">
        <v>17</v>
      </c>
      <c r="E44" s="17" t="s">
        <v>5</v>
      </c>
      <c r="F44" s="18">
        <v>7.7286585365853666</v>
      </c>
      <c r="G44" s="20">
        <v>1920</v>
      </c>
      <c r="H44" s="21">
        <f>Tableau1[[#This Row],[Prix unitaire]]*Tableau1[[#This Row],[Quantité]]</f>
        <v>14839.024390243903</v>
      </c>
      <c r="I44" s="33">
        <f>Tableau1[[#This Row],[CA Annuel]]/Tableau1[[#Totals],[CA Annuel]]</f>
        <v>8.6746457343263739E-4</v>
      </c>
      <c r="J44" s="21">
        <f>Tableau1[[#This Row],[CA Annuel]]+J43</f>
        <v>17066475.304878041</v>
      </c>
      <c r="K44" s="33">
        <f>Tableau1[[#This Row],[CA Cumulé]]/Tableau1[[#Totals],[CA Annuel]]</f>
        <v>0.99767763237036733</v>
      </c>
      <c r="L44" s="22" t="s">
        <v>51</v>
      </c>
      <c r="M44" s="34">
        <f>Tableau1[[#This Row],[CA Annuel]]*0.5</f>
        <v>7419.5121951219517</v>
      </c>
      <c r="N44" s="22" t="s">
        <v>52</v>
      </c>
      <c r="O44" s="34">
        <f>Tableau1[[#This Row],[CA Annuel]]*0.3</f>
        <v>4451.707317073171</v>
      </c>
      <c r="P44" s="22" t="s">
        <v>56</v>
      </c>
      <c r="Q44" s="34">
        <f>Tableau1[[#This Row],[CA Annuel]]*0.2</f>
        <v>2967.8048780487807</v>
      </c>
    </row>
    <row r="45" spans="1:17" x14ac:dyDescent="0.2">
      <c r="A45" s="31">
        <f>Tableau1[[#This Row],[N°]]/$B$49</f>
        <v>0.91666666666666663</v>
      </c>
      <c r="B45" s="30">
        <v>44</v>
      </c>
      <c r="C45" s="42">
        <v>5002</v>
      </c>
      <c r="D45" s="42">
        <v>50</v>
      </c>
      <c r="E45" s="17" t="s">
        <v>4</v>
      </c>
      <c r="F45" s="18">
        <v>2.1798780487804881</v>
      </c>
      <c r="G45" s="20">
        <v>6144</v>
      </c>
      <c r="H45" s="21">
        <f>Tableau1[[#This Row],[Prix unitaire]]*Tableau1[[#This Row],[Quantité]]</f>
        <v>13393.17073170732</v>
      </c>
      <c r="I45" s="33">
        <f>Tableau1[[#This Row],[CA Annuel]]/Tableau1[[#Totals],[CA Annuel]]</f>
        <v>7.8294238422638054E-4</v>
      </c>
      <c r="J45" s="21">
        <f>Tableau1[[#This Row],[CA Annuel]]+J44</f>
        <v>17079868.47560975</v>
      </c>
      <c r="K45" s="33">
        <f>Tableau1[[#This Row],[CA Cumulé]]/Tableau1[[#Totals],[CA Annuel]]</f>
        <v>0.99846057475459371</v>
      </c>
      <c r="L45" s="22" t="s">
        <v>54</v>
      </c>
      <c r="M45" s="34">
        <f>Tableau1[[#This Row],[CA Annuel]]*0.5</f>
        <v>6696.5853658536598</v>
      </c>
      <c r="N45" s="22" t="s">
        <v>56</v>
      </c>
      <c r="O45" s="34">
        <f>Tableau1[[#This Row],[CA Annuel]]*0.3</f>
        <v>4017.9512195121956</v>
      </c>
      <c r="P45" s="22" t="s">
        <v>51</v>
      </c>
      <c r="Q45" s="34">
        <f>Tableau1[[#This Row],[CA Annuel]]*0.2</f>
        <v>2678.6341463414642</v>
      </c>
    </row>
    <row r="46" spans="1:17" x14ac:dyDescent="0.2">
      <c r="A46" s="31">
        <f>Tableau1[[#This Row],[N°]]/$B$49</f>
        <v>0.9375</v>
      </c>
      <c r="B46" s="30">
        <v>45</v>
      </c>
      <c r="C46" s="42">
        <v>5001</v>
      </c>
      <c r="D46" s="42">
        <v>50</v>
      </c>
      <c r="E46" s="17" t="s">
        <v>3</v>
      </c>
      <c r="F46" s="18">
        <v>2.1798780487804881</v>
      </c>
      <c r="G46" s="20">
        <v>5376</v>
      </c>
      <c r="H46" s="21">
        <f>Tableau1[[#This Row],[Prix unitaire]]*Tableau1[[#This Row],[Quantité]]</f>
        <v>11719.024390243903</v>
      </c>
      <c r="I46" s="33">
        <f>Tableau1[[#This Row],[CA Annuel]]/Tableau1[[#Totals],[CA Annuel]]</f>
        <v>6.8507458619808295E-4</v>
      </c>
      <c r="J46" s="21">
        <f>Tableau1[[#This Row],[CA Annuel]]+J45</f>
        <v>17091587.499999993</v>
      </c>
      <c r="K46" s="33">
        <f>Tableau1[[#This Row],[CA Cumulé]]/Tableau1[[#Totals],[CA Annuel]]</f>
        <v>0.99914564934079175</v>
      </c>
      <c r="L46" s="22" t="s">
        <v>54</v>
      </c>
      <c r="M46" s="34">
        <f>Tableau1[[#This Row],[CA Annuel]]*0.5</f>
        <v>5859.5121951219517</v>
      </c>
      <c r="N46" s="22" t="s">
        <v>56</v>
      </c>
      <c r="O46" s="34">
        <f>Tableau1[[#This Row],[CA Annuel]]*0.3</f>
        <v>3515.707317073171</v>
      </c>
      <c r="P46" s="22" t="s">
        <v>51</v>
      </c>
      <c r="Q46" s="34">
        <f>Tableau1[[#This Row],[CA Annuel]]*0.2</f>
        <v>2343.8048780487807</v>
      </c>
    </row>
    <row r="47" spans="1:17" x14ac:dyDescent="0.2">
      <c r="A47" s="31">
        <f>Tableau1[[#This Row],[N°]]/$B$49</f>
        <v>0.95833333333333337</v>
      </c>
      <c r="B47" s="30">
        <v>46</v>
      </c>
      <c r="C47" s="42">
        <v>5404</v>
      </c>
      <c r="D47" s="42">
        <v>54</v>
      </c>
      <c r="E47" s="17" t="s">
        <v>2</v>
      </c>
      <c r="F47" s="18">
        <v>9.5121951219512209</v>
      </c>
      <c r="G47" s="20">
        <v>1200</v>
      </c>
      <c r="H47" s="21">
        <f>Tableau1[[#This Row],[Prix unitaire]]*Tableau1[[#This Row],[Quantité]]</f>
        <v>11414.634146341465</v>
      </c>
      <c r="I47" s="33">
        <f>Tableau1[[#This Row],[CA Annuel]]/Tableau1[[#Totals],[CA Annuel]]</f>
        <v>6.6728044110202884E-4</v>
      </c>
      <c r="J47" s="21">
        <f>Tableau1[[#This Row],[CA Annuel]]+J46</f>
        <v>17103002.134146333</v>
      </c>
      <c r="K47" s="33">
        <f>Tableau1[[#This Row],[CA Cumulé]]/Tableau1[[#Totals],[CA Annuel]]</f>
        <v>0.99981292978189373</v>
      </c>
      <c r="L47" s="22" t="s">
        <v>54</v>
      </c>
      <c r="M47" s="34">
        <f>Tableau1[[#This Row],[CA Annuel]]*0.5</f>
        <v>5707.3170731707323</v>
      </c>
      <c r="N47" s="22" t="s">
        <v>56</v>
      </c>
      <c r="O47" s="34">
        <f>Tableau1[[#This Row],[CA Annuel]]*0.3</f>
        <v>3424.3902439024391</v>
      </c>
      <c r="P47" s="22" t="s">
        <v>51</v>
      </c>
      <c r="Q47" s="34">
        <f>Tableau1[[#This Row],[CA Annuel]]*0.2</f>
        <v>2282.9268292682932</v>
      </c>
    </row>
    <row r="48" spans="1:17" x14ac:dyDescent="0.2">
      <c r="A48" s="31">
        <f>Tableau1[[#This Row],[N°]]/$B$49</f>
        <v>0.97916666666666663</v>
      </c>
      <c r="B48" s="30">
        <v>47</v>
      </c>
      <c r="C48" s="42">
        <v>2203</v>
      </c>
      <c r="D48" s="42">
        <v>22</v>
      </c>
      <c r="E48" s="17" t="s">
        <v>1</v>
      </c>
      <c r="F48" s="18">
        <v>237.80487804878049</v>
      </c>
      <c r="G48" s="20">
        <v>12</v>
      </c>
      <c r="H48" s="21">
        <f>Tableau1[[#This Row],[Prix unitaire]]*Tableau1[[#This Row],[Quantité]]</f>
        <v>2853.6585365853662</v>
      </c>
      <c r="I48" s="33">
        <f>Tableau1[[#This Row],[CA Annuel]]/Tableau1[[#Totals],[CA Annuel]]</f>
        <v>1.6682011027550721E-4</v>
      </c>
      <c r="J48" s="21">
        <f>Tableau1[[#This Row],[CA Annuel]]+J47</f>
        <v>17105855.79268292</v>
      </c>
      <c r="K48" s="33">
        <f>Tableau1[[#This Row],[CA Cumulé]]/Tableau1[[#Totals],[CA Annuel]]</f>
        <v>0.99997974989216931</v>
      </c>
      <c r="L48" s="22" t="s">
        <v>54</v>
      </c>
      <c r="M48" s="34">
        <f>Tableau1[[#This Row],[CA Annuel]]*0.5</f>
        <v>1426.8292682926831</v>
      </c>
      <c r="N48" s="22" t="s">
        <v>56</v>
      </c>
      <c r="O48" s="34">
        <f>Tableau1[[#This Row],[CA Annuel]]*0.3</f>
        <v>856.09756097560978</v>
      </c>
      <c r="P48" s="22" t="s">
        <v>51</v>
      </c>
      <c r="Q48" s="34">
        <f>Tableau1[[#This Row],[CA Annuel]]*0.2</f>
        <v>570.7317073170733</v>
      </c>
    </row>
    <row r="49" spans="1:17" x14ac:dyDescent="0.2">
      <c r="A49" s="31">
        <f>Tableau1[[#This Row],[N°]]/$B$49</f>
        <v>1</v>
      </c>
      <c r="B49" s="30">
        <v>48</v>
      </c>
      <c r="C49" s="42">
        <v>7910</v>
      </c>
      <c r="D49" s="42">
        <v>79</v>
      </c>
      <c r="E49" s="17" t="s">
        <v>0</v>
      </c>
      <c r="F49" s="18">
        <v>7.5304878048780486</v>
      </c>
      <c r="G49" s="20">
        <v>46</v>
      </c>
      <c r="H49" s="21">
        <f>Tableau1[[#This Row],[Prix unitaire]]*Tableau1[[#This Row],[Quantité]]</f>
        <v>346.40243902439022</v>
      </c>
      <c r="I49" s="33">
        <f>Tableau1[[#This Row],[CA Annuel]]/Tableau1[[#Totals],[CA Annuel]]</f>
        <v>2.0250107830665733E-5</v>
      </c>
      <c r="J49" s="21">
        <f>Tableau1[[#This Row],[CA Annuel]]+J48</f>
        <v>17106202.195121944</v>
      </c>
      <c r="K49" s="33">
        <f>Tableau1[[#This Row],[CA Cumulé]]/Tableau1[[#Totals],[CA Annuel]]</f>
        <v>1</v>
      </c>
      <c r="L49" s="22" t="s">
        <v>57</v>
      </c>
      <c r="M49" s="34">
        <f>Tableau1[[#This Row],[CA Annuel]]*0.5</f>
        <v>173.20121951219511</v>
      </c>
      <c r="N49" s="22" t="s">
        <v>56</v>
      </c>
      <c r="O49" s="34">
        <f>Tableau1[[#This Row],[CA Annuel]]*0.3</f>
        <v>103.92073170731706</v>
      </c>
      <c r="P49" s="22" t="s">
        <v>51</v>
      </c>
      <c r="Q49" s="34">
        <f>Tableau1[[#This Row],[CA Annuel]]*0.2</f>
        <v>69.280487804878049</v>
      </c>
    </row>
    <row r="50" spans="1:17" x14ac:dyDescent="0.2">
      <c r="A50" s="38"/>
      <c r="B50" s="30"/>
      <c r="C50" s="30"/>
      <c r="D50" s="30"/>
      <c r="E50" s="17"/>
      <c r="F50" s="18"/>
      <c r="G50" s="20"/>
      <c r="H50" s="39">
        <f>SUBTOTAL(9,Tableau1[CA Annuel])</f>
        <v>17106202.195121944</v>
      </c>
      <c r="I50" s="39"/>
      <c r="J50" s="39"/>
      <c r="K50" s="39"/>
      <c r="L50" s="22"/>
      <c r="M50" s="40">
        <f>SUBTOTAL(9,Tableau1[CA Frns Entonnoir 1])</f>
        <v>8553101.097560972</v>
      </c>
      <c r="N50" s="32"/>
      <c r="O50" s="41">
        <f>SUBTOTAL(9,Tableau1[CA Frns Entonnoir 2])</f>
        <v>5402006.9999999972</v>
      </c>
      <c r="P50" s="32"/>
      <c r="Q50" s="41">
        <f>SUBTOTAL(9,Tableau1[CA Frns Entonnoir 3])</f>
        <v>3151094.0975609752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zoomScale="80" zoomScaleNormal="80" workbookViewId="0">
      <selection activeCell="L2" sqref="L2"/>
    </sheetView>
  </sheetViews>
  <sheetFormatPr baseColWidth="10" defaultRowHeight="12.75" x14ac:dyDescent="0.2"/>
  <cols>
    <col min="1" max="1" width="34.28515625" customWidth="1"/>
    <col min="2" max="2" width="28.85546875" customWidth="1"/>
    <col min="3" max="3" width="23.7109375" customWidth="1"/>
    <col min="4" max="4" width="13" customWidth="1"/>
    <col min="5" max="11" width="5.85546875" bestFit="1" customWidth="1"/>
    <col min="12" max="24" width="6.85546875" bestFit="1" customWidth="1"/>
    <col min="25" max="37" width="7.85546875" bestFit="1" customWidth="1"/>
    <col min="38" max="39" width="9.28515625" bestFit="1" customWidth="1"/>
    <col min="40" max="40" width="12.28515625" bestFit="1" customWidth="1"/>
  </cols>
  <sheetData>
    <row r="1" spans="1:4" x14ac:dyDescent="0.2">
      <c r="A1" s="97" t="s">
        <v>70</v>
      </c>
      <c r="B1" s="97"/>
      <c r="C1" s="97"/>
    </row>
    <row r="2" spans="1:4" ht="13.5" thickBot="1" x14ac:dyDescent="0.25">
      <c r="A2" s="97"/>
      <c r="B2" s="97"/>
      <c r="C2" s="97"/>
    </row>
    <row r="3" spans="1:4" ht="13.5" thickBot="1" x14ac:dyDescent="0.25">
      <c r="A3" s="46"/>
      <c r="B3" s="47" t="s">
        <v>73</v>
      </c>
    </row>
    <row r="5" spans="1:4" x14ac:dyDescent="0.2">
      <c r="A5" s="26" t="s">
        <v>62</v>
      </c>
      <c r="B5" t="s">
        <v>64</v>
      </c>
      <c r="C5" t="s">
        <v>71</v>
      </c>
      <c r="D5" t="s">
        <v>74</v>
      </c>
    </row>
    <row r="6" spans="1:4" x14ac:dyDescent="0.2">
      <c r="A6" s="43" t="s">
        <v>46</v>
      </c>
      <c r="B6" s="44">
        <v>2140243.9024390243</v>
      </c>
      <c r="C6" s="45">
        <v>0.12511508270663033</v>
      </c>
      <c r="D6" s="45">
        <v>0.12511508270663033</v>
      </c>
    </row>
    <row r="7" spans="1:4" x14ac:dyDescent="0.2">
      <c r="A7" s="43" t="s">
        <v>44</v>
      </c>
      <c r="B7" s="44">
        <v>1902439.0243902442</v>
      </c>
      <c r="C7" s="45">
        <v>0.11121340685033809</v>
      </c>
      <c r="D7" s="45">
        <v>0.23632848955696842</v>
      </c>
    </row>
    <row r="8" spans="1:4" x14ac:dyDescent="0.2">
      <c r="A8" s="43" t="s">
        <v>45</v>
      </c>
      <c r="B8" s="44">
        <v>1902439.0243902442</v>
      </c>
      <c r="C8" s="45">
        <v>0.11121340685033809</v>
      </c>
      <c r="D8" s="45">
        <v>0.34754189640730648</v>
      </c>
    </row>
    <row r="9" spans="1:4" x14ac:dyDescent="0.2">
      <c r="A9" s="43" t="s">
        <v>43</v>
      </c>
      <c r="B9" s="44">
        <v>951219.51219512208</v>
      </c>
      <c r="C9" s="45">
        <v>5.5606703425169046E-2</v>
      </c>
      <c r="D9" s="45">
        <v>0.40314859983247558</v>
      </c>
    </row>
    <row r="10" spans="1:4" x14ac:dyDescent="0.2">
      <c r="A10" s="43" t="s">
        <v>41</v>
      </c>
      <c r="B10" s="44">
        <v>927439.02439024404</v>
      </c>
      <c r="C10" s="45">
        <v>5.4216535839539823E-2</v>
      </c>
      <c r="D10" s="45">
        <v>0.45736513567201537</v>
      </c>
    </row>
    <row r="11" spans="1:4" x14ac:dyDescent="0.2">
      <c r="A11" s="43" t="s">
        <v>42</v>
      </c>
      <c r="B11" s="44">
        <v>927439.02439024404</v>
      </c>
      <c r="C11" s="45">
        <v>5.4216535839539823E-2</v>
      </c>
      <c r="D11" s="45">
        <v>0.5115816715115552</v>
      </c>
    </row>
    <row r="12" spans="1:4" x14ac:dyDescent="0.2">
      <c r="A12" s="43" t="s">
        <v>40</v>
      </c>
      <c r="B12" s="44">
        <v>749085.36585365853</v>
      </c>
      <c r="C12" s="45">
        <v>4.3790278947320613E-2</v>
      </c>
      <c r="D12" s="45">
        <v>0.55537195045887577</v>
      </c>
    </row>
    <row r="13" spans="1:4" x14ac:dyDescent="0.2">
      <c r="A13" s="43" t="s">
        <v>55</v>
      </c>
      <c r="B13" s="44">
        <v>594512.19512195128</v>
      </c>
      <c r="C13" s="45">
        <v>3.4754189640730654E-2</v>
      </c>
      <c r="D13" s="45">
        <v>0.59012614009960651</v>
      </c>
    </row>
    <row r="14" spans="1:4" x14ac:dyDescent="0.2">
      <c r="A14" s="43" t="s">
        <v>39</v>
      </c>
      <c r="B14" s="44">
        <v>570731.70731707325</v>
      </c>
      <c r="C14" s="45">
        <v>3.336402205510143E-2</v>
      </c>
      <c r="D14" s="45">
        <v>0.62349016215470787</v>
      </c>
    </row>
    <row r="15" spans="1:4" x14ac:dyDescent="0.2">
      <c r="A15" s="43" t="s">
        <v>38</v>
      </c>
      <c r="B15" s="44">
        <v>535060.97560975607</v>
      </c>
      <c r="C15" s="45">
        <v>3.1278770676657582E-2</v>
      </c>
      <c r="D15" s="45">
        <v>0.6547689328313655</v>
      </c>
    </row>
    <row r="16" spans="1:4" x14ac:dyDescent="0.2">
      <c r="A16" s="43" t="s">
        <v>37</v>
      </c>
      <c r="B16" s="44">
        <v>494634.14634146349</v>
      </c>
      <c r="C16" s="45">
        <v>2.8915485781087904E-2</v>
      </c>
      <c r="D16" s="45">
        <v>0.68368441861245344</v>
      </c>
    </row>
    <row r="17" spans="1:4" x14ac:dyDescent="0.2">
      <c r="A17" s="43" t="s">
        <v>35</v>
      </c>
      <c r="B17" s="44">
        <v>451829.26829268294</v>
      </c>
      <c r="C17" s="45">
        <v>2.6413184126955296E-2</v>
      </c>
      <c r="D17" s="45">
        <v>0.7100976027394087</v>
      </c>
    </row>
    <row r="18" spans="1:4" x14ac:dyDescent="0.2">
      <c r="A18" s="43" t="s">
        <v>34</v>
      </c>
      <c r="B18" s="44">
        <v>451829.26829268294</v>
      </c>
      <c r="C18" s="45">
        <v>2.6413184126955296E-2</v>
      </c>
      <c r="D18" s="45">
        <v>0.73651078686636395</v>
      </c>
    </row>
    <row r="19" spans="1:4" x14ac:dyDescent="0.2">
      <c r="A19" s="43" t="s">
        <v>36</v>
      </c>
      <c r="B19" s="44">
        <v>451829.26829268294</v>
      </c>
      <c r="C19" s="45">
        <v>2.6413184126955296E-2</v>
      </c>
      <c r="D19" s="45">
        <v>0.76292397099331921</v>
      </c>
    </row>
    <row r="20" spans="1:4" x14ac:dyDescent="0.2">
      <c r="A20" s="43" t="s">
        <v>33</v>
      </c>
      <c r="B20" s="44">
        <v>428048.78048780491</v>
      </c>
      <c r="C20" s="45">
        <v>2.5023016541326069E-2</v>
      </c>
      <c r="D20" s="45">
        <v>0.78794698753464532</v>
      </c>
    </row>
    <row r="21" spans="1:4" x14ac:dyDescent="0.2">
      <c r="A21" s="43" t="s">
        <v>32</v>
      </c>
      <c r="B21" s="44">
        <v>332926.8292682927</v>
      </c>
      <c r="C21" s="45">
        <v>1.9462346198809165E-2</v>
      </c>
      <c r="D21" s="45">
        <v>0.80740933373345447</v>
      </c>
    </row>
    <row r="22" spans="1:4" x14ac:dyDescent="0.2">
      <c r="A22" s="27" t="s">
        <v>31</v>
      </c>
      <c r="B22" s="28">
        <v>297256.09756097564</v>
      </c>
      <c r="C22" s="37">
        <v>1.7377094820365327E-2</v>
      </c>
      <c r="D22" s="37">
        <v>0.82478642855381989</v>
      </c>
    </row>
    <row r="23" spans="1:4" x14ac:dyDescent="0.2">
      <c r="A23" s="27" t="s">
        <v>30</v>
      </c>
      <c r="B23" s="28">
        <v>285365.85365853657</v>
      </c>
      <c r="C23" s="37">
        <v>1.6682011027550712E-2</v>
      </c>
      <c r="D23" s="37">
        <v>0.84146843958137052</v>
      </c>
    </row>
    <row r="24" spans="1:4" x14ac:dyDescent="0.2">
      <c r="A24" s="27" t="s">
        <v>29</v>
      </c>
      <c r="B24" s="28">
        <v>261585.36585365856</v>
      </c>
      <c r="C24" s="37">
        <v>1.5291843441921487E-2</v>
      </c>
      <c r="D24" s="37">
        <v>0.85676028302329199</v>
      </c>
    </row>
    <row r="25" spans="1:4" x14ac:dyDescent="0.2">
      <c r="A25" s="27" t="s">
        <v>28</v>
      </c>
      <c r="B25" s="28">
        <v>249695.12195121951</v>
      </c>
      <c r="C25" s="37">
        <v>1.4596759649106872E-2</v>
      </c>
      <c r="D25" s="37">
        <v>0.87135704267239888</v>
      </c>
    </row>
    <row r="26" spans="1:4" x14ac:dyDescent="0.2">
      <c r="A26" s="27" t="s">
        <v>27</v>
      </c>
      <c r="B26" s="28">
        <v>237567.07317073172</v>
      </c>
      <c r="C26" s="37">
        <v>1.3887774180435967E-2</v>
      </c>
      <c r="D26" s="37">
        <v>0.88524481685283474</v>
      </c>
    </row>
    <row r="27" spans="1:4" x14ac:dyDescent="0.2">
      <c r="A27" s="27" t="s">
        <v>26</v>
      </c>
      <c r="B27" s="28">
        <v>231859.75609756098</v>
      </c>
      <c r="C27" s="37">
        <v>1.3554133959884954E-2</v>
      </c>
      <c r="D27" s="37">
        <v>0.89879895081271965</v>
      </c>
    </row>
    <row r="28" spans="1:4" x14ac:dyDescent="0.2">
      <c r="A28" s="27" t="s">
        <v>25</v>
      </c>
      <c r="B28" s="28">
        <v>190243.90243902442</v>
      </c>
      <c r="C28" s="37">
        <v>1.112134068503381E-2</v>
      </c>
      <c r="D28" s="37">
        <v>0.90992029149775344</v>
      </c>
    </row>
    <row r="29" spans="1:4" x14ac:dyDescent="0.2">
      <c r="A29" s="27" t="s">
        <v>24</v>
      </c>
      <c r="B29" s="28">
        <v>177560.97560975613</v>
      </c>
      <c r="C29" s="37">
        <v>1.0379917972698221E-2</v>
      </c>
      <c r="D29" s="37">
        <v>0.92030020947045177</v>
      </c>
    </row>
    <row r="30" spans="1:4" x14ac:dyDescent="0.2">
      <c r="A30" s="27" t="s">
        <v>23</v>
      </c>
      <c r="B30" s="28">
        <v>152195.12195121954</v>
      </c>
      <c r="C30" s="37">
        <v>8.897072548027048E-3</v>
      </c>
      <c r="D30" s="37">
        <v>0.92919728201847873</v>
      </c>
    </row>
    <row r="31" spans="1:4" x14ac:dyDescent="0.2">
      <c r="A31" s="27" t="s">
        <v>22</v>
      </c>
      <c r="B31" s="28">
        <v>143646.03658536586</v>
      </c>
      <c r="C31" s="37">
        <v>8.3973073009933393E-3</v>
      </c>
      <c r="D31" s="37">
        <v>0.93759458931947215</v>
      </c>
    </row>
    <row r="32" spans="1:4" x14ac:dyDescent="0.2">
      <c r="A32" s="27" t="s">
        <v>21</v>
      </c>
      <c r="B32" s="28">
        <v>124847.56097560975</v>
      </c>
      <c r="C32" s="37">
        <v>7.2983798245534358E-3</v>
      </c>
      <c r="D32" s="37">
        <v>0.94489296914402554</v>
      </c>
    </row>
    <row r="33" spans="1:4" x14ac:dyDescent="0.2">
      <c r="A33" s="27" t="s">
        <v>20</v>
      </c>
      <c r="B33" s="28">
        <v>104634.14634146342</v>
      </c>
      <c r="C33" s="37">
        <v>6.1167373767685943E-3</v>
      </c>
      <c r="D33" s="37">
        <v>0.9510097065207942</v>
      </c>
    </row>
    <row r="34" spans="1:4" x14ac:dyDescent="0.2">
      <c r="A34" s="27" t="s">
        <v>19</v>
      </c>
      <c r="B34" s="28">
        <v>97404.878048780491</v>
      </c>
      <c r="C34" s="37">
        <v>5.6941264307373094E-3</v>
      </c>
      <c r="D34" s="37">
        <v>0.9567038329515315</v>
      </c>
    </row>
    <row r="35" spans="1:4" x14ac:dyDescent="0.2">
      <c r="A35" s="27" t="s">
        <v>17</v>
      </c>
      <c r="B35" s="28">
        <v>95121.951219512208</v>
      </c>
      <c r="C35" s="37">
        <v>5.5606703425169048E-3</v>
      </c>
      <c r="D35" s="37">
        <v>0.96226450329404845</v>
      </c>
    </row>
    <row r="36" spans="1:4" x14ac:dyDescent="0.2">
      <c r="A36" s="27" t="s">
        <v>18</v>
      </c>
      <c r="B36" s="28">
        <v>95121.951219512208</v>
      </c>
      <c r="C36" s="37">
        <v>5.5606703425169048E-3</v>
      </c>
      <c r="D36" s="37">
        <v>0.96782517363656528</v>
      </c>
    </row>
    <row r="37" spans="1:4" x14ac:dyDescent="0.2">
      <c r="A37" s="27" t="s">
        <v>16</v>
      </c>
      <c r="B37" s="28">
        <v>85609.756097560981</v>
      </c>
      <c r="C37" s="37">
        <v>5.0046033082652135E-3</v>
      </c>
      <c r="D37" s="37">
        <v>0.97282977694483053</v>
      </c>
    </row>
    <row r="38" spans="1:4" x14ac:dyDescent="0.2">
      <c r="A38" s="27" t="s">
        <v>14</v>
      </c>
      <c r="B38" s="28">
        <v>66585.365853658543</v>
      </c>
      <c r="C38" s="37">
        <v>3.8924692397618332E-3</v>
      </c>
      <c r="D38" s="37">
        <v>0.97672224618459236</v>
      </c>
    </row>
    <row r="39" spans="1:4" x14ac:dyDescent="0.2">
      <c r="A39" s="27" t="s">
        <v>15</v>
      </c>
      <c r="B39" s="28">
        <v>66585.365853658543</v>
      </c>
      <c r="C39" s="37">
        <v>3.8924692397618332E-3</v>
      </c>
      <c r="D39" s="37">
        <v>0.98061471542435408</v>
      </c>
    </row>
    <row r="40" spans="1:4" x14ac:dyDescent="0.2">
      <c r="A40" s="27" t="s">
        <v>13</v>
      </c>
      <c r="B40" s="28">
        <v>53506.097560975621</v>
      </c>
      <c r="C40" s="37">
        <v>3.1278770676657591E-3</v>
      </c>
      <c r="D40" s="37">
        <v>0.98374259249201979</v>
      </c>
    </row>
    <row r="41" spans="1:4" x14ac:dyDescent="0.2">
      <c r="A41" s="27" t="s">
        <v>12</v>
      </c>
      <c r="B41" s="28">
        <v>52317.07317073171</v>
      </c>
      <c r="C41" s="37">
        <v>3.0583686883842972E-3</v>
      </c>
      <c r="D41" s="37">
        <v>0.98680096118040417</v>
      </c>
    </row>
    <row r="42" spans="1:4" x14ac:dyDescent="0.2">
      <c r="A42" s="27" t="s">
        <v>11</v>
      </c>
      <c r="B42" s="28">
        <v>39951.219512195123</v>
      </c>
      <c r="C42" s="37">
        <v>2.3354815438570999E-3</v>
      </c>
      <c r="D42" s="37">
        <v>0.98913644272426116</v>
      </c>
    </row>
    <row r="43" spans="1:4" x14ac:dyDescent="0.2">
      <c r="A43" s="27" t="s">
        <v>10</v>
      </c>
      <c r="B43" s="28">
        <v>39237.804878048781</v>
      </c>
      <c r="C43" s="37">
        <v>2.2937765162882231E-3</v>
      </c>
      <c r="D43" s="37">
        <v>0.99143021924054942</v>
      </c>
    </row>
    <row r="44" spans="1:4" x14ac:dyDescent="0.2">
      <c r="A44" s="27" t="s">
        <v>9</v>
      </c>
      <c r="B44" s="28">
        <v>30439.024390243903</v>
      </c>
      <c r="C44" s="37">
        <v>1.7794145096054093E-3</v>
      </c>
      <c r="D44" s="37">
        <v>0.9932096337501547</v>
      </c>
    </row>
    <row r="45" spans="1:4" x14ac:dyDescent="0.2">
      <c r="A45" s="27" t="s">
        <v>8</v>
      </c>
      <c r="B45" s="28">
        <v>26396.341463414636</v>
      </c>
      <c r="C45" s="37">
        <v>1.5430860200484409E-3</v>
      </c>
      <c r="D45" s="37">
        <v>0.99475271977020308</v>
      </c>
    </row>
    <row r="46" spans="1:4" x14ac:dyDescent="0.2">
      <c r="A46" s="27" t="s">
        <v>7</v>
      </c>
      <c r="B46" s="28">
        <v>20213.414634146346</v>
      </c>
      <c r="C46" s="37">
        <v>1.1816424477848423E-3</v>
      </c>
      <c r="D46" s="37">
        <v>0.99593436221798792</v>
      </c>
    </row>
    <row r="47" spans="1:4" x14ac:dyDescent="0.2">
      <c r="A47" s="27" t="s">
        <v>6</v>
      </c>
      <c r="B47" s="28">
        <v>14981.707317073171</v>
      </c>
      <c r="C47" s="37">
        <v>8.758055789464123E-4</v>
      </c>
      <c r="D47" s="37">
        <v>0.99681016779693432</v>
      </c>
    </row>
    <row r="48" spans="1:4" x14ac:dyDescent="0.2">
      <c r="A48" s="27" t="s">
        <v>5</v>
      </c>
      <c r="B48" s="28">
        <v>14839.024390243903</v>
      </c>
      <c r="C48" s="37">
        <v>8.6746457343263696E-4</v>
      </c>
      <c r="D48" s="37">
        <v>0.99767763237036688</v>
      </c>
    </row>
    <row r="49" spans="1:4" x14ac:dyDescent="0.2">
      <c r="A49" s="27" t="s">
        <v>4</v>
      </c>
      <c r="B49" s="28">
        <v>13393.17073170732</v>
      </c>
      <c r="C49" s="37">
        <v>7.8294238422638022E-4</v>
      </c>
      <c r="D49" s="37">
        <v>0.99846057475459338</v>
      </c>
    </row>
    <row r="50" spans="1:4" x14ac:dyDescent="0.2">
      <c r="A50" s="27" t="s">
        <v>3</v>
      </c>
      <c r="B50" s="28">
        <v>11719.024390243903</v>
      </c>
      <c r="C50" s="37">
        <v>6.8507458619808262E-4</v>
      </c>
      <c r="D50" s="37">
        <v>0.99914564934079131</v>
      </c>
    </row>
    <row r="51" spans="1:4" x14ac:dyDescent="0.2">
      <c r="A51" s="27" t="s">
        <v>2</v>
      </c>
      <c r="B51" s="28">
        <v>11414.634146341465</v>
      </c>
      <c r="C51" s="37">
        <v>6.6728044110202851E-4</v>
      </c>
      <c r="D51" s="37">
        <v>0.99981292978189329</v>
      </c>
    </row>
    <row r="52" spans="1:4" x14ac:dyDescent="0.2">
      <c r="A52" s="27" t="s">
        <v>1</v>
      </c>
      <c r="B52" s="28">
        <v>2853.6585365853662</v>
      </c>
      <c r="C52" s="37">
        <v>1.6682011027550713E-4</v>
      </c>
      <c r="D52" s="37">
        <v>0.99997974989216887</v>
      </c>
    </row>
    <row r="53" spans="1:4" x14ac:dyDescent="0.2">
      <c r="A53" s="27" t="s">
        <v>0</v>
      </c>
      <c r="B53" s="28">
        <v>346.40243902439022</v>
      </c>
      <c r="C53" s="37">
        <v>2.0250107830665723E-5</v>
      </c>
      <c r="D53" s="37">
        <v>0.99999999999999956</v>
      </c>
    </row>
    <row r="54" spans="1:4" x14ac:dyDescent="0.2">
      <c r="A54" s="27" t="s">
        <v>63</v>
      </c>
      <c r="B54" s="28">
        <v>17106202.195121951</v>
      </c>
      <c r="C54" s="37">
        <v>1</v>
      </c>
      <c r="D54" s="37"/>
    </row>
  </sheetData>
  <mergeCells count="1">
    <mergeCell ref="A1:C2"/>
  </mergeCells>
  <pageMargins left="0.7" right="0.7" top="0.75" bottom="0.75" header="0.3" footer="0.3"/>
  <pageSetup paperSize="9" orientation="portrait" horizontalDpi="1200" verticalDpi="12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zoomScale="88" workbookViewId="0">
      <selection activeCell="B6" sqref="B6"/>
    </sheetView>
  </sheetViews>
  <sheetFormatPr baseColWidth="10" defaultRowHeight="12.75" x14ac:dyDescent="0.2"/>
  <cols>
    <col min="1" max="1" width="20.28515625" bestFit="1" customWidth="1"/>
    <col min="2" max="2" width="20.140625" customWidth="1"/>
    <col min="3" max="3" width="8.85546875" customWidth="1"/>
    <col min="4" max="4" width="12.140625" customWidth="1"/>
  </cols>
  <sheetData>
    <row r="1" spans="1:4" x14ac:dyDescent="0.2">
      <c r="A1" s="97" t="s">
        <v>72</v>
      </c>
      <c r="B1" s="97"/>
      <c r="C1" s="97"/>
    </row>
    <row r="2" spans="1:4" ht="13.5" thickBot="1" x14ac:dyDescent="0.25">
      <c r="A2" s="97"/>
      <c r="B2" s="97"/>
      <c r="C2" s="97"/>
    </row>
    <row r="3" spans="1:4" ht="13.5" thickBot="1" x14ac:dyDescent="0.25">
      <c r="A3" s="46"/>
      <c r="B3" s="47" t="s">
        <v>73</v>
      </c>
    </row>
    <row r="5" spans="1:4" x14ac:dyDescent="0.2">
      <c r="A5" s="26" t="s">
        <v>62</v>
      </c>
      <c r="B5" t="s">
        <v>64</v>
      </c>
      <c r="C5" t="s">
        <v>76</v>
      </c>
      <c r="D5" t="s">
        <v>75</v>
      </c>
    </row>
    <row r="6" spans="1:4" x14ac:dyDescent="0.2">
      <c r="A6" s="43">
        <v>86</v>
      </c>
      <c r="B6" s="44">
        <v>5588414.6341463421</v>
      </c>
      <c r="C6" s="45">
        <v>0.32668938262286812</v>
      </c>
      <c r="D6" s="45">
        <v>0.32668938262286806</v>
      </c>
    </row>
    <row r="7" spans="1:4" x14ac:dyDescent="0.2">
      <c r="A7" s="43">
        <v>17</v>
      </c>
      <c r="B7" s="44">
        <v>3640332.9268292692</v>
      </c>
      <c r="C7" s="45">
        <v>0.21280778078651236</v>
      </c>
      <c r="D7" s="45">
        <v>0.53949716340938036</v>
      </c>
    </row>
    <row r="8" spans="1:4" x14ac:dyDescent="0.2">
      <c r="A8" s="43">
        <v>48</v>
      </c>
      <c r="B8" s="44">
        <v>2581146.0365853659</v>
      </c>
      <c r="C8" s="45">
        <v>0.15088948482798903</v>
      </c>
      <c r="D8" s="45">
        <v>0.69038664823736939</v>
      </c>
    </row>
    <row r="9" spans="1:4" x14ac:dyDescent="0.2">
      <c r="A9" s="43">
        <v>23</v>
      </c>
      <c r="B9" s="44">
        <v>1350731.7073170734</v>
      </c>
      <c r="C9" s="45">
        <v>7.8961518863740046E-2</v>
      </c>
      <c r="D9" s="45">
        <v>0.76934816710110943</v>
      </c>
    </row>
    <row r="10" spans="1:4" x14ac:dyDescent="0.2">
      <c r="A10" s="43">
        <v>65</v>
      </c>
      <c r="B10" s="44">
        <v>1300792.6829268294</v>
      </c>
      <c r="C10" s="45">
        <v>7.6042166933918673E-2</v>
      </c>
      <c r="D10" s="45">
        <v>0.84539033403502806</v>
      </c>
    </row>
    <row r="11" spans="1:4" x14ac:dyDescent="0.2">
      <c r="A11" s="27">
        <v>99</v>
      </c>
      <c r="B11" s="28">
        <v>1202103.6585365855</v>
      </c>
      <c r="C11" s="37">
        <v>7.0272971453557362E-2</v>
      </c>
      <c r="D11" s="37">
        <v>0.91566330548858543</v>
      </c>
    </row>
    <row r="12" spans="1:4" x14ac:dyDescent="0.2">
      <c r="A12" s="27">
        <v>73</v>
      </c>
      <c r="B12" s="28">
        <v>853719.51219512185</v>
      </c>
      <c r="C12" s="37">
        <v>4.9907016324089219E-2</v>
      </c>
      <c r="D12" s="37">
        <v>0.96557032181267455</v>
      </c>
    </row>
    <row r="13" spans="1:4" x14ac:dyDescent="0.2">
      <c r="A13" s="27">
        <v>33</v>
      </c>
      <c r="B13" s="28">
        <v>186201.21951219512</v>
      </c>
      <c r="C13" s="37">
        <v>1.0885012195476839E-2</v>
      </c>
      <c r="D13" s="37">
        <v>0.97645533400815143</v>
      </c>
    </row>
    <row r="14" spans="1:4" x14ac:dyDescent="0.2">
      <c r="A14" s="27">
        <v>22</v>
      </c>
      <c r="B14" s="28">
        <v>140209.75609756098</v>
      </c>
      <c r="C14" s="37">
        <v>8.196428084869917E-3</v>
      </c>
      <c r="D14" s="37">
        <v>0.98465176209302141</v>
      </c>
    </row>
    <row r="15" spans="1:4" x14ac:dyDescent="0.2">
      <c r="A15" s="27">
        <v>54</v>
      </c>
      <c r="B15" s="28">
        <v>121756.09756097561</v>
      </c>
      <c r="C15" s="37">
        <v>7.1176580384216381E-3</v>
      </c>
      <c r="D15" s="37">
        <v>0.99176942013144309</v>
      </c>
    </row>
    <row r="16" spans="1:4" x14ac:dyDescent="0.2">
      <c r="A16" s="27">
        <v>79</v>
      </c>
      <c r="B16" s="28">
        <v>95468.353658536595</v>
      </c>
      <c r="C16" s="37">
        <v>5.5809204503475705E-3</v>
      </c>
      <c r="D16" s="37">
        <v>0.99735034058179073</v>
      </c>
    </row>
    <row r="17" spans="1:4" x14ac:dyDescent="0.2">
      <c r="A17" s="27">
        <v>50</v>
      </c>
      <c r="B17" s="28">
        <v>25112.195121951223</v>
      </c>
      <c r="C17" s="37">
        <v>1.4680169704244627E-3</v>
      </c>
      <c r="D17" s="37">
        <v>0.99881835755221515</v>
      </c>
    </row>
    <row r="18" spans="1:4" x14ac:dyDescent="0.2">
      <c r="A18" s="27">
        <v>45</v>
      </c>
      <c r="B18" s="28">
        <v>20213.414634146346</v>
      </c>
      <c r="C18" s="37">
        <v>1.1816424477848423E-3</v>
      </c>
      <c r="D18" s="37">
        <v>1</v>
      </c>
    </row>
    <row r="19" spans="1:4" x14ac:dyDescent="0.2">
      <c r="A19" s="27" t="s">
        <v>63</v>
      </c>
      <c r="B19" s="28">
        <v>17106202.195121955</v>
      </c>
      <c r="C19" s="37">
        <v>1</v>
      </c>
      <c r="D19" s="37"/>
    </row>
  </sheetData>
  <mergeCells count="1">
    <mergeCell ref="A1:C2"/>
  </mergeCells>
  <pageMargins left="0.7" right="0.7" top="0.75" bottom="0.75" header="0.3" footer="0.3"/>
  <pageSetup paperSize="9" orientation="portrait" horizontalDpi="1200" verticalDpi="120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zoomScale="80" zoomScaleNormal="80" workbookViewId="0">
      <selection activeCell="B32" sqref="B32"/>
    </sheetView>
  </sheetViews>
  <sheetFormatPr baseColWidth="10" defaultRowHeight="12.75" x14ac:dyDescent="0.2"/>
  <cols>
    <col min="1" max="1" width="20.28515625" customWidth="1"/>
    <col min="2" max="2" width="42.7109375" customWidth="1"/>
    <col min="3" max="3" width="26.85546875" customWidth="1"/>
    <col min="4" max="4" width="27" customWidth="1"/>
    <col min="5" max="5" width="23.7109375" bestFit="1" customWidth="1"/>
  </cols>
  <sheetData>
    <row r="1" spans="1:17" x14ac:dyDescent="0.2">
      <c r="A1" s="98" t="s">
        <v>87</v>
      </c>
      <c r="B1" s="99"/>
      <c r="C1" s="99"/>
      <c r="D1" s="99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1:17" ht="13.5" thickBot="1" x14ac:dyDescent="0.25">
      <c r="A2" s="100"/>
      <c r="B2" s="101"/>
      <c r="C2" s="101"/>
      <c r="D2" s="101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54"/>
    </row>
    <row r="3" spans="1:17" ht="13.5" thickBot="1" x14ac:dyDescent="0.25">
      <c r="A3" s="46"/>
      <c r="B3" s="47" t="s">
        <v>73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54"/>
    </row>
    <row r="4" spans="1:17" x14ac:dyDescent="0.2">
      <c r="A4" s="55" t="s">
        <v>62</v>
      </c>
      <c r="B4" s="42" t="s">
        <v>95</v>
      </c>
      <c r="C4" s="42" t="s">
        <v>90</v>
      </c>
      <c r="D4" s="42" t="s">
        <v>89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54"/>
    </row>
    <row r="5" spans="1:17" x14ac:dyDescent="0.2">
      <c r="A5" s="57" t="s">
        <v>51</v>
      </c>
      <c r="B5" s="58">
        <v>5383593.2926829252</v>
      </c>
      <c r="C5" s="59">
        <v>0.62943173841568711</v>
      </c>
      <c r="D5" s="59">
        <v>0.62943173841568711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54"/>
    </row>
    <row r="6" spans="1:17" x14ac:dyDescent="0.2">
      <c r="A6" s="57" t="s">
        <v>58</v>
      </c>
      <c r="B6" s="58">
        <v>1290573.0182926829</v>
      </c>
      <c r="C6" s="59">
        <v>0.15088948482798903</v>
      </c>
      <c r="D6" s="59">
        <v>0.78032122324367614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54"/>
    </row>
    <row r="7" spans="1:17" x14ac:dyDescent="0.2">
      <c r="A7" s="57" t="s">
        <v>53</v>
      </c>
      <c r="B7" s="58">
        <v>675365.85365853668</v>
      </c>
      <c r="C7" s="59">
        <v>7.896151886374006E-2</v>
      </c>
      <c r="D7" s="59">
        <v>0.85928274210741618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54"/>
    </row>
    <row r="8" spans="1:17" x14ac:dyDescent="0.2">
      <c r="A8" s="60" t="s">
        <v>52</v>
      </c>
      <c r="B8" s="61">
        <v>659393.29268292687</v>
      </c>
      <c r="C8" s="62">
        <v>7.7094060407044793E-2</v>
      </c>
      <c r="D8" s="62">
        <v>0.93637680251446109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54"/>
    </row>
    <row r="9" spans="1:17" x14ac:dyDescent="0.2">
      <c r="A9" s="60" t="s">
        <v>57</v>
      </c>
      <c r="B9" s="61">
        <v>297429.29878048785</v>
      </c>
      <c r="C9" s="62">
        <v>3.4774439748561328E-2</v>
      </c>
      <c r="D9" s="62">
        <v>0.97115124226302241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54"/>
    </row>
    <row r="10" spans="1:17" x14ac:dyDescent="0.2">
      <c r="A10" s="60" t="s">
        <v>54</v>
      </c>
      <c r="B10" s="61">
        <v>246746.34146341469</v>
      </c>
      <c r="C10" s="62">
        <v>2.8848757736977711E-2</v>
      </c>
      <c r="D10" s="62">
        <v>1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54"/>
    </row>
    <row r="11" spans="1:17" ht="13.5" thickBot="1" x14ac:dyDescent="0.25">
      <c r="A11" s="67" t="s">
        <v>63</v>
      </c>
      <c r="B11" s="68">
        <v>8553101.0975609738</v>
      </c>
      <c r="C11" s="69">
        <v>1</v>
      </c>
      <c r="D11" s="69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6"/>
    </row>
    <row r="12" spans="1:17" ht="13.5" thickBot="1" x14ac:dyDescent="0.25"/>
    <row r="13" spans="1:17" x14ac:dyDescent="0.2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3"/>
    </row>
    <row r="14" spans="1:17" x14ac:dyDescent="0.2">
      <c r="A14" s="102" t="s">
        <v>86</v>
      </c>
      <c r="B14" s="103"/>
      <c r="C14" s="103"/>
      <c r="D14" s="103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54"/>
    </row>
    <row r="15" spans="1:17" ht="13.5" thickBot="1" x14ac:dyDescent="0.25">
      <c r="A15" s="102"/>
      <c r="B15" s="103"/>
      <c r="C15" s="103"/>
      <c r="D15" s="103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54"/>
    </row>
    <row r="16" spans="1:17" ht="13.5" thickBot="1" x14ac:dyDescent="0.25">
      <c r="A16" s="46"/>
      <c r="B16" s="47" t="s">
        <v>73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54"/>
    </row>
    <row r="17" spans="1:17" x14ac:dyDescent="0.2">
      <c r="A17" s="55" t="s">
        <v>62</v>
      </c>
      <c r="B17" s="56" t="s">
        <v>94</v>
      </c>
      <c r="C17" s="42" t="s">
        <v>91</v>
      </c>
      <c r="D17" s="42" t="s">
        <v>88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54"/>
    </row>
    <row r="18" spans="1:17" x14ac:dyDescent="0.2">
      <c r="A18" s="57" t="s">
        <v>56</v>
      </c>
      <c r="B18" s="58">
        <v>2924214.5304878047</v>
      </c>
      <c r="C18" s="59">
        <v>0.54132001874262747</v>
      </c>
      <c r="D18" s="59">
        <v>0.54132001874262747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54"/>
    </row>
    <row r="19" spans="1:17" x14ac:dyDescent="0.2">
      <c r="A19" s="57" t="s">
        <v>53</v>
      </c>
      <c r="B19" s="58">
        <v>1006984.7560975611</v>
      </c>
      <c r="C19" s="59">
        <v>0.18640937638502894</v>
      </c>
      <c r="D19" s="59">
        <v>0.72772939512765644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54"/>
    </row>
    <row r="20" spans="1:17" x14ac:dyDescent="0.2">
      <c r="A20" s="57" t="s">
        <v>51</v>
      </c>
      <c r="B20" s="58">
        <v>774343.81097560981</v>
      </c>
      <c r="C20" s="59">
        <v>0.14334372594770978</v>
      </c>
      <c r="D20" s="59">
        <v>0.87107312107536616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54"/>
    </row>
    <row r="21" spans="1:17" x14ac:dyDescent="0.2">
      <c r="A21" s="60" t="s">
        <v>52</v>
      </c>
      <c r="B21" s="61">
        <v>696463.90243902442</v>
      </c>
      <c r="C21" s="62">
        <v>0.12892687892463384</v>
      </c>
      <c r="D21" s="62">
        <v>1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54"/>
    </row>
    <row r="22" spans="1:17" x14ac:dyDescent="0.2">
      <c r="A22" s="60" t="s">
        <v>63</v>
      </c>
      <c r="B22" s="61">
        <v>5402007</v>
      </c>
      <c r="C22" s="62">
        <v>1</v>
      </c>
      <c r="D22" s="62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54"/>
    </row>
    <row r="23" spans="1:17" x14ac:dyDescent="0.2">
      <c r="A23" s="6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54"/>
    </row>
    <row r="24" spans="1:17" ht="13.5" thickBot="1" x14ac:dyDescent="0.25">
      <c r="A24" s="64"/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6"/>
    </row>
    <row r="25" spans="1:17" ht="13.5" thickBot="1" x14ac:dyDescent="0.25"/>
    <row r="26" spans="1:17" x14ac:dyDescent="0.2">
      <c r="A26" s="51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3"/>
    </row>
    <row r="27" spans="1:17" x14ac:dyDescent="0.2">
      <c r="A27" s="102" t="s">
        <v>85</v>
      </c>
      <c r="B27" s="103"/>
      <c r="C27" s="103"/>
      <c r="D27" s="103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54"/>
    </row>
    <row r="28" spans="1:17" ht="13.5" thickBot="1" x14ac:dyDescent="0.25">
      <c r="A28" s="102"/>
      <c r="B28" s="103"/>
      <c r="C28" s="103"/>
      <c r="D28" s="103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54"/>
    </row>
    <row r="29" spans="1:17" ht="13.5" thickBot="1" x14ac:dyDescent="0.25">
      <c r="A29" s="46"/>
      <c r="B29" s="47" t="s">
        <v>73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54"/>
    </row>
    <row r="30" spans="1:17" ht="13.5" thickBot="1" x14ac:dyDescent="0.25">
      <c r="A30" s="75" t="s">
        <v>62</v>
      </c>
      <c r="B30" s="80" t="s">
        <v>93</v>
      </c>
      <c r="C30" s="81" t="s">
        <v>92</v>
      </c>
      <c r="D30" s="82" t="s">
        <v>77</v>
      </c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54"/>
    </row>
    <row r="31" spans="1:17" x14ac:dyDescent="0.2">
      <c r="A31" s="76" t="s">
        <v>56</v>
      </c>
      <c r="B31" s="70">
        <v>1651861.6463414638</v>
      </c>
      <c r="C31" s="71">
        <v>0.52421844451425481</v>
      </c>
      <c r="D31" s="86">
        <v>0.48888888888888887</v>
      </c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54"/>
    </row>
    <row r="32" spans="1:17" x14ac:dyDescent="0.2">
      <c r="A32" s="77" t="s">
        <v>57</v>
      </c>
      <c r="B32" s="72">
        <v>1017804.8780487806</v>
      </c>
      <c r="C32" s="59">
        <v>0.32300047111782121</v>
      </c>
      <c r="D32" s="83">
        <v>0.57777777777777772</v>
      </c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54"/>
    </row>
    <row r="33" spans="1:17" x14ac:dyDescent="0.2">
      <c r="A33" s="77" t="s">
        <v>51</v>
      </c>
      <c r="B33" s="72">
        <v>300695.86585365864</v>
      </c>
      <c r="C33" s="59">
        <v>9.5425860524572942E-2</v>
      </c>
      <c r="D33" s="83">
        <v>0.9555555555555556</v>
      </c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54"/>
    </row>
    <row r="34" spans="1:17" ht="13.5" thickBot="1" x14ac:dyDescent="0.25">
      <c r="A34" s="78" t="s">
        <v>53</v>
      </c>
      <c r="B34" s="73">
        <v>180731.70731707319</v>
      </c>
      <c r="C34" s="62">
        <v>5.7355223843351427E-2</v>
      </c>
      <c r="D34" s="84">
        <v>1</v>
      </c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54"/>
    </row>
    <row r="35" spans="1:17" ht="13.5" thickBot="1" x14ac:dyDescent="0.25">
      <c r="A35" s="79" t="s">
        <v>63</v>
      </c>
      <c r="B35" s="74">
        <v>3151094.0975609752</v>
      </c>
      <c r="C35" s="69">
        <v>1</v>
      </c>
      <c r="D35" s="85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54"/>
    </row>
    <row r="36" spans="1:17" x14ac:dyDescent="0.2">
      <c r="A36" s="63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54"/>
    </row>
    <row r="37" spans="1:17" ht="13.5" thickBot="1" x14ac:dyDescent="0.25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6"/>
    </row>
  </sheetData>
  <mergeCells count="3">
    <mergeCell ref="A1:D2"/>
    <mergeCell ref="A14:D15"/>
    <mergeCell ref="A27:D28"/>
  </mergeCells>
  <pageMargins left="0.7" right="0.7" top="0.75" bottom="0.75" header="0.3" footer="0.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3" sqref="H23"/>
    </sheetView>
  </sheetViews>
  <sheetFormatPr baseColWidth="10" defaultRowHeight="12.75" x14ac:dyDescent="0.2"/>
  <cols>
    <col min="1" max="1" width="26.42578125" bestFit="1" customWidth="1"/>
  </cols>
  <sheetData>
    <row r="1" spans="1:1" x14ac:dyDescent="0.2">
      <c r="A1" t="s">
        <v>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3"/>
  <sheetViews>
    <sheetView tabSelected="1" workbookViewId="0">
      <selection activeCell="D8" sqref="D8"/>
    </sheetView>
  </sheetViews>
  <sheetFormatPr baseColWidth="10" defaultRowHeight="12.75" x14ac:dyDescent="0.2"/>
  <cols>
    <col min="1" max="1" width="35.42578125" bestFit="1" customWidth="1"/>
    <col min="2" max="2" width="19" bestFit="1" customWidth="1"/>
    <col min="3" max="3" width="19.28515625" bestFit="1" customWidth="1"/>
    <col min="4" max="4" width="19" bestFit="1" customWidth="1"/>
    <col min="5" max="5" width="19.28515625" bestFit="1" customWidth="1"/>
    <col min="6" max="8" width="14.42578125" bestFit="1" customWidth="1"/>
    <col min="9" max="9" width="22.42578125" customWidth="1"/>
    <col min="10" max="21" width="12.85546875" bestFit="1" customWidth="1"/>
    <col min="22" max="24" width="14.42578125" bestFit="1" customWidth="1"/>
    <col min="25" max="25" width="6" bestFit="1" customWidth="1"/>
    <col min="26" max="26" width="11.140625" bestFit="1" customWidth="1"/>
    <col min="28" max="28" width="14.42578125" bestFit="1" customWidth="1"/>
  </cols>
  <sheetData>
    <row r="3" spans="1:9" x14ac:dyDescent="0.2">
      <c r="A3" s="26" t="s">
        <v>64</v>
      </c>
      <c r="C3" s="26" t="s">
        <v>79</v>
      </c>
    </row>
    <row r="4" spans="1:9" x14ac:dyDescent="0.2">
      <c r="A4" s="26" t="s">
        <v>49</v>
      </c>
      <c r="B4" s="26" t="s">
        <v>100</v>
      </c>
      <c r="C4" t="s">
        <v>51</v>
      </c>
      <c r="D4" t="s">
        <v>52</v>
      </c>
      <c r="E4" t="s">
        <v>53</v>
      </c>
      <c r="F4" t="s">
        <v>54</v>
      </c>
      <c r="G4" t="s">
        <v>57</v>
      </c>
      <c r="H4" t="s">
        <v>58</v>
      </c>
      <c r="I4" t="s">
        <v>63</v>
      </c>
    </row>
    <row r="5" spans="1:9" x14ac:dyDescent="0.2">
      <c r="A5" t="s">
        <v>3</v>
      </c>
      <c r="B5" t="s">
        <v>82</v>
      </c>
      <c r="C5" s="104"/>
      <c r="D5" s="104"/>
      <c r="E5" s="104"/>
      <c r="F5" s="104">
        <v>11719.0244</v>
      </c>
      <c r="G5" s="104"/>
      <c r="H5" s="104"/>
      <c r="I5" s="104">
        <v>11719.0244</v>
      </c>
    </row>
    <row r="6" spans="1:9" x14ac:dyDescent="0.2">
      <c r="A6" t="s">
        <v>14</v>
      </c>
      <c r="B6" t="s">
        <v>82</v>
      </c>
      <c r="C6" s="104">
        <v>66585.365900000004</v>
      </c>
      <c r="D6" s="104"/>
      <c r="E6" s="104"/>
      <c r="F6" s="104"/>
      <c r="G6" s="104"/>
      <c r="H6" s="104"/>
      <c r="I6" s="104">
        <v>66585.365900000004</v>
      </c>
    </row>
    <row r="7" spans="1:9" x14ac:dyDescent="0.2">
      <c r="A7" t="s">
        <v>26</v>
      </c>
      <c r="B7" t="s">
        <v>82</v>
      </c>
      <c r="C7" s="104">
        <v>231859.7561</v>
      </c>
      <c r="D7" s="104"/>
      <c r="E7" s="104"/>
      <c r="F7" s="104"/>
      <c r="G7" s="104"/>
      <c r="H7" s="104"/>
      <c r="I7" s="104">
        <v>231859.7561</v>
      </c>
    </row>
    <row r="8" spans="1:9" x14ac:dyDescent="0.2">
      <c r="A8" t="s">
        <v>34</v>
      </c>
      <c r="B8" t="s">
        <v>82</v>
      </c>
      <c r="C8" s="104"/>
      <c r="D8" s="104">
        <v>451829.2683</v>
      </c>
      <c r="E8" s="104"/>
      <c r="F8" s="104"/>
      <c r="G8" s="104"/>
      <c r="H8" s="104"/>
      <c r="I8" s="104">
        <v>451829.2683</v>
      </c>
    </row>
    <row r="9" spans="1:9" x14ac:dyDescent="0.2">
      <c r="A9" t="s">
        <v>21</v>
      </c>
      <c r="B9" t="s">
        <v>82</v>
      </c>
      <c r="C9" s="104">
        <v>124847.561</v>
      </c>
      <c r="D9" s="104"/>
      <c r="E9" s="104"/>
      <c r="F9" s="104"/>
      <c r="G9" s="104"/>
      <c r="H9" s="104"/>
      <c r="I9" s="104">
        <v>124847.561</v>
      </c>
    </row>
    <row r="10" spans="1:9" x14ac:dyDescent="0.2">
      <c r="A10" t="s">
        <v>10</v>
      </c>
      <c r="B10" t="s">
        <v>82</v>
      </c>
      <c r="C10" s="104">
        <v>39237.804900000003</v>
      </c>
      <c r="D10" s="104"/>
      <c r="E10" s="104"/>
      <c r="F10" s="104"/>
      <c r="G10" s="104"/>
      <c r="H10" s="104"/>
      <c r="I10" s="104">
        <v>39237.804900000003</v>
      </c>
    </row>
    <row r="11" spans="1:9" x14ac:dyDescent="0.2">
      <c r="A11" t="s">
        <v>40</v>
      </c>
      <c r="B11" t="s">
        <v>82</v>
      </c>
      <c r="C11" s="104">
        <v>749085.36589999998</v>
      </c>
      <c r="D11" s="104"/>
      <c r="E11" s="104"/>
      <c r="F11" s="104"/>
      <c r="G11" s="104"/>
      <c r="H11" s="104"/>
      <c r="I11" s="104">
        <v>749085.36589999998</v>
      </c>
    </row>
    <row r="12" spans="1:9" x14ac:dyDescent="0.2">
      <c r="A12" t="s">
        <v>36</v>
      </c>
      <c r="B12" t="s">
        <v>82</v>
      </c>
      <c r="C12" s="104"/>
      <c r="D12" s="104">
        <v>451829.2683</v>
      </c>
      <c r="E12" s="104"/>
      <c r="F12" s="104"/>
      <c r="G12" s="104"/>
      <c r="H12" s="104"/>
      <c r="I12" s="104">
        <v>451829.2683</v>
      </c>
    </row>
    <row r="13" spans="1:9" x14ac:dyDescent="0.2">
      <c r="A13" t="s">
        <v>35</v>
      </c>
      <c r="B13" t="s">
        <v>82</v>
      </c>
      <c r="C13" s="104">
        <v>451829.2683</v>
      </c>
      <c r="D13" s="104"/>
      <c r="E13" s="104"/>
      <c r="F13" s="104"/>
      <c r="G13" s="104"/>
      <c r="H13" s="104"/>
      <c r="I13" s="104">
        <v>451829.2683</v>
      </c>
    </row>
    <row r="14" spans="1:9" x14ac:dyDescent="0.2">
      <c r="A14" t="s">
        <v>23</v>
      </c>
      <c r="B14" t="s">
        <v>82</v>
      </c>
      <c r="C14" s="104">
        <v>152195.122</v>
      </c>
      <c r="D14" s="104"/>
      <c r="E14" s="104"/>
      <c r="F14" s="104"/>
      <c r="G14" s="104"/>
      <c r="H14" s="104"/>
      <c r="I14" s="104">
        <v>152195.122</v>
      </c>
    </row>
    <row r="15" spans="1:9" x14ac:dyDescent="0.2">
      <c r="A15" t="s">
        <v>7</v>
      </c>
      <c r="B15" t="s">
        <v>82</v>
      </c>
      <c r="C15" s="104"/>
      <c r="D15" s="104"/>
      <c r="E15" s="104"/>
      <c r="F15" s="104">
        <v>20213.4146</v>
      </c>
      <c r="G15" s="104"/>
      <c r="H15" s="104"/>
      <c r="I15" s="104">
        <v>20213.4146</v>
      </c>
    </row>
    <row r="16" spans="1:9" x14ac:dyDescent="0.2">
      <c r="A16" t="s">
        <v>37</v>
      </c>
      <c r="B16" t="s">
        <v>82</v>
      </c>
      <c r="C16" s="104"/>
      <c r="D16" s="104"/>
      <c r="E16" s="104">
        <v>494634.14630000002</v>
      </c>
      <c r="F16" s="104"/>
      <c r="G16" s="104"/>
      <c r="H16" s="104"/>
      <c r="I16" s="104">
        <v>494634.14630000002</v>
      </c>
    </row>
    <row r="17" spans="1:9" x14ac:dyDescent="0.2">
      <c r="A17" t="s">
        <v>6</v>
      </c>
      <c r="B17" t="s">
        <v>82</v>
      </c>
      <c r="C17" s="104"/>
      <c r="D17" s="104"/>
      <c r="E17" s="104"/>
      <c r="F17" s="104">
        <v>14981.7073</v>
      </c>
      <c r="G17" s="104"/>
      <c r="H17" s="104"/>
      <c r="I17" s="104">
        <v>14981.7073</v>
      </c>
    </row>
    <row r="18" spans="1:9" x14ac:dyDescent="0.2">
      <c r="A18" t="s">
        <v>15</v>
      </c>
      <c r="B18" t="s">
        <v>82</v>
      </c>
      <c r="C18" s="104"/>
      <c r="D18" s="104"/>
      <c r="E18" s="104"/>
      <c r="F18" s="104">
        <v>66585.365900000004</v>
      </c>
      <c r="G18" s="104"/>
      <c r="H18" s="104"/>
      <c r="I18" s="104">
        <v>66585.365900000004</v>
      </c>
    </row>
    <row r="19" spans="1:9" x14ac:dyDescent="0.2">
      <c r="A19" t="s">
        <v>20</v>
      </c>
      <c r="B19" t="s">
        <v>82</v>
      </c>
      <c r="C19" s="104"/>
      <c r="D19" s="104"/>
      <c r="E19" s="104"/>
      <c r="F19" s="104">
        <v>104634.14629999999</v>
      </c>
      <c r="G19" s="104"/>
      <c r="H19" s="104"/>
      <c r="I19" s="104">
        <v>104634.14629999999</v>
      </c>
    </row>
    <row r="20" spans="1:9" x14ac:dyDescent="0.2">
      <c r="A20" t="s">
        <v>17</v>
      </c>
      <c r="B20" t="s">
        <v>82</v>
      </c>
      <c r="C20" s="104">
        <v>95121.951199999996</v>
      </c>
      <c r="D20" s="104"/>
      <c r="E20" s="104"/>
      <c r="F20" s="104"/>
      <c r="G20" s="104"/>
      <c r="H20" s="104"/>
      <c r="I20" s="104">
        <v>95121.951199999996</v>
      </c>
    </row>
    <row r="21" spans="1:9" x14ac:dyDescent="0.2">
      <c r="A21" t="s">
        <v>28</v>
      </c>
      <c r="B21" t="s">
        <v>82</v>
      </c>
      <c r="C21" s="104">
        <v>249695.122</v>
      </c>
      <c r="D21" s="104"/>
      <c r="E21" s="104"/>
      <c r="F21" s="104"/>
      <c r="G21" s="104"/>
      <c r="H21" s="104"/>
      <c r="I21" s="104">
        <v>249695.122</v>
      </c>
    </row>
    <row r="22" spans="1:9" x14ac:dyDescent="0.2">
      <c r="A22" t="s">
        <v>39</v>
      </c>
      <c r="B22" t="s">
        <v>82</v>
      </c>
      <c r="C22" s="104"/>
      <c r="D22" s="104"/>
      <c r="E22" s="104">
        <v>570731.70730000001</v>
      </c>
      <c r="F22" s="104"/>
      <c r="G22" s="104"/>
      <c r="H22" s="104"/>
      <c r="I22" s="104">
        <v>570731.70730000001</v>
      </c>
    </row>
    <row r="23" spans="1:9" x14ac:dyDescent="0.2">
      <c r="A23" t="s">
        <v>30</v>
      </c>
      <c r="B23" t="s">
        <v>82</v>
      </c>
      <c r="C23" s="104"/>
      <c r="D23" s="104"/>
      <c r="E23" s="104">
        <v>285365.85369999998</v>
      </c>
      <c r="F23" s="104"/>
      <c r="G23" s="104"/>
      <c r="H23" s="104"/>
      <c r="I23" s="104">
        <v>285365.85369999998</v>
      </c>
    </row>
    <row r="24" spans="1:9" x14ac:dyDescent="0.2">
      <c r="A24" t="s">
        <v>4</v>
      </c>
      <c r="B24" t="s">
        <v>82</v>
      </c>
      <c r="C24" s="104"/>
      <c r="D24" s="104"/>
      <c r="E24" s="104"/>
      <c r="F24" s="104">
        <v>13393.170700000001</v>
      </c>
      <c r="G24" s="104"/>
      <c r="H24" s="104"/>
      <c r="I24" s="104">
        <v>13393.170700000001</v>
      </c>
    </row>
    <row r="25" spans="1:9" x14ac:dyDescent="0.2">
      <c r="A25" t="s">
        <v>45</v>
      </c>
      <c r="B25" t="s">
        <v>82</v>
      </c>
      <c r="C25" s="104">
        <v>1902439.0244</v>
      </c>
      <c r="D25" s="104"/>
      <c r="E25" s="104"/>
      <c r="F25" s="104"/>
      <c r="G25" s="104"/>
      <c r="H25" s="104"/>
      <c r="I25" s="104">
        <v>1902439.0244</v>
      </c>
    </row>
    <row r="26" spans="1:9" x14ac:dyDescent="0.2">
      <c r="A26" t="s">
        <v>46</v>
      </c>
      <c r="B26" t="s">
        <v>82</v>
      </c>
      <c r="C26" s="104">
        <v>2140243.9024</v>
      </c>
      <c r="D26" s="104"/>
      <c r="E26" s="104"/>
      <c r="F26" s="104"/>
      <c r="G26" s="104"/>
      <c r="H26" s="104"/>
      <c r="I26" s="104">
        <v>2140243.9024</v>
      </c>
    </row>
    <row r="27" spans="1:9" x14ac:dyDescent="0.2">
      <c r="A27" t="s">
        <v>55</v>
      </c>
      <c r="B27" t="s">
        <v>82</v>
      </c>
      <c r="C27" s="104"/>
      <c r="D27" s="104"/>
      <c r="E27" s="104"/>
      <c r="F27" s="104"/>
      <c r="G27" s="104">
        <v>594512.19510000001</v>
      </c>
      <c r="H27" s="104"/>
      <c r="I27" s="104">
        <v>594512.19510000001</v>
      </c>
    </row>
    <row r="28" spans="1:9" x14ac:dyDescent="0.2">
      <c r="A28" t="s">
        <v>43</v>
      </c>
      <c r="B28" t="s">
        <v>82</v>
      </c>
      <c r="C28" s="104">
        <v>951219.5122</v>
      </c>
      <c r="D28" s="104"/>
      <c r="E28" s="104"/>
      <c r="F28" s="104"/>
      <c r="G28" s="104"/>
      <c r="H28" s="104"/>
      <c r="I28" s="104">
        <v>951219.5122</v>
      </c>
    </row>
    <row r="29" spans="1:9" x14ac:dyDescent="0.2">
      <c r="A29" t="s">
        <v>16</v>
      </c>
      <c r="B29" t="s">
        <v>82</v>
      </c>
      <c r="C29" s="104">
        <v>85609.756099999999</v>
      </c>
      <c r="D29" s="104"/>
      <c r="E29" s="104"/>
      <c r="F29" s="104"/>
      <c r="G29" s="104"/>
      <c r="H29" s="104"/>
      <c r="I29" s="104">
        <v>85609.756099999999</v>
      </c>
    </row>
    <row r="30" spans="1:9" x14ac:dyDescent="0.2">
      <c r="A30" t="s">
        <v>24</v>
      </c>
      <c r="B30" t="s">
        <v>82</v>
      </c>
      <c r="C30" s="104"/>
      <c r="D30" s="104">
        <v>177560.97560000001</v>
      </c>
      <c r="E30" s="104"/>
      <c r="F30" s="104"/>
      <c r="G30" s="104"/>
      <c r="H30" s="104"/>
      <c r="I30" s="104">
        <v>177560.97560000001</v>
      </c>
    </row>
    <row r="31" spans="1:9" x14ac:dyDescent="0.2">
      <c r="A31" t="s">
        <v>27</v>
      </c>
      <c r="B31" t="s">
        <v>82</v>
      </c>
      <c r="C31" s="104"/>
      <c r="D31" s="104">
        <v>237567.07320000001</v>
      </c>
      <c r="E31" s="104"/>
      <c r="F31" s="104"/>
      <c r="G31" s="104"/>
      <c r="H31" s="104"/>
      <c r="I31" s="104">
        <v>237567.07320000001</v>
      </c>
    </row>
    <row r="32" spans="1:9" x14ac:dyDescent="0.2">
      <c r="A32" t="s">
        <v>5</v>
      </c>
      <c r="B32" t="s">
        <v>82</v>
      </c>
      <c r="C32" s="104">
        <v>14839.0244</v>
      </c>
      <c r="D32" s="104"/>
      <c r="E32" s="104"/>
      <c r="F32" s="104"/>
      <c r="G32" s="104"/>
      <c r="H32" s="104"/>
      <c r="I32" s="104">
        <v>14839.0244</v>
      </c>
    </row>
    <row r="33" spans="1:9" x14ac:dyDescent="0.2">
      <c r="A33" t="s">
        <v>38</v>
      </c>
      <c r="B33" t="s">
        <v>82</v>
      </c>
      <c r="C33" s="104"/>
      <c r="D33" s="104"/>
      <c r="E33" s="104"/>
      <c r="F33" s="104"/>
      <c r="G33" s="104"/>
      <c r="H33" s="104">
        <v>535060.97560000001</v>
      </c>
      <c r="I33" s="104">
        <v>535060.97560000001</v>
      </c>
    </row>
    <row r="34" spans="1:9" x14ac:dyDescent="0.2">
      <c r="A34" t="s">
        <v>42</v>
      </c>
      <c r="B34" t="s">
        <v>82</v>
      </c>
      <c r="C34" s="104">
        <v>927439.02439999999</v>
      </c>
      <c r="D34" s="104"/>
      <c r="E34" s="104"/>
      <c r="F34" s="104"/>
      <c r="G34" s="104"/>
      <c r="H34" s="104"/>
      <c r="I34" s="104">
        <v>927439.02439999999</v>
      </c>
    </row>
    <row r="35" spans="1:9" x14ac:dyDescent="0.2">
      <c r="A35" t="s">
        <v>41</v>
      </c>
      <c r="B35" t="s">
        <v>82</v>
      </c>
      <c r="C35" s="104">
        <v>927439.02439999999</v>
      </c>
      <c r="D35" s="104"/>
      <c r="E35" s="104"/>
      <c r="F35" s="104"/>
      <c r="G35" s="104"/>
      <c r="H35" s="104"/>
      <c r="I35" s="104">
        <v>927439.02439999999</v>
      </c>
    </row>
    <row r="36" spans="1:9" x14ac:dyDescent="0.2">
      <c r="A36" t="s">
        <v>22</v>
      </c>
      <c r="B36" t="s">
        <v>82</v>
      </c>
      <c r="C36" s="104"/>
      <c r="D36" s="104"/>
      <c r="E36" s="104"/>
      <c r="F36" s="104"/>
      <c r="G36" s="104"/>
      <c r="H36" s="104">
        <v>143646.03659999999</v>
      </c>
      <c r="I36" s="104">
        <v>143646.03659999999</v>
      </c>
    </row>
    <row r="37" spans="1:9" x14ac:dyDescent="0.2">
      <c r="A37" t="s">
        <v>29</v>
      </c>
      <c r="B37" t="s">
        <v>82</v>
      </c>
      <c r="C37" s="104">
        <v>261585.3659</v>
      </c>
      <c r="D37" s="104"/>
      <c r="E37" s="104"/>
      <c r="F37" s="104"/>
      <c r="G37" s="104"/>
      <c r="H37" s="104"/>
      <c r="I37" s="104">
        <v>261585.3659</v>
      </c>
    </row>
    <row r="38" spans="1:9" x14ac:dyDescent="0.2">
      <c r="A38" t="s">
        <v>18</v>
      </c>
      <c r="B38" t="s">
        <v>82</v>
      </c>
      <c r="C38" s="104">
        <v>95121.951199999996</v>
      </c>
      <c r="D38" s="104"/>
      <c r="E38" s="104"/>
      <c r="F38" s="104"/>
      <c r="G38" s="104"/>
      <c r="H38" s="104"/>
      <c r="I38" s="104">
        <v>95121.951199999996</v>
      </c>
    </row>
    <row r="39" spans="1:9" x14ac:dyDescent="0.2">
      <c r="A39" t="s">
        <v>12</v>
      </c>
      <c r="B39" t="s">
        <v>82</v>
      </c>
      <c r="C39" s="104">
        <v>52317.073199999999</v>
      </c>
      <c r="D39" s="104"/>
      <c r="E39" s="104"/>
      <c r="F39" s="104"/>
      <c r="G39" s="104"/>
      <c r="H39" s="104"/>
      <c r="I39" s="104">
        <v>52317.073199999999</v>
      </c>
    </row>
    <row r="40" spans="1:9" x14ac:dyDescent="0.2">
      <c r="A40" t="s">
        <v>44</v>
      </c>
      <c r="B40" t="s">
        <v>82</v>
      </c>
      <c r="C40" s="104"/>
      <c r="D40" s="104"/>
      <c r="E40" s="104"/>
      <c r="F40" s="104"/>
      <c r="G40" s="104"/>
      <c r="H40" s="104">
        <v>1902439.0244</v>
      </c>
      <c r="I40" s="104">
        <v>1902439.0244</v>
      </c>
    </row>
    <row r="41" spans="1:9" x14ac:dyDescent="0.2">
      <c r="A41" t="s">
        <v>11</v>
      </c>
      <c r="B41" t="s">
        <v>82</v>
      </c>
      <c r="C41" s="104"/>
      <c r="D41" s="104"/>
      <c r="E41" s="104"/>
      <c r="F41" s="104">
        <v>39951.219499999999</v>
      </c>
      <c r="G41" s="104"/>
      <c r="H41" s="104"/>
      <c r="I41" s="104">
        <v>39951.219499999999</v>
      </c>
    </row>
    <row r="42" spans="1:9" x14ac:dyDescent="0.2">
      <c r="A42" t="s">
        <v>19</v>
      </c>
      <c r="B42" t="s">
        <v>82</v>
      </c>
      <c r="C42" s="104"/>
      <c r="D42" s="104"/>
      <c r="E42" s="104"/>
      <c r="F42" s="104">
        <v>97404.877999999997</v>
      </c>
      <c r="G42" s="104"/>
      <c r="H42" s="104"/>
      <c r="I42" s="104">
        <v>97404.877999999997</v>
      </c>
    </row>
    <row r="43" spans="1:9" x14ac:dyDescent="0.2">
      <c r="A43" t="s">
        <v>1</v>
      </c>
      <c r="B43" t="s">
        <v>82</v>
      </c>
      <c r="C43" s="104"/>
      <c r="D43" s="104"/>
      <c r="E43" s="104"/>
      <c r="F43" s="104">
        <v>2853.6585</v>
      </c>
      <c r="G43" s="104"/>
      <c r="H43" s="104"/>
      <c r="I43" s="104">
        <v>2853.6585</v>
      </c>
    </row>
    <row r="44" spans="1:9" x14ac:dyDescent="0.2">
      <c r="A44" t="s">
        <v>8</v>
      </c>
      <c r="B44" t="s">
        <v>82</v>
      </c>
      <c r="C44" s="104"/>
      <c r="D44" s="104"/>
      <c r="E44" s="104"/>
      <c r="F44" s="104">
        <v>26396.341499999999</v>
      </c>
      <c r="G44" s="104"/>
      <c r="H44" s="104"/>
      <c r="I44" s="104">
        <v>26396.341499999999</v>
      </c>
    </row>
    <row r="45" spans="1:9" x14ac:dyDescent="0.2">
      <c r="A45" t="s">
        <v>13</v>
      </c>
      <c r="B45" t="s">
        <v>82</v>
      </c>
      <c r="C45" s="104"/>
      <c r="D45" s="104"/>
      <c r="E45" s="104"/>
      <c r="F45" s="104">
        <v>53506.097600000001</v>
      </c>
      <c r="G45" s="104"/>
      <c r="H45" s="104"/>
      <c r="I45" s="104">
        <v>53506.097600000001</v>
      </c>
    </row>
    <row r="46" spans="1:9" x14ac:dyDescent="0.2">
      <c r="A46" t="s">
        <v>9</v>
      </c>
      <c r="B46" t="s">
        <v>82</v>
      </c>
      <c r="C46" s="104"/>
      <c r="D46" s="104"/>
      <c r="E46" s="104"/>
      <c r="F46" s="104">
        <v>30439.024399999998</v>
      </c>
      <c r="G46" s="104"/>
      <c r="H46" s="104"/>
      <c r="I46" s="104">
        <v>30439.024399999998</v>
      </c>
    </row>
    <row r="47" spans="1:9" x14ac:dyDescent="0.2">
      <c r="A47" t="s">
        <v>2</v>
      </c>
      <c r="B47" t="s">
        <v>82</v>
      </c>
      <c r="C47" s="104"/>
      <c r="D47" s="104"/>
      <c r="E47" s="104"/>
      <c r="F47" s="104">
        <v>11414.634099999999</v>
      </c>
      <c r="G47" s="104"/>
      <c r="H47" s="104"/>
      <c r="I47" s="104">
        <v>11414.634099999999</v>
      </c>
    </row>
    <row r="48" spans="1:9" x14ac:dyDescent="0.2">
      <c r="A48" t="s">
        <v>33</v>
      </c>
      <c r="B48" t="s">
        <v>82</v>
      </c>
      <c r="C48" s="104">
        <v>428048.78049999999</v>
      </c>
      <c r="D48" s="104"/>
      <c r="E48" s="104"/>
      <c r="F48" s="104"/>
      <c r="G48" s="104"/>
      <c r="H48" s="104"/>
      <c r="I48" s="104">
        <v>428048.78049999999</v>
      </c>
    </row>
    <row r="49" spans="1:9" x14ac:dyDescent="0.2">
      <c r="A49" t="s">
        <v>25</v>
      </c>
      <c r="B49" t="s">
        <v>82</v>
      </c>
      <c r="C49" s="104">
        <v>190243.90239999999</v>
      </c>
      <c r="D49" s="104"/>
      <c r="E49" s="104"/>
      <c r="F49" s="104"/>
      <c r="G49" s="104"/>
      <c r="H49" s="104"/>
      <c r="I49" s="104">
        <v>190243.90239999999</v>
      </c>
    </row>
    <row r="50" spans="1:9" x14ac:dyDescent="0.2">
      <c r="A50" t="s">
        <v>31</v>
      </c>
      <c r="B50" t="s">
        <v>82</v>
      </c>
      <c r="C50" s="104">
        <v>297256.09759999998</v>
      </c>
      <c r="D50" s="104"/>
      <c r="E50" s="104"/>
      <c r="F50" s="104"/>
      <c r="G50" s="104"/>
      <c r="H50" s="104"/>
      <c r="I50" s="104">
        <v>297256.09759999998</v>
      </c>
    </row>
    <row r="51" spans="1:9" x14ac:dyDescent="0.2">
      <c r="A51" t="s">
        <v>32</v>
      </c>
      <c r="B51" t="s">
        <v>82</v>
      </c>
      <c r="C51" s="104">
        <v>332926.82929999998</v>
      </c>
      <c r="D51" s="104"/>
      <c r="E51" s="104"/>
      <c r="F51" s="104"/>
      <c r="G51" s="104"/>
      <c r="H51" s="104"/>
      <c r="I51" s="104">
        <v>332926.82929999998</v>
      </c>
    </row>
    <row r="52" spans="1:9" x14ac:dyDescent="0.2">
      <c r="A52" t="s">
        <v>0</v>
      </c>
      <c r="B52" t="s">
        <v>82</v>
      </c>
      <c r="C52" s="104"/>
      <c r="D52" s="104"/>
      <c r="E52" s="104"/>
      <c r="F52" s="104"/>
      <c r="G52" s="104">
        <v>346.4024</v>
      </c>
      <c r="H52" s="104"/>
      <c r="I52" s="104">
        <v>346.4024</v>
      </c>
    </row>
    <row r="53" spans="1:9" x14ac:dyDescent="0.2">
      <c r="A53" t="s">
        <v>63</v>
      </c>
      <c r="C53" s="104">
        <v>10767186.5857</v>
      </c>
      <c r="D53" s="104">
        <v>1318786.5854</v>
      </c>
      <c r="E53" s="104">
        <v>1350731.7072999999</v>
      </c>
      <c r="F53" s="104">
        <v>493492.68279999995</v>
      </c>
      <c r="G53" s="104">
        <v>594858.59750000003</v>
      </c>
      <c r="H53" s="104">
        <v>2581146.0366000002</v>
      </c>
      <c r="I53" s="104">
        <v>17106202.195299998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9"/>
  <sheetViews>
    <sheetView workbookViewId="0">
      <selection activeCell="O1" sqref="O1"/>
    </sheetView>
  </sheetViews>
  <sheetFormatPr baseColWidth="10" defaultRowHeight="12.75" x14ac:dyDescent="0.2"/>
  <cols>
    <col min="1" max="1" width="12" style="95" bestFit="1" customWidth="1"/>
    <col min="2" max="2" width="5.28515625" bestFit="1" customWidth="1"/>
    <col min="3" max="3" width="6.85546875" customWidth="1"/>
    <col min="4" max="4" width="10.140625" bestFit="1" customWidth="1"/>
    <col min="5" max="5" width="24" customWidth="1"/>
    <col min="6" max="6" width="14.5703125" bestFit="1" customWidth="1"/>
    <col min="7" max="7" width="11" bestFit="1" customWidth="1"/>
    <col min="8" max="8" width="14.42578125" bestFit="1" customWidth="1"/>
    <col min="9" max="9" width="16.140625" bestFit="1" customWidth="1"/>
    <col min="10" max="10" width="15.42578125" bestFit="1" customWidth="1"/>
    <col min="11" max="11" width="18" bestFit="1" customWidth="1"/>
    <col min="12" max="12" width="16.28515625" customWidth="1"/>
    <col min="13" max="13" width="5.5703125" customWidth="1"/>
    <col min="14" max="14" width="9.28515625" customWidth="1"/>
    <col min="15" max="15" width="18" bestFit="1" customWidth="1"/>
    <col min="16" max="16" width="14.5703125" customWidth="1"/>
  </cols>
  <sheetData>
    <row r="1" spans="1:16" x14ac:dyDescent="0.2">
      <c r="A1" s="95" t="s">
        <v>67</v>
      </c>
      <c r="B1" s="87" t="s">
        <v>66</v>
      </c>
      <c r="C1" s="87" t="s">
        <v>50</v>
      </c>
      <c r="D1" s="87" t="s">
        <v>69</v>
      </c>
      <c r="E1" s="87" t="s">
        <v>49</v>
      </c>
      <c r="F1" s="87" t="s">
        <v>59</v>
      </c>
      <c r="G1" s="87" t="s">
        <v>47</v>
      </c>
      <c r="H1" s="87" t="s">
        <v>60</v>
      </c>
      <c r="I1" s="87" t="s">
        <v>68</v>
      </c>
      <c r="J1" s="87" t="s">
        <v>61</v>
      </c>
      <c r="K1" s="87" t="s">
        <v>65</v>
      </c>
      <c r="L1" s="87" t="s">
        <v>79</v>
      </c>
      <c r="M1" s="87" t="s">
        <v>81</v>
      </c>
      <c r="N1" s="87" t="s">
        <v>83</v>
      </c>
      <c r="O1" s="87" t="s">
        <v>100</v>
      </c>
      <c r="P1" s="87" t="s">
        <v>99</v>
      </c>
    </row>
    <row r="2" spans="1:16" x14ac:dyDescent="0.2">
      <c r="A2" s="95">
        <v>2.0833333333333332E-2</v>
      </c>
      <c r="B2" s="87">
        <v>1</v>
      </c>
      <c r="C2" s="87">
        <v>8602</v>
      </c>
      <c r="D2" s="87">
        <v>86</v>
      </c>
      <c r="E2" s="87" t="s">
        <v>46</v>
      </c>
      <c r="F2" s="94">
        <v>11.890243902439025</v>
      </c>
      <c r="G2" s="87">
        <v>180000</v>
      </c>
      <c r="H2" s="94">
        <v>2140243.9024</v>
      </c>
      <c r="I2" s="96">
        <v>0.12511508270663038</v>
      </c>
      <c r="J2" s="94">
        <v>2140243.9024</v>
      </c>
      <c r="K2" s="37">
        <v>0.12511508270663038</v>
      </c>
      <c r="L2" s="87" t="s">
        <v>51</v>
      </c>
      <c r="M2" s="87" t="s">
        <v>56</v>
      </c>
      <c r="N2" s="87" t="s">
        <v>57</v>
      </c>
      <c r="O2" s="87" t="s">
        <v>80</v>
      </c>
      <c r="P2" s="94">
        <v>1070121.9512</v>
      </c>
    </row>
    <row r="3" spans="1:16" x14ac:dyDescent="0.2">
      <c r="A3" s="95">
        <v>2.0833333333333332E-2</v>
      </c>
      <c r="B3" s="87">
        <v>1</v>
      </c>
      <c r="C3" s="87">
        <v>8602</v>
      </c>
      <c r="D3" s="87">
        <v>86</v>
      </c>
      <c r="E3" s="87" t="s">
        <v>46</v>
      </c>
      <c r="F3" s="94">
        <v>11.890243902439025</v>
      </c>
      <c r="G3" s="87">
        <v>180000</v>
      </c>
      <c r="H3" s="94">
        <v>2140243.9024</v>
      </c>
      <c r="I3" s="96">
        <v>0.12511508270663038</v>
      </c>
      <c r="J3" s="94">
        <v>2140243.9024</v>
      </c>
      <c r="K3" s="37">
        <v>0.12511508270663038</v>
      </c>
      <c r="L3" s="87" t="s">
        <v>51</v>
      </c>
      <c r="M3" s="87" t="s">
        <v>56</v>
      </c>
      <c r="N3" s="87" t="s">
        <v>57</v>
      </c>
      <c r="O3" s="87" t="s">
        <v>82</v>
      </c>
      <c r="P3" s="94">
        <v>642073.17070000002</v>
      </c>
    </row>
    <row r="4" spans="1:16" x14ac:dyDescent="0.2">
      <c r="A4" s="95">
        <v>2.0833333333333332E-2</v>
      </c>
      <c r="B4" s="87">
        <v>1</v>
      </c>
      <c r="C4" s="87">
        <v>8602</v>
      </c>
      <c r="D4" s="87">
        <v>86</v>
      </c>
      <c r="E4" s="87" t="s">
        <v>46</v>
      </c>
      <c r="F4" s="94">
        <v>11.890243902439025</v>
      </c>
      <c r="G4" s="87">
        <v>180000</v>
      </c>
      <c r="H4" s="94">
        <v>2140243.9024</v>
      </c>
      <c r="I4" s="96">
        <v>0.12511508270663038</v>
      </c>
      <c r="J4" s="94">
        <v>2140243.9024</v>
      </c>
      <c r="K4" s="37">
        <v>0.12511508270663038</v>
      </c>
      <c r="L4" s="87" t="s">
        <v>51</v>
      </c>
      <c r="M4" s="87" t="s">
        <v>56</v>
      </c>
      <c r="N4" s="87" t="s">
        <v>57</v>
      </c>
      <c r="O4" s="87" t="s">
        <v>84</v>
      </c>
      <c r="P4" s="94">
        <v>428048.78049999999</v>
      </c>
    </row>
    <row r="5" spans="1:16" x14ac:dyDescent="0.2">
      <c r="A5" s="95">
        <v>6.25E-2</v>
      </c>
      <c r="B5" s="87">
        <v>3</v>
      </c>
      <c r="C5" s="87">
        <v>8601</v>
      </c>
      <c r="D5" s="87">
        <v>86</v>
      </c>
      <c r="E5" s="87" t="s">
        <v>45</v>
      </c>
      <c r="F5" s="94">
        <v>15.853658536585368</v>
      </c>
      <c r="G5" s="87">
        <v>120000</v>
      </c>
      <c r="H5" s="94">
        <v>1902439.0244</v>
      </c>
      <c r="I5" s="96">
        <v>0.11121340685033815</v>
      </c>
      <c r="J5" s="94">
        <v>4042682.9268</v>
      </c>
      <c r="K5" s="37">
        <v>0.2363284895569685</v>
      </c>
      <c r="L5" s="87" t="s">
        <v>51</v>
      </c>
      <c r="M5" s="87" t="s">
        <v>56</v>
      </c>
      <c r="N5" s="87" t="s">
        <v>57</v>
      </c>
      <c r="O5" s="87" t="s">
        <v>80</v>
      </c>
      <c r="P5" s="94">
        <v>951219.5122</v>
      </c>
    </row>
    <row r="6" spans="1:16" x14ac:dyDescent="0.2">
      <c r="A6" s="95">
        <v>6.25E-2</v>
      </c>
      <c r="B6" s="87">
        <v>3</v>
      </c>
      <c r="C6" s="87">
        <v>8601</v>
      </c>
      <c r="D6" s="87">
        <v>86</v>
      </c>
      <c r="E6" s="87" t="s">
        <v>45</v>
      </c>
      <c r="F6" s="94">
        <v>15.853658536585368</v>
      </c>
      <c r="G6" s="87">
        <v>120000</v>
      </c>
      <c r="H6" s="94">
        <v>1902439.0244</v>
      </c>
      <c r="I6" s="96">
        <v>0.11121340685033815</v>
      </c>
      <c r="J6" s="94">
        <v>4042682.9268</v>
      </c>
      <c r="K6" s="37">
        <v>0.2363284895569685</v>
      </c>
      <c r="L6" s="87" t="s">
        <v>51</v>
      </c>
      <c r="M6" s="87" t="s">
        <v>56</v>
      </c>
      <c r="N6" s="87" t="s">
        <v>57</v>
      </c>
      <c r="O6" s="87" t="s">
        <v>82</v>
      </c>
      <c r="P6" s="94">
        <v>570731.70730000001</v>
      </c>
    </row>
    <row r="7" spans="1:16" x14ac:dyDescent="0.2">
      <c r="A7" s="95">
        <v>6.25E-2</v>
      </c>
      <c r="B7" s="87">
        <v>3</v>
      </c>
      <c r="C7" s="87">
        <v>8601</v>
      </c>
      <c r="D7" s="87">
        <v>86</v>
      </c>
      <c r="E7" s="87" t="s">
        <v>45</v>
      </c>
      <c r="F7" s="94">
        <v>15.853658536585368</v>
      </c>
      <c r="G7" s="87">
        <v>120000</v>
      </c>
      <c r="H7" s="94">
        <v>1902439.0244</v>
      </c>
      <c r="I7" s="96">
        <v>0.11121340685033815</v>
      </c>
      <c r="J7" s="94">
        <v>4042682.9268</v>
      </c>
      <c r="K7" s="37">
        <v>0.2363284895569685</v>
      </c>
      <c r="L7" s="87" t="s">
        <v>51</v>
      </c>
      <c r="M7" s="87" t="s">
        <v>56</v>
      </c>
      <c r="N7" s="87" t="s">
        <v>57</v>
      </c>
      <c r="O7" s="87" t="s">
        <v>84</v>
      </c>
      <c r="P7" s="94">
        <v>380487.80489999999</v>
      </c>
    </row>
    <row r="8" spans="1:16" x14ac:dyDescent="0.2">
      <c r="A8" s="95">
        <v>4.1666666666666664E-2</v>
      </c>
      <c r="B8" s="87">
        <v>2</v>
      </c>
      <c r="C8" s="87">
        <v>4803</v>
      </c>
      <c r="D8" s="87">
        <v>48</v>
      </c>
      <c r="E8" s="87" t="s">
        <v>44</v>
      </c>
      <c r="F8" s="94">
        <v>15.853658536585368</v>
      </c>
      <c r="G8" s="87">
        <v>120000</v>
      </c>
      <c r="H8" s="94">
        <v>1902439.0244</v>
      </c>
      <c r="I8" s="96">
        <v>0.11121340685033815</v>
      </c>
      <c r="J8" s="94">
        <v>5945121.9512</v>
      </c>
      <c r="K8" s="37">
        <v>0.34754189640730665</v>
      </c>
      <c r="L8" s="87" t="s">
        <v>58</v>
      </c>
      <c r="M8" s="87" t="s">
        <v>51</v>
      </c>
      <c r="N8" s="87" t="s">
        <v>56</v>
      </c>
      <c r="O8" s="87" t="s">
        <v>80</v>
      </c>
      <c r="P8" s="94">
        <v>951219.5122</v>
      </c>
    </row>
    <row r="9" spans="1:16" x14ac:dyDescent="0.2">
      <c r="A9" s="95">
        <v>4.1666666666666664E-2</v>
      </c>
      <c r="B9" s="87">
        <v>2</v>
      </c>
      <c r="C9" s="87">
        <v>4803</v>
      </c>
      <c r="D9" s="87">
        <v>48</v>
      </c>
      <c r="E9" s="87" t="s">
        <v>44</v>
      </c>
      <c r="F9" s="94">
        <v>15.853658536585368</v>
      </c>
      <c r="G9" s="87">
        <v>120000</v>
      </c>
      <c r="H9" s="94">
        <v>1902439.0244</v>
      </c>
      <c r="I9" s="96">
        <v>0.11121340685033815</v>
      </c>
      <c r="J9" s="94">
        <v>5945121.9512</v>
      </c>
      <c r="K9" s="37">
        <v>0.34754189640730665</v>
      </c>
      <c r="L9" s="87" t="s">
        <v>58</v>
      </c>
      <c r="M9" s="87" t="s">
        <v>51</v>
      </c>
      <c r="N9" s="87" t="s">
        <v>56</v>
      </c>
      <c r="O9" s="87" t="s">
        <v>82</v>
      </c>
      <c r="P9" s="94">
        <v>570731.70730000001</v>
      </c>
    </row>
    <row r="10" spans="1:16" x14ac:dyDescent="0.2">
      <c r="A10" s="95">
        <v>4.1666666666666664E-2</v>
      </c>
      <c r="B10" s="87">
        <v>2</v>
      </c>
      <c r="C10" s="87">
        <v>4803</v>
      </c>
      <c r="D10" s="87">
        <v>48</v>
      </c>
      <c r="E10" s="87" t="s">
        <v>44</v>
      </c>
      <c r="F10" s="94">
        <v>15.853658536585368</v>
      </c>
      <c r="G10" s="87">
        <v>120000</v>
      </c>
      <c r="H10" s="94">
        <v>1902439.0244</v>
      </c>
      <c r="I10" s="96">
        <v>0.11121340685033815</v>
      </c>
      <c r="J10" s="94">
        <v>5945121.9512</v>
      </c>
      <c r="K10" s="37">
        <v>0.34754189640730665</v>
      </c>
      <c r="L10" s="87" t="s">
        <v>58</v>
      </c>
      <c r="M10" s="87" t="s">
        <v>51</v>
      </c>
      <c r="N10" s="87" t="s">
        <v>56</v>
      </c>
      <c r="O10" s="87" t="s">
        <v>84</v>
      </c>
      <c r="P10" s="94">
        <v>380487.80489999999</v>
      </c>
    </row>
    <row r="11" spans="1:16" x14ac:dyDescent="0.2">
      <c r="A11" s="95">
        <v>8.3333333333333329E-2</v>
      </c>
      <c r="B11" s="87">
        <v>4</v>
      </c>
      <c r="C11" s="87">
        <v>8603</v>
      </c>
      <c r="D11" s="87">
        <v>86</v>
      </c>
      <c r="E11" s="87" t="s">
        <v>43</v>
      </c>
      <c r="F11" s="94">
        <v>7.9268292682926838</v>
      </c>
      <c r="G11" s="87">
        <v>120000</v>
      </c>
      <c r="H11" s="94">
        <v>951219.5122</v>
      </c>
      <c r="I11" s="96">
        <v>5.5606703425169074E-2</v>
      </c>
      <c r="J11" s="94">
        <v>6896341.4633999998</v>
      </c>
      <c r="K11" s="37">
        <v>0.40314859983247575</v>
      </c>
      <c r="L11" s="87" t="s">
        <v>51</v>
      </c>
      <c r="M11" s="87" t="s">
        <v>56</v>
      </c>
      <c r="N11" s="87" t="s">
        <v>57</v>
      </c>
      <c r="O11" s="87" t="s">
        <v>80</v>
      </c>
      <c r="P11" s="94">
        <v>475609.7561</v>
      </c>
    </row>
    <row r="12" spans="1:16" x14ac:dyDescent="0.2">
      <c r="A12" s="95">
        <v>8.3333333333333329E-2</v>
      </c>
      <c r="B12" s="87">
        <v>4</v>
      </c>
      <c r="C12" s="87">
        <v>8603</v>
      </c>
      <c r="D12" s="87">
        <v>86</v>
      </c>
      <c r="E12" s="87" t="s">
        <v>43</v>
      </c>
      <c r="F12" s="94">
        <v>7.9268292682926838</v>
      </c>
      <c r="G12" s="87">
        <v>120000</v>
      </c>
      <c r="H12" s="94">
        <v>951219.5122</v>
      </c>
      <c r="I12" s="96">
        <v>5.5606703425169074E-2</v>
      </c>
      <c r="J12" s="94">
        <v>6896341.4633999998</v>
      </c>
      <c r="K12" s="37">
        <v>0.40314859983247575</v>
      </c>
      <c r="L12" s="87" t="s">
        <v>51</v>
      </c>
      <c r="M12" s="87" t="s">
        <v>56</v>
      </c>
      <c r="N12" s="87" t="s">
        <v>57</v>
      </c>
      <c r="O12" s="87" t="s">
        <v>82</v>
      </c>
      <c r="P12" s="94">
        <v>285365.85369999998</v>
      </c>
    </row>
    <row r="13" spans="1:16" x14ac:dyDescent="0.2">
      <c r="A13" s="95">
        <v>8.3333333333333329E-2</v>
      </c>
      <c r="B13">
        <v>4</v>
      </c>
      <c r="C13">
        <v>8603</v>
      </c>
      <c r="D13">
        <v>86</v>
      </c>
      <c r="E13" t="s">
        <v>43</v>
      </c>
      <c r="F13" s="94">
        <v>7.9268292682926838</v>
      </c>
      <c r="G13">
        <v>120000</v>
      </c>
      <c r="H13" s="94">
        <v>951219.5122</v>
      </c>
      <c r="I13" s="96">
        <v>5.5606703425169074E-2</v>
      </c>
      <c r="J13" s="94">
        <v>6896341.4633999998</v>
      </c>
      <c r="K13" s="37">
        <v>0.40314859983247575</v>
      </c>
      <c r="L13" t="s">
        <v>51</v>
      </c>
      <c r="M13" t="s">
        <v>56</v>
      </c>
      <c r="N13" t="s">
        <v>57</v>
      </c>
      <c r="O13" s="87" t="s">
        <v>84</v>
      </c>
      <c r="P13" s="94">
        <v>190243.90239999999</v>
      </c>
    </row>
    <row r="14" spans="1:16" x14ac:dyDescent="0.2">
      <c r="A14" s="95">
        <v>0.10416666666666667</v>
      </c>
      <c r="B14">
        <v>5</v>
      </c>
      <c r="C14">
        <v>1714</v>
      </c>
      <c r="D14">
        <v>17</v>
      </c>
      <c r="E14" t="s">
        <v>42</v>
      </c>
      <c r="F14" s="94">
        <v>5.1524390243902447</v>
      </c>
      <c r="G14">
        <v>180000</v>
      </c>
      <c r="H14" s="94">
        <v>927439.02439999999</v>
      </c>
      <c r="I14" s="96">
        <v>5.4216535839539844E-2</v>
      </c>
      <c r="J14" s="94">
        <v>7823780.4878000002</v>
      </c>
      <c r="K14" s="37">
        <v>0.45736513567201559</v>
      </c>
      <c r="L14" t="s">
        <v>51</v>
      </c>
      <c r="M14" t="s">
        <v>52</v>
      </c>
      <c r="N14" t="s">
        <v>56</v>
      </c>
      <c r="O14" s="87" t="s">
        <v>80</v>
      </c>
      <c r="P14" s="94">
        <v>463719.5122</v>
      </c>
    </row>
    <row r="15" spans="1:16" x14ac:dyDescent="0.2">
      <c r="A15" s="95">
        <v>0.10416666666666667</v>
      </c>
      <c r="B15">
        <v>5</v>
      </c>
      <c r="C15">
        <v>1714</v>
      </c>
      <c r="D15">
        <v>17</v>
      </c>
      <c r="E15" t="s">
        <v>42</v>
      </c>
      <c r="F15" s="94">
        <v>5.1524390243902447</v>
      </c>
      <c r="G15">
        <v>180000</v>
      </c>
      <c r="H15" s="94">
        <v>927439.02439999999</v>
      </c>
      <c r="I15" s="96">
        <v>5.4216535839539844E-2</v>
      </c>
      <c r="J15" s="94">
        <v>7823780.4878000002</v>
      </c>
      <c r="K15" s="37">
        <v>0.45736513567201559</v>
      </c>
      <c r="L15" t="s">
        <v>51</v>
      </c>
      <c r="M15" t="s">
        <v>52</v>
      </c>
      <c r="N15" t="s">
        <v>56</v>
      </c>
      <c r="O15" s="87" t="s">
        <v>82</v>
      </c>
      <c r="P15" s="94">
        <v>278231.70730000001</v>
      </c>
    </row>
    <row r="16" spans="1:16" x14ac:dyDescent="0.2">
      <c r="A16" s="95">
        <v>0.10416666666666667</v>
      </c>
      <c r="B16">
        <v>5</v>
      </c>
      <c r="C16">
        <v>1714</v>
      </c>
      <c r="D16">
        <v>17</v>
      </c>
      <c r="E16" t="s">
        <v>42</v>
      </c>
      <c r="F16" s="94">
        <v>5.1524390243902447</v>
      </c>
      <c r="G16">
        <v>180000</v>
      </c>
      <c r="H16" s="94">
        <v>927439.02439999999</v>
      </c>
      <c r="I16" s="96">
        <v>5.4216535839539844E-2</v>
      </c>
      <c r="J16" s="94">
        <v>7823780.4878000002</v>
      </c>
      <c r="K16" s="37">
        <v>0.45736513567201559</v>
      </c>
      <c r="L16" t="s">
        <v>51</v>
      </c>
      <c r="M16" t="s">
        <v>52</v>
      </c>
      <c r="N16" t="s">
        <v>56</v>
      </c>
      <c r="O16" s="87" t="s">
        <v>84</v>
      </c>
      <c r="P16" s="94">
        <v>185487.80489999999</v>
      </c>
    </row>
    <row r="17" spans="1:16" x14ac:dyDescent="0.2">
      <c r="A17" s="95">
        <v>0.125</v>
      </c>
      <c r="B17">
        <v>6</v>
      </c>
      <c r="C17">
        <v>1715</v>
      </c>
      <c r="D17">
        <v>17</v>
      </c>
      <c r="E17" t="s">
        <v>41</v>
      </c>
      <c r="F17" s="94">
        <v>5.1524390243902447</v>
      </c>
      <c r="G17">
        <v>180000</v>
      </c>
      <c r="H17" s="94">
        <v>927439.02439999999</v>
      </c>
      <c r="I17" s="96">
        <v>5.4216535839539844E-2</v>
      </c>
      <c r="J17" s="94">
        <v>8751219.5121999998</v>
      </c>
      <c r="K17" s="37">
        <v>0.51158167151155542</v>
      </c>
      <c r="L17" t="s">
        <v>51</v>
      </c>
      <c r="M17" t="s">
        <v>52</v>
      </c>
      <c r="N17" t="s">
        <v>56</v>
      </c>
      <c r="O17" s="87" t="s">
        <v>80</v>
      </c>
      <c r="P17" s="94">
        <v>463719.5122</v>
      </c>
    </row>
    <row r="18" spans="1:16" x14ac:dyDescent="0.2">
      <c r="A18" s="95">
        <v>0.125</v>
      </c>
      <c r="B18">
        <v>6</v>
      </c>
      <c r="C18">
        <v>1715</v>
      </c>
      <c r="D18">
        <v>17</v>
      </c>
      <c r="E18" t="s">
        <v>41</v>
      </c>
      <c r="F18" s="94">
        <v>5.1524390243902447</v>
      </c>
      <c r="G18">
        <v>180000</v>
      </c>
      <c r="H18" s="94">
        <v>927439.02439999999</v>
      </c>
      <c r="I18" s="96">
        <v>5.4216535839539844E-2</v>
      </c>
      <c r="J18" s="94">
        <v>8751219.5121999998</v>
      </c>
      <c r="K18" s="37">
        <v>0.51158167151155542</v>
      </c>
      <c r="L18" t="s">
        <v>51</v>
      </c>
      <c r="M18" t="s">
        <v>52</v>
      </c>
      <c r="N18" t="s">
        <v>56</v>
      </c>
      <c r="O18" s="87" t="s">
        <v>82</v>
      </c>
      <c r="P18" s="94">
        <v>278231.70730000001</v>
      </c>
    </row>
    <row r="19" spans="1:16" x14ac:dyDescent="0.2">
      <c r="A19" s="95">
        <v>0.125</v>
      </c>
      <c r="B19">
        <v>6</v>
      </c>
      <c r="C19">
        <v>1715</v>
      </c>
      <c r="D19">
        <v>17</v>
      </c>
      <c r="E19" t="s">
        <v>41</v>
      </c>
      <c r="F19" s="94">
        <v>5.1524390243902447</v>
      </c>
      <c r="G19">
        <v>180000</v>
      </c>
      <c r="H19" s="94">
        <v>927439.02439999999</v>
      </c>
      <c r="I19" s="96">
        <v>5.4216535839539844E-2</v>
      </c>
      <c r="J19" s="94">
        <v>8751219.5121999998</v>
      </c>
      <c r="K19" s="37">
        <v>0.51158167151155542</v>
      </c>
      <c r="L19" t="s">
        <v>51</v>
      </c>
      <c r="M19" t="s">
        <v>52</v>
      </c>
      <c r="N19" t="s">
        <v>56</v>
      </c>
      <c r="O19" s="87" t="s">
        <v>84</v>
      </c>
      <c r="P19" s="94">
        <v>185487.80489999999</v>
      </c>
    </row>
    <row r="20" spans="1:16" x14ac:dyDescent="0.2">
      <c r="A20" s="95">
        <v>0.14583333333333334</v>
      </c>
      <c r="B20">
        <v>7</v>
      </c>
      <c r="C20">
        <v>9901</v>
      </c>
      <c r="D20">
        <v>99</v>
      </c>
      <c r="E20" t="s">
        <v>40</v>
      </c>
      <c r="F20" s="94">
        <v>693.59756097560978</v>
      </c>
      <c r="G20">
        <v>1080</v>
      </c>
      <c r="H20" s="94">
        <v>749085.36589999998</v>
      </c>
      <c r="I20" s="96">
        <v>4.3790278947320634E-2</v>
      </c>
      <c r="J20" s="94">
        <v>9500304.8780000005</v>
      </c>
      <c r="K20" s="37">
        <v>0.55537195045887611</v>
      </c>
      <c r="L20" t="s">
        <v>51</v>
      </c>
      <c r="M20" t="s">
        <v>53</v>
      </c>
      <c r="N20" t="s">
        <v>56</v>
      </c>
      <c r="O20" s="87" t="s">
        <v>80</v>
      </c>
      <c r="P20" s="94">
        <v>374542.68290000001</v>
      </c>
    </row>
    <row r="21" spans="1:16" x14ac:dyDescent="0.2">
      <c r="A21" s="95">
        <v>0.14583333333333334</v>
      </c>
      <c r="B21">
        <v>7</v>
      </c>
      <c r="C21">
        <v>9901</v>
      </c>
      <c r="D21">
        <v>99</v>
      </c>
      <c r="E21" t="s">
        <v>40</v>
      </c>
      <c r="F21" s="94">
        <v>693.59756097560978</v>
      </c>
      <c r="G21">
        <v>1080</v>
      </c>
      <c r="H21" s="94">
        <v>749085.36589999998</v>
      </c>
      <c r="I21" s="96">
        <v>4.3790278947320634E-2</v>
      </c>
      <c r="J21" s="94">
        <v>9500304.8780000005</v>
      </c>
      <c r="K21" s="37">
        <v>0.55537195045887611</v>
      </c>
      <c r="L21" t="s">
        <v>51</v>
      </c>
      <c r="M21" t="s">
        <v>53</v>
      </c>
      <c r="N21" t="s">
        <v>56</v>
      </c>
      <c r="O21" s="87" t="s">
        <v>82</v>
      </c>
      <c r="P21" s="94">
        <v>224725.60980000001</v>
      </c>
    </row>
    <row r="22" spans="1:16" x14ac:dyDescent="0.2">
      <c r="A22" s="95">
        <v>0.14583333333333334</v>
      </c>
      <c r="B22">
        <v>7</v>
      </c>
      <c r="C22">
        <v>9901</v>
      </c>
      <c r="D22">
        <v>99</v>
      </c>
      <c r="E22" t="s">
        <v>40</v>
      </c>
      <c r="F22" s="94">
        <v>693.59756097560978</v>
      </c>
      <c r="G22">
        <v>1080</v>
      </c>
      <c r="H22" s="94">
        <v>749085.36589999998</v>
      </c>
      <c r="I22" s="96">
        <v>4.3790278947320634E-2</v>
      </c>
      <c r="J22" s="94">
        <v>9500304.8780000005</v>
      </c>
      <c r="K22" s="37">
        <v>0.55537195045887611</v>
      </c>
      <c r="L22" t="s">
        <v>51</v>
      </c>
      <c r="M22" t="s">
        <v>53</v>
      </c>
      <c r="N22" t="s">
        <v>56</v>
      </c>
      <c r="O22" s="87" t="s">
        <v>84</v>
      </c>
      <c r="P22" s="94">
        <v>149817.07320000001</v>
      </c>
    </row>
    <row r="23" spans="1:16" x14ac:dyDescent="0.2">
      <c r="A23" s="95">
        <v>0.16666666666666666</v>
      </c>
      <c r="B23">
        <v>8</v>
      </c>
      <c r="C23">
        <v>8604</v>
      </c>
      <c r="D23">
        <v>86</v>
      </c>
      <c r="E23" t="s">
        <v>55</v>
      </c>
      <c r="F23" s="94">
        <v>49.542682926829272</v>
      </c>
      <c r="G23">
        <v>12000</v>
      </c>
      <c r="H23" s="94">
        <v>594512.19510000001</v>
      </c>
      <c r="I23" s="96">
        <v>3.4754189640730668E-2</v>
      </c>
      <c r="J23" s="94">
        <v>10094817.0732</v>
      </c>
      <c r="K23" s="37">
        <v>0.59012614009960673</v>
      </c>
      <c r="L23" t="s">
        <v>57</v>
      </c>
      <c r="M23" t="s">
        <v>56</v>
      </c>
      <c r="N23" t="s">
        <v>51</v>
      </c>
      <c r="O23" s="87" t="s">
        <v>80</v>
      </c>
      <c r="P23" s="94">
        <v>297256.09759999998</v>
      </c>
    </row>
    <row r="24" spans="1:16" x14ac:dyDescent="0.2">
      <c r="A24" s="95">
        <v>0.16666666666666666</v>
      </c>
      <c r="B24">
        <v>8</v>
      </c>
      <c r="C24">
        <v>8604</v>
      </c>
      <c r="D24">
        <v>86</v>
      </c>
      <c r="E24" t="s">
        <v>55</v>
      </c>
      <c r="F24" s="94">
        <v>49.542682926829272</v>
      </c>
      <c r="G24">
        <v>12000</v>
      </c>
      <c r="H24" s="94">
        <v>594512.19510000001</v>
      </c>
      <c r="I24" s="96">
        <v>3.4754189640730668E-2</v>
      </c>
      <c r="J24" s="94">
        <v>10094817.0732</v>
      </c>
      <c r="K24" s="37">
        <v>0.59012614009960673</v>
      </c>
      <c r="L24" t="s">
        <v>57</v>
      </c>
      <c r="M24" t="s">
        <v>56</v>
      </c>
      <c r="N24" t="s">
        <v>51</v>
      </c>
      <c r="O24" s="87" t="s">
        <v>82</v>
      </c>
      <c r="P24" s="94">
        <v>178353.65849999999</v>
      </c>
    </row>
    <row r="25" spans="1:16" x14ac:dyDescent="0.2">
      <c r="A25" s="95">
        <v>0.16666666666666666</v>
      </c>
      <c r="B25">
        <v>8</v>
      </c>
      <c r="C25">
        <v>8604</v>
      </c>
      <c r="D25">
        <v>86</v>
      </c>
      <c r="E25" t="s">
        <v>55</v>
      </c>
      <c r="F25" s="94">
        <v>49.542682926829272</v>
      </c>
      <c r="G25">
        <v>12000</v>
      </c>
      <c r="H25" s="94">
        <v>594512.19510000001</v>
      </c>
      <c r="I25" s="96">
        <v>3.4754189640730668E-2</v>
      </c>
      <c r="J25" s="94">
        <v>10094817.0732</v>
      </c>
      <c r="K25" s="37">
        <v>0.59012614009960673</v>
      </c>
      <c r="L25" t="s">
        <v>57</v>
      </c>
      <c r="M25" t="s">
        <v>56</v>
      </c>
      <c r="N25" t="s">
        <v>51</v>
      </c>
      <c r="O25" s="87" t="s">
        <v>84</v>
      </c>
      <c r="P25" s="94">
        <v>118902.439</v>
      </c>
    </row>
    <row r="26" spans="1:16" x14ac:dyDescent="0.2">
      <c r="A26" s="95">
        <v>0.1875</v>
      </c>
      <c r="B26">
        <v>9</v>
      </c>
      <c r="C26">
        <v>2312</v>
      </c>
      <c r="D26">
        <v>23</v>
      </c>
      <c r="E26" t="s">
        <v>39</v>
      </c>
      <c r="F26" s="94">
        <v>792.68292682926835</v>
      </c>
      <c r="G26">
        <v>720</v>
      </c>
      <c r="H26" s="94">
        <v>570731.70730000001</v>
      </c>
      <c r="I26" s="96">
        <v>3.3364022055101444E-2</v>
      </c>
      <c r="J26" s="94">
        <v>10665548.7805</v>
      </c>
      <c r="K26" s="37">
        <v>0.62349016215470821</v>
      </c>
      <c r="L26" t="s">
        <v>53</v>
      </c>
      <c r="M26" t="s">
        <v>56</v>
      </c>
      <c r="O26" s="87" t="s">
        <v>80</v>
      </c>
      <c r="P26" s="94">
        <v>285365.85369999998</v>
      </c>
    </row>
    <row r="27" spans="1:16" x14ac:dyDescent="0.2">
      <c r="A27" s="95">
        <v>0.1875</v>
      </c>
      <c r="B27">
        <v>9</v>
      </c>
      <c r="C27">
        <v>2312</v>
      </c>
      <c r="D27">
        <v>23</v>
      </c>
      <c r="E27" t="s">
        <v>39</v>
      </c>
      <c r="F27" s="94">
        <v>792.68292682926835</v>
      </c>
      <c r="G27">
        <v>720</v>
      </c>
      <c r="H27" s="94">
        <v>570731.70730000001</v>
      </c>
      <c r="I27" s="96">
        <v>3.3364022055101444E-2</v>
      </c>
      <c r="J27" s="94">
        <v>10665548.7805</v>
      </c>
      <c r="K27" s="37">
        <v>0.62349016215470821</v>
      </c>
      <c r="L27" t="s">
        <v>53</v>
      </c>
      <c r="M27" t="s">
        <v>56</v>
      </c>
      <c r="O27" s="87" t="s">
        <v>82</v>
      </c>
      <c r="P27" s="94">
        <v>285365.85369999998</v>
      </c>
    </row>
    <row r="28" spans="1:16" x14ac:dyDescent="0.2">
      <c r="A28" s="95">
        <v>0.20833333333333334</v>
      </c>
      <c r="B28">
        <v>10</v>
      </c>
      <c r="C28">
        <v>4802</v>
      </c>
      <c r="D28">
        <v>48</v>
      </c>
      <c r="E28" t="s">
        <v>38</v>
      </c>
      <c r="F28" s="94">
        <v>29.725609756097562</v>
      </c>
      <c r="G28">
        <v>18000</v>
      </c>
      <c r="H28" s="94">
        <v>535060.97560000001</v>
      </c>
      <c r="I28" s="96">
        <v>3.1278770676657595E-2</v>
      </c>
      <c r="J28" s="94">
        <v>11200609.756100001</v>
      </c>
      <c r="K28" s="37">
        <v>0.65476893283136584</v>
      </c>
      <c r="L28" t="s">
        <v>58</v>
      </c>
      <c r="M28" t="s">
        <v>51</v>
      </c>
      <c r="N28" t="s">
        <v>56</v>
      </c>
      <c r="O28" s="87" t="s">
        <v>80</v>
      </c>
      <c r="P28" s="94">
        <v>267530.4878</v>
      </c>
    </row>
    <row r="29" spans="1:16" x14ac:dyDescent="0.2">
      <c r="A29" s="95">
        <v>0.20833333333333334</v>
      </c>
      <c r="B29">
        <v>10</v>
      </c>
      <c r="C29">
        <v>4802</v>
      </c>
      <c r="D29">
        <v>48</v>
      </c>
      <c r="E29" t="s">
        <v>38</v>
      </c>
      <c r="F29" s="94">
        <v>29.725609756097562</v>
      </c>
      <c r="G29">
        <v>18000</v>
      </c>
      <c r="H29" s="94">
        <v>535060.97560000001</v>
      </c>
      <c r="I29" s="96">
        <v>3.1278770676657595E-2</v>
      </c>
      <c r="J29" s="94">
        <v>11200609.756100001</v>
      </c>
      <c r="K29" s="37">
        <v>0.65476893283136584</v>
      </c>
      <c r="L29" t="s">
        <v>58</v>
      </c>
      <c r="M29" t="s">
        <v>51</v>
      </c>
      <c r="N29" t="s">
        <v>56</v>
      </c>
      <c r="O29" s="87" t="s">
        <v>82</v>
      </c>
      <c r="P29" s="94">
        <v>160518.29269999999</v>
      </c>
    </row>
    <row r="30" spans="1:16" x14ac:dyDescent="0.2">
      <c r="A30" s="95">
        <v>0.20833333333333334</v>
      </c>
      <c r="B30">
        <v>10</v>
      </c>
      <c r="C30">
        <v>4802</v>
      </c>
      <c r="D30">
        <v>48</v>
      </c>
      <c r="E30" t="s">
        <v>38</v>
      </c>
      <c r="F30" s="94">
        <v>29.725609756097562</v>
      </c>
      <c r="G30">
        <v>18000</v>
      </c>
      <c r="H30" s="94">
        <v>535060.97560000001</v>
      </c>
      <c r="I30" s="96">
        <v>3.1278770676657595E-2</v>
      </c>
      <c r="J30" s="94">
        <v>11200609.756100001</v>
      </c>
      <c r="K30" s="37">
        <v>0.65476893283136584</v>
      </c>
      <c r="L30" t="s">
        <v>58</v>
      </c>
      <c r="M30" t="s">
        <v>51</v>
      </c>
      <c r="N30" t="s">
        <v>56</v>
      </c>
      <c r="O30" s="87" t="s">
        <v>84</v>
      </c>
      <c r="P30" s="94">
        <v>107012.1951</v>
      </c>
    </row>
    <row r="31" spans="1:16" x14ac:dyDescent="0.2">
      <c r="A31" s="95">
        <v>0.22916666666666666</v>
      </c>
      <c r="B31">
        <v>11</v>
      </c>
      <c r="C31">
        <v>2310</v>
      </c>
      <c r="D31">
        <v>23</v>
      </c>
      <c r="E31" t="s">
        <v>37</v>
      </c>
      <c r="F31" s="94">
        <v>634.14634146341473</v>
      </c>
      <c r="G31">
        <v>780</v>
      </c>
      <c r="H31" s="94">
        <v>494634.14630000002</v>
      </c>
      <c r="I31" s="96">
        <v>2.8915485781087918E-2</v>
      </c>
      <c r="J31" s="94">
        <v>11695243.9024</v>
      </c>
      <c r="K31" s="37">
        <v>0.68368441861245377</v>
      </c>
      <c r="L31" t="s">
        <v>53</v>
      </c>
      <c r="M31" t="s">
        <v>56</v>
      </c>
      <c r="O31" s="87" t="s">
        <v>80</v>
      </c>
      <c r="P31" s="94">
        <v>247317.07320000001</v>
      </c>
    </row>
    <row r="32" spans="1:16" x14ac:dyDescent="0.2">
      <c r="A32" s="95">
        <v>0.22916666666666666</v>
      </c>
      <c r="B32">
        <v>11</v>
      </c>
      <c r="C32">
        <v>2310</v>
      </c>
      <c r="D32">
        <v>23</v>
      </c>
      <c r="E32" t="s">
        <v>37</v>
      </c>
      <c r="F32" s="94">
        <v>634.14634146341473</v>
      </c>
      <c r="G32">
        <v>780</v>
      </c>
      <c r="H32" s="94">
        <v>494634.14630000002</v>
      </c>
      <c r="I32" s="96">
        <v>2.8915485781087918E-2</v>
      </c>
      <c r="J32" s="94">
        <v>11695243.9024</v>
      </c>
      <c r="K32" s="37">
        <v>0.68368441861245377</v>
      </c>
      <c r="L32" t="s">
        <v>53</v>
      </c>
      <c r="M32" t="s">
        <v>56</v>
      </c>
      <c r="O32" s="87" t="s">
        <v>82</v>
      </c>
      <c r="P32" s="94">
        <v>247317.07320000001</v>
      </c>
    </row>
    <row r="33" spans="1:16" x14ac:dyDescent="0.2">
      <c r="A33" s="95">
        <v>0.29166666666666669</v>
      </c>
      <c r="B33">
        <v>14</v>
      </c>
      <c r="C33">
        <v>1717</v>
      </c>
      <c r="D33">
        <v>17</v>
      </c>
      <c r="E33" t="s">
        <v>34</v>
      </c>
      <c r="F33" s="94">
        <v>18.826219512195124</v>
      </c>
      <c r="G33">
        <v>24000</v>
      </c>
      <c r="H33" s="94">
        <v>451829.2683</v>
      </c>
      <c r="I33" s="96">
        <v>2.6413184126955307E-2</v>
      </c>
      <c r="J33" s="94">
        <v>12147073.170700001</v>
      </c>
      <c r="K33" s="37">
        <v>0.71009760273940903</v>
      </c>
      <c r="L33" t="s">
        <v>52</v>
      </c>
      <c r="M33" t="s">
        <v>56</v>
      </c>
      <c r="N33" t="s">
        <v>53</v>
      </c>
      <c r="O33" s="87" t="s">
        <v>80</v>
      </c>
      <c r="P33" s="94">
        <v>225914.6341</v>
      </c>
    </row>
    <row r="34" spans="1:16" x14ac:dyDescent="0.2">
      <c r="A34" s="95">
        <v>0.29166666666666669</v>
      </c>
      <c r="B34">
        <v>14</v>
      </c>
      <c r="C34">
        <v>1717</v>
      </c>
      <c r="D34">
        <v>17</v>
      </c>
      <c r="E34" t="s">
        <v>34</v>
      </c>
      <c r="F34" s="94">
        <v>18.826219512195124</v>
      </c>
      <c r="G34">
        <v>24000</v>
      </c>
      <c r="H34" s="94">
        <v>451829.2683</v>
      </c>
      <c r="I34" s="96">
        <v>2.6413184126955307E-2</v>
      </c>
      <c r="J34" s="94">
        <v>12147073.170700001</v>
      </c>
      <c r="K34" s="37">
        <v>0.71009760273940903</v>
      </c>
      <c r="L34" t="s">
        <v>52</v>
      </c>
      <c r="M34" t="s">
        <v>56</v>
      </c>
      <c r="N34" t="s">
        <v>53</v>
      </c>
      <c r="O34" s="87" t="s">
        <v>82</v>
      </c>
      <c r="P34" s="94">
        <v>135548.78049999999</v>
      </c>
    </row>
    <row r="35" spans="1:16" x14ac:dyDescent="0.2">
      <c r="A35" s="95">
        <v>0.29166666666666669</v>
      </c>
      <c r="B35">
        <v>14</v>
      </c>
      <c r="C35">
        <v>1717</v>
      </c>
      <c r="D35">
        <v>17</v>
      </c>
      <c r="E35" t="s">
        <v>34</v>
      </c>
      <c r="F35" s="94">
        <v>18.826219512195124</v>
      </c>
      <c r="G35">
        <v>24000</v>
      </c>
      <c r="H35" s="94">
        <v>451829.2683</v>
      </c>
      <c r="I35" s="96">
        <v>2.6413184126955307E-2</v>
      </c>
      <c r="J35" s="94">
        <v>12147073.170700001</v>
      </c>
      <c r="K35" s="37">
        <v>0.71009760273940903</v>
      </c>
      <c r="L35" t="s">
        <v>52</v>
      </c>
      <c r="M35" t="s">
        <v>56</v>
      </c>
      <c r="N35" t="s">
        <v>53</v>
      </c>
      <c r="O35" s="87" t="s">
        <v>84</v>
      </c>
      <c r="P35" s="94">
        <v>90365.853700000007</v>
      </c>
    </row>
    <row r="36" spans="1:16" x14ac:dyDescent="0.2">
      <c r="A36" s="95">
        <v>0.25</v>
      </c>
      <c r="B36">
        <v>12</v>
      </c>
      <c r="C36">
        <v>1710</v>
      </c>
      <c r="D36">
        <v>17</v>
      </c>
      <c r="E36" t="s">
        <v>36</v>
      </c>
      <c r="F36" s="94">
        <v>7.5304878048780486</v>
      </c>
      <c r="G36">
        <v>60000</v>
      </c>
      <c r="H36" s="94">
        <v>451829.2683</v>
      </c>
      <c r="I36" s="96">
        <v>2.6413184126955307E-2</v>
      </c>
      <c r="J36" s="94">
        <v>12598902.438999999</v>
      </c>
      <c r="K36" s="37">
        <v>0.73651078686636429</v>
      </c>
      <c r="L36" t="s">
        <v>52</v>
      </c>
      <c r="M36" t="s">
        <v>56</v>
      </c>
      <c r="N36" t="s">
        <v>53</v>
      </c>
      <c r="O36" s="87" t="s">
        <v>80</v>
      </c>
      <c r="P36" s="94">
        <v>225914.6341</v>
      </c>
    </row>
    <row r="37" spans="1:16" x14ac:dyDescent="0.2">
      <c r="A37" s="95">
        <v>0.25</v>
      </c>
      <c r="B37">
        <v>12</v>
      </c>
      <c r="C37">
        <v>1710</v>
      </c>
      <c r="D37">
        <v>17</v>
      </c>
      <c r="E37" t="s">
        <v>36</v>
      </c>
      <c r="F37" s="94">
        <v>7.5304878048780486</v>
      </c>
      <c r="G37">
        <v>60000</v>
      </c>
      <c r="H37" s="94">
        <v>451829.2683</v>
      </c>
      <c r="I37" s="96">
        <v>2.6413184126955307E-2</v>
      </c>
      <c r="J37" s="94">
        <v>12598902.438999999</v>
      </c>
      <c r="K37" s="37">
        <v>0.73651078686636429</v>
      </c>
      <c r="L37" t="s">
        <v>52</v>
      </c>
      <c r="M37" t="s">
        <v>56</v>
      </c>
      <c r="N37" t="s">
        <v>53</v>
      </c>
      <c r="O37" s="87" t="s">
        <v>82</v>
      </c>
      <c r="P37" s="94">
        <v>135548.78049999999</v>
      </c>
    </row>
    <row r="38" spans="1:16" x14ac:dyDescent="0.2">
      <c r="A38" s="95">
        <v>0.25</v>
      </c>
      <c r="B38">
        <v>12</v>
      </c>
      <c r="C38">
        <v>1710</v>
      </c>
      <c r="D38">
        <v>17</v>
      </c>
      <c r="E38" t="s">
        <v>36</v>
      </c>
      <c r="F38" s="94">
        <v>7.5304878048780486</v>
      </c>
      <c r="G38">
        <v>60000</v>
      </c>
      <c r="H38" s="94">
        <v>451829.2683</v>
      </c>
      <c r="I38" s="96">
        <v>2.6413184126955307E-2</v>
      </c>
      <c r="J38" s="94">
        <v>12598902.438999999</v>
      </c>
      <c r="K38" s="37">
        <v>0.73651078686636429</v>
      </c>
      <c r="L38" t="s">
        <v>52</v>
      </c>
      <c r="M38" t="s">
        <v>56</v>
      </c>
      <c r="N38" t="s">
        <v>53</v>
      </c>
      <c r="O38" s="87" t="s">
        <v>84</v>
      </c>
      <c r="P38" s="94">
        <v>90365.853700000007</v>
      </c>
    </row>
    <row r="39" spans="1:16" x14ac:dyDescent="0.2">
      <c r="A39" s="95">
        <v>0.27083333333333331</v>
      </c>
      <c r="B39">
        <v>13</v>
      </c>
      <c r="C39">
        <v>1711</v>
      </c>
      <c r="D39">
        <v>17</v>
      </c>
      <c r="E39" t="s">
        <v>35</v>
      </c>
      <c r="F39" s="94">
        <v>7.5304878048780486</v>
      </c>
      <c r="G39">
        <v>60000</v>
      </c>
      <c r="H39" s="94">
        <v>451829.2683</v>
      </c>
      <c r="I39" s="96">
        <v>2.6413184126955307E-2</v>
      </c>
      <c r="J39" s="94">
        <v>13050731.7073</v>
      </c>
      <c r="K39" s="37">
        <v>0.76292397099331954</v>
      </c>
      <c r="L39" t="s">
        <v>51</v>
      </c>
      <c r="M39" t="s">
        <v>52</v>
      </c>
      <c r="N39" t="s">
        <v>56</v>
      </c>
      <c r="O39" s="87" t="s">
        <v>80</v>
      </c>
      <c r="P39" s="94">
        <v>225914.6341</v>
      </c>
    </row>
    <row r="40" spans="1:16" x14ac:dyDescent="0.2">
      <c r="A40" s="95">
        <v>0.27083333333333331</v>
      </c>
      <c r="B40">
        <v>13</v>
      </c>
      <c r="C40">
        <v>1711</v>
      </c>
      <c r="D40">
        <v>17</v>
      </c>
      <c r="E40" t="s">
        <v>35</v>
      </c>
      <c r="F40" s="94">
        <v>7.5304878048780486</v>
      </c>
      <c r="G40">
        <v>60000</v>
      </c>
      <c r="H40" s="94">
        <v>451829.2683</v>
      </c>
      <c r="I40" s="96">
        <v>2.6413184126955307E-2</v>
      </c>
      <c r="J40" s="94">
        <v>13050731.7073</v>
      </c>
      <c r="K40" s="37">
        <v>0.76292397099331954</v>
      </c>
      <c r="L40" t="s">
        <v>51</v>
      </c>
      <c r="M40" t="s">
        <v>52</v>
      </c>
      <c r="N40" t="s">
        <v>56</v>
      </c>
      <c r="O40" s="87" t="s">
        <v>82</v>
      </c>
      <c r="P40" s="94">
        <v>135548.78049999999</v>
      </c>
    </row>
    <row r="41" spans="1:16" x14ac:dyDescent="0.2">
      <c r="A41" s="95">
        <v>0.27083333333333331</v>
      </c>
      <c r="B41">
        <v>13</v>
      </c>
      <c r="C41">
        <v>1711</v>
      </c>
      <c r="D41">
        <v>17</v>
      </c>
      <c r="E41" t="s">
        <v>35</v>
      </c>
      <c r="F41" s="94">
        <v>7.5304878048780486</v>
      </c>
      <c r="G41">
        <v>60000</v>
      </c>
      <c r="H41" s="94">
        <v>451829.2683</v>
      </c>
      <c r="I41" s="96">
        <v>2.6413184126955307E-2</v>
      </c>
      <c r="J41" s="94">
        <v>13050731.7073</v>
      </c>
      <c r="K41" s="37">
        <v>0.76292397099331954</v>
      </c>
      <c r="L41" t="s">
        <v>51</v>
      </c>
      <c r="M41" t="s">
        <v>52</v>
      </c>
      <c r="N41" t="s">
        <v>56</v>
      </c>
      <c r="O41" s="87" t="s">
        <v>84</v>
      </c>
      <c r="P41" s="94">
        <v>90365.853700000007</v>
      </c>
    </row>
    <row r="42" spans="1:16" x14ac:dyDescent="0.2">
      <c r="A42" s="95">
        <v>0.3125</v>
      </c>
      <c r="B42">
        <v>15</v>
      </c>
      <c r="C42">
        <v>6502</v>
      </c>
      <c r="D42">
        <v>65</v>
      </c>
      <c r="E42" t="s">
        <v>33</v>
      </c>
      <c r="F42" s="94">
        <v>35.670731707317074</v>
      </c>
      <c r="G42">
        <v>12000</v>
      </c>
      <c r="H42" s="94">
        <v>428048.78049999999</v>
      </c>
      <c r="I42" s="96">
        <v>2.502301654132608E-2</v>
      </c>
      <c r="J42" s="94">
        <v>13478780.4878</v>
      </c>
      <c r="K42" s="37">
        <v>0.78794698753464565</v>
      </c>
      <c r="L42" t="s">
        <v>51</v>
      </c>
      <c r="M42" t="s">
        <v>53</v>
      </c>
      <c r="N42" t="s">
        <v>56</v>
      </c>
      <c r="O42" s="87" t="s">
        <v>80</v>
      </c>
      <c r="P42" s="94">
        <v>214024.39019999999</v>
      </c>
    </row>
    <row r="43" spans="1:16" x14ac:dyDescent="0.2">
      <c r="A43" s="95">
        <v>0.3125</v>
      </c>
      <c r="B43">
        <v>15</v>
      </c>
      <c r="C43">
        <v>6502</v>
      </c>
      <c r="D43">
        <v>65</v>
      </c>
      <c r="E43" t="s">
        <v>33</v>
      </c>
      <c r="F43" s="94">
        <v>35.670731707317074</v>
      </c>
      <c r="G43">
        <v>12000</v>
      </c>
      <c r="H43" s="94">
        <v>428048.78049999999</v>
      </c>
      <c r="I43" s="96">
        <v>2.502301654132608E-2</v>
      </c>
      <c r="J43" s="94">
        <v>13478780.4878</v>
      </c>
      <c r="K43" s="37">
        <v>0.78794698753464565</v>
      </c>
      <c r="L43" t="s">
        <v>51</v>
      </c>
      <c r="M43" t="s">
        <v>53</v>
      </c>
      <c r="N43" t="s">
        <v>56</v>
      </c>
      <c r="O43" s="87" t="s">
        <v>82</v>
      </c>
      <c r="P43" s="94">
        <v>128414.6341</v>
      </c>
    </row>
    <row r="44" spans="1:16" x14ac:dyDescent="0.2">
      <c r="A44" s="95">
        <v>0.3125</v>
      </c>
      <c r="B44">
        <v>15</v>
      </c>
      <c r="C44">
        <v>6502</v>
      </c>
      <c r="D44">
        <v>65</v>
      </c>
      <c r="E44" t="s">
        <v>33</v>
      </c>
      <c r="F44" s="94">
        <v>35.670731707317074</v>
      </c>
      <c r="G44">
        <v>12000</v>
      </c>
      <c r="H44" s="94">
        <v>428048.78049999999</v>
      </c>
      <c r="I44" s="96">
        <v>2.502301654132608E-2</v>
      </c>
      <c r="J44" s="94">
        <v>13478780.4878</v>
      </c>
      <c r="K44" s="37">
        <v>0.78794698753464565</v>
      </c>
      <c r="L44" t="s">
        <v>51</v>
      </c>
      <c r="M44" t="s">
        <v>53</v>
      </c>
      <c r="N44" t="s">
        <v>56</v>
      </c>
      <c r="O44" s="87" t="s">
        <v>84</v>
      </c>
      <c r="P44" s="94">
        <v>85609.756099999999</v>
      </c>
    </row>
    <row r="45" spans="1:16" x14ac:dyDescent="0.2">
      <c r="A45" s="95">
        <v>0.33333333333333331</v>
      </c>
      <c r="B45">
        <v>16</v>
      </c>
      <c r="C45">
        <v>6501</v>
      </c>
      <c r="D45">
        <v>65</v>
      </c>
      <c r="E45" t="s">
        <v>32</v>
      </c>
      <c r="F45" s="94">
        <v>138.71951219512195</v>
      </c>
      <c r="G45">
        <v>2400</v>
      </c>
      <c r="H45" s="94">
        <v>332926.82929999998</v>
      </c>
      <c r="I45" s="96">
        <v>1.9462346198809172E-2</v>
      </c>
      <c r="J45" s="94">
        <v>13811707.3171</v>
      </c>
      <c r="K45" s="37">
        <v>0.80740933373345491</v>
      </c>
      <c r="L45" t="s">
        <v>51</v>
      </c>
      <c r="M45" t="s">
        <v>53</v>
      </c>
      <c r="N45" t="s">
        <v>56</v>
      </c>
      <c r="O45" s="87" t="s">
        <v>80</v>
      </c>
      <c r="P45" s="94">
        <v>166463.41459999999</v>
      </c>
    </row>
    <row r="46" spans="1:16" x14ac:dyDescent="0.2">
      <c r="A46" s="95">
        <v>0.33333333333333331</v>
      </c>
      <c r="B46">
        <v>16</v>
      </c>
      <c r="C46">
        <v>6501</v>
      </c>
      <c r="D46">
        <v>65</v>
      </c>
      <c r="E46" t="s">
        <v>32</v>
      </c>
      <c r="F46" s="94">
        <v>138.71951219512195</v>
      </c>
      <c r="G46">
        <v>2400</v>
      </c>
      <c r="H46" s="94">
        <v>332926.82929999998</v>
      </c>
      <c r="I46" s="96">
        <v>1.9462346198809172E-2</v>
      </c>
      <c r="J46" s="94">
        <v>13811707.3171</v>
      </c>
      <c r="K46" s="37">
        <v>0.80740933373345491</v>
      </c>
      <c r="L46" t="s">
        <v>51</v>
      </c>
      <c r="M46" t="s">
        <v>53</v>
      </c>
      <c r="N46" t="s">
        <v>56</v>
      </c>
      <c r="O46" s="87" t="s">
        <v>82</v>
      </c>
      <c r="P46" s="94">
        <v>99878.048800000004</v>
      </c>
    </row>
    <row r="47" spans="1:16" x14ac:dyDescent="0.2">
      <c r="A47" s="95">
        <v>0.33333333333333331</v>
      </c>
      <c r="B47">
        <v>16</v>
      </c>
      <c r="C47">
        <v>6501</v>
      </c>
      <c r="D47">
        <v>65</v>
      </c>
      <c r="E47" t="s">
        <v>32</v>
      </c>
      <c r="F47" s="94">
        <v>138.71951219512195</v>
      </c>
      <c r="G47">
        <v>2400</v>
      </c>
      <c r="H47" s="94">
        <v>332926.82929999998</v>
      </c>
      <c r="I47" s="96">
        <v>1.9462346198809172E-2</v>
      </c>
      <c r="J47" s="94">
        <v>13811707.3171</v>
      </c>
      <c r="K47" s="37">
        <v>0.80740933373345491</v>
      </c>
      <c r="L47" t="s">
        <v>51</v>
      </c>
      <c r="M47" t="s">
        <v>53</v>
      </c>
      <c r="N47" t="s">
        <v>56</v>
      </c>
      <c r="O47" s="87" t="s">
        <v>84</v>
      </c>
      <c r="P47" s="94">
        <v>66585.365900000004</v>
      </c>
    </row>
    <row r="48" spans="1:16" x14ac:dyDescent="0.2">
      <c r="A48" s="95">
        <v>0.35416666666666669</v>
      </c>
      <c r="B48">
        <v>17</v>
      </c>
      <c r="C48">
        <v>6504</v>
      </c>
      <c r="D48">
        <v>65</v>
      </c>
      <c r="E48" t="s">
        <v>31</v>
      </c>
      <c r="F48" s="94">
        <v>49.542682926829272</v>
      </c>
      <c r="G48">
        <v>6000</v>
      </c>
      <c r="H48" s="94">
        <v>297256.09759999998</v>
      </c>
      <c r="I48" s="96">
        <v>1.7377094820365334E-2</v>
      </c>
      <c r="J48" s="94">
        <v>14108963.4146</v>
      </c>
      <c r="K48" s="37">
        <v>0.82478642855382023</v>
      </c>
      <c r="L48" t="s">
        <v>51</v>
      </c>
      <c r="M48" t="s">
        <v>53</v>
      </c>
      <c r="N48" t="s">
        <v>56</v>
      </c>
      <c r="O48" s="87" t="s">
        <v>80</v>
      </c>
      <c r="P48" s="94">
        <v>148628.04879999999</v>
      </c>
    </row>
    <row r="49" spans="1:16" x14ac:dyDescent="0.2">
      <c r="A49" s="95">
        <v>0.35416666666666669</v>
      </c>
      <c r="B49">
        <v>17</v>
      </c>
      <c r="C49">
        <v>6504</v>
      </c>
      <c r="D49">
        <v>65</v>
      </c>
      <c r="E49" t="s">
        <v>31</v>
      </c>
      <c r="F49" s="94">
        <v>49.542682926829272</v>
      </c>
      <c r="G49">
        <v>6000</v>
      </c>
      <c r="H49" s="94">
        <v>297256.09759999998</v>
      </c>
      <c r="I49" s="96">
        <v>1.7377094820365334E-2</v>
      </c>
      <c r="J49" s="94">
        <v>14108963.4146</v>
      </c>
      <c r="K49" s="37">
        <v>0.82478642855382023</v>
      </c>
      <c r="L49" t="s">
        <v>51</v>
      </c>
      <c r="M49" t="s">
        <v>53</v>
      </c>
      <c r="N49" t="s">
        <v>56</v>
      </c>
      <c r="O49" s="87" t="s">
        <v>82</v>
      </c>
      <c r="P49" s="94">
        <v>89176.829299999998</v>
      </c>
    </row>
    <row r="50" spans="1:16" x14ac:dyDescent="0.2">
      <c r="A50" s="95">
        <v>0.35416666666666669</v>
      </c>
      <c r="B50">
        <v>17</v>
      </c>
      <c r="C50">
        <v>6504</v>
      </c>
      <c r="D50">
        <v>65</v>
      </c>
      <c r="E50" t="s">
        <v>31</v>
      </c>
      <c r="F50" s="94">
        <v>49.542682926829272</v>
      </c>
      <c r="G50">
        <v>6000</v>
      </c>
      <c r="H50" s="94">
        <v>297256.09759999998</v>
      </c>
      <c r="I50" s="96">
        <v>1.7377094820365334E-2</v>
      </c>
      <c r="J50" s="94">
        <v>14108963.4146</v>
      </c>
      <c r="K50" s="37">
        <v>0.82478642855382023</v>
      </c>
      <c r="L50" t="s">
        <v>51</v>
      </c>
      <c r="M50" t="s">
        <v>53</v>
      </c>
      <c r="N50" t="s">
        <v>56</v>
      </c>
      <c r="O50" s="87" t="s">
        <v>84</v>
      </c>
      <c r="P50" s="94">
        <v>59451.219499999999</v>
      </c>
    </row>
    <row r="51" spans="1:16" x14ac:dyDescent="0.2">
      <c r="A51" s="95">
        <v>0.375</v>
      </c>
      <c r="B51">
        <v>18</v>
      </c>
      <c r="C51">
        <v>2311</v>
      </c>
      <c r="D51">
        <v>23</v>
      </c>
      <c r="E51" t="s">
        <v>30</v>
      </c>
      <c r="F51" s="94">
        <v>1189.0243902439024</v>
      </c>
      <c r="G51">
        <v>240</v>
      </c>
      <c r="H51" s="94">
        <v>285365.85369999998</v>
      </c>
      <c r="I51" s="96">
        <v>1.6682011027550719E-2</v>
      </c>
      <c r="J51" s="94">
        <v>14394329.268300001</v>
      </c>
      <c r="K51" s="37">
        <v>0.84146843958137096</v>
      </c>
      <c r="L51" t="s">
        <v>53</v>
      </c>
      <c r="M51" t="s">
        <v>56</v>
      </c>
      <c r="O51" s="87" t="s">
        <v>80</v>
      </c>
      <c r="P51" s="94">
        <v>142682.92679999999</v>
      </c>
    </row>
    <row r="52" spans="1:16" x14ac:dyDescent="0.2">
      <c r="A52" s="95">
        <v>0.375</v>
      </c>
      <c r="B52">
        <v>18</v>
      </c>
      <c r="C52">
        <v>2311</v>
      </c>
      <c r="D52">
        <v>23</v>
      </c>
      <c r="E52" t="s">
        <v>30</v>
      </c>
      <c r="F52" s="94">
        <v>1189.0243902439024</v>
      </c>
      <c r="G52">
        <v>240</v>
      </c>
      <c r="H52" s="94">
        <v>285365.85369999998</v>
      </c>
      <c r="I52" s="96">
        <v>1.6682011027550719E-2</v>
      </c>
      <c r="J52" s="94">
        <v>14394329.268300001</v>
      </c>
      <c r="K52" s="37">
        <v>0.84146843958137096</v>
      </c>
      <c r="L52" t="s">
        <v>53</v>
      </c>
      <c r="M52" t="s">
        <v>56</v>
      </c>
      <c r="O52" s="87" t="s">
        <v>82</v>
      </c>
      <c r="P52" s="94">
        <v>142682.92679999999</v>
      </c>
    </row>
    <row r="53" spans="1:16" x14ac:dyDescent="0.2">
      <c r="A53" s="95">
        <v>0.39583333333333331</v>
      </c>
      <c r="B53">
        <v>19</v>
      </c>
      <c r="C53">
        <v>9903</v>
      </c>
      <c r="D53">
        <v>99</v>
      </c>
      <c r="E53" t="s">
        <v>29</v>
      </c>
      <c r="F53" s="94">
        <v>217.98780487804879</v>
      </c>
      <c r="G53">
        <v>1200</v>
      </c>
      <c r="H53" s="94">
        <v>261585.3659</v>
      </c>
      <c r="I53" s="96">
        <v>1.5291843441921494E-2</v>
      </c>
      <c r="J53" s="94">
        <v>14655914.634099999</v>
      </c>
      <c r="K53" s="37">
        <v>0.85676028302329232</v>
      </c>
      <c r="L53" t="s">
        <v>51</v>
      </c>
      <c r="M53" t="s">
        <v>53</v>
      </c>
      <c r="N53" t="s">
        <v>56</v>
      </c>
      <c r="O53" s="87" t="s">
        <v>80</v>
      </c>
      <c r="P53" s="94">
        <v>130792.6829</v>
      </c>
    </row>
    <row r="54" spans="1:16" x14ac:dyDescent="0.2">
      <c r="A54" s="95">
        <v>0.39583333333333331</v>
      </c>
      <c r="B54">
        <v>19</v>
      </c>
      <c r="C54">
        <v>9903</v>
      </c>
      <c r="D54">
        <v>99</v>
      </c>
      <c r="E54" t="s">
        <v>29</v>
      </c>
      <c r="F54" s="94">
        <v>217.98780487804879</v>
      </c>
      <c r="G54">
        <v>1200</v>
      </c>
      <c r="H54" s="94">
        <v>261585.3659</v>
      </c>
      <c r="I54" s="96">
        <v>1.5291843441921494E-2</v>
      </c>
      <c r="J54" s="94">
        <v>14655914.634099999</v>
      </c>
      <c r="K54" s="37">
        <v>0.85676028302329232</v>
      </c>
      <c r="L54" t="s">
        <v>51</v>
      </c>
      <c r="M54" t="s">
        <v>53</v>
      </c>
      <c r="N54" t="s">
        <v>56</v>
      </c>
      <c r="O54" s="87" t="s">
        <v>82</v>
      </c>
      <c r="P54" s="94">
        <v>78475.609800000006</v>
      </c>
    </row>
    <row r="55" spans="1:16" x14ac:dyDescent="0.2">
      <c r="A55" s="95">
        <v>0.39583333333333331</v>
      </c>
      <c r="B55">
        <v>19</v>
      </c>
      <c r="C55">
        <v>9903</v>
      </c>
      <c r="D55">
        <v>99</v>
      </c>
      <c r="E55" t="s">
        <v>29</v>
      </c>
      <c r="F55" s="94">
        <v>217.98780487804879</v>
      </c>
      <c r="G55">
        <v>1200</v>
      </c>
      <c r="H55" s="94">
        <v>261585.3659</v>
      </c>
      <c r="I55" s="96">
        <v>1.5291843441921494E-2</v>
      </c>
      <c r="J55" s="94">
        <v>14655914.634099999</v>
      </c>
      <c r="K55" s="37">
        <v>0.85676028302329232</v>
      </c>
      <c r="L55" t="s">
        <v>51</v>
      </c>
      <c r="M55" t="s">
        <v>53</v>
      </c>
      <c r="N55" t="s">
        <v>56</v>
      </c>
      <c r="O55" s="87" t="s">
        <v>84</v>
      </c>
      <c r="P55" s="94">
        <v>52317.073199999999</v>
      </c>
    </row>
    <row r="56" spans="1:16" x14ac:dyDescent="0.2">
      <c r="A56" s="95">
        <v>0.41666666666666669</v>
      </c>
      <c r="B56">
        <v>20</v>
      </c>
      <c r="C56">
        <v>7302</v>
      </c>
      <c r="D56">
        <v>73</v>
      </c>
      <c r="E56" t="s">
        <v>28</v>
      </c>
      <c r="F56" s="94">
        <v>69.359756097560975</v>
      </c>
      <c r="G56">
        <v>3600</v>
      </c>
      <c r="H56" s="94">
        <v>249695.122</v>
      </c>
      <c r="I56" s="96">
        <v>1.4596759649106878E-2</v>
      </c>
      <c r="J56" s="94">
        <v>14905609.756100001</v>
      </c>
      <c r="K56" s="37">
        <v>0.87135704267239922</v>
      </c>
      <c r="L56" t="s">
        <v>51</v>
      </c>
      <c r="M56" t="s">
        <v>53</v>
      </c>
      <c r="N56" t="s">
        <v>56</v>
      </c>
      <c r="O56" s="87" t="s">
        <v>80</v>
      </c>
      <c r="P56" s="94">
        <v>124847.561</v>
      </c>
    </row>
    <row r="57" spans="1:16" x14ac:dyDescent="0.2">
      <c r="A57" s="95">
        <v>0.41666666666666669</v>
      </c>
      <c r="B57">
        <v>20</v>
      </c>
      <c r="C57">
        <v>7302</v>
      </c>
      <c r="D57">
        <v>73</v>
      </c>
      <c r="E57" t="s">
        <v>28</v>
      </c>
      <c r="F57" s="94">
        <v>69.359756097560975</v>
      </c>
      <c r="G57">
        <v>3600</v>
      </c>
      <c r="H57" s="94">
        <v>249695.122</v>
      </c>
      <c r="I57" s="96">
        <v>1.4596759649106878E-2</v>
      </c>
      <c r="J57" s="94">
        <v>14905609.756100001</v>
      </c>
      <c r="K57" s="37">
        <v>0.87135704267239922</v>
      </c>
      <c r="L57" t="s">
        <v>51</v>
      </c>
      <c r="M57" t="s">
        <v>53</v>
      </c>
      <c r="N57" t="s">
        <v>56</v>
      </c>
      <c r="O57" s="87" t="s">
        <v>82</v>
      </c>
      <c r="P57" s="94">
        <v>74908.536600000007</v>
      </c>
    </row>
    <row r="58" spans="1:16" x14ac:dyDescent="0.2">
      <c r="A58" s="95">
        <v>0.41666666666666669</v>
      </c>
      <c r="B58">
        <v>20</v>
      </c>
      <c r="C58">
        <v>7302</v>
      </c>
      <c r="D58">
        <v>73</v>
      </c>
      <c r="E58" t="s">
        <v>28</v>
      </c>
      <c r="F58" s="94">
        <v>69.359756097560975</v>
      </c>
      <c r="G58">
        <v>3600</v>
      </c>
      <c r="H58" s="94">
        <v>249695.122</v>
      </c>
      <c r="I58" s="96">
        <v>1.4596759649106878E-2</v>
      </c>
      <c r="J58" s="94">
        <v>14905609.756100001</v>
      </c>
      <c r="K58" s="37">
        <v>0.87135704267239922</v>
      </c>
      <c r="L58" t="s">
        <v>51</v>
      </c>
      <c r="M58" t="s">
        <v>53</v>
      </c>
      <c r="N58" t="s">
        <v>56</v>
      </c>
      <c r="O58" s="87" t="s">
        <v>84</v>
      </c>
      <c r="P58" s="94">
        <v>49939.024400000002</v>
      </c>
    </row>
    <row r="59" spans="1:16" x14ac:dyDescent="0.2">
      <c r="A59" s="95">
        <v>0.4375</v>
      </c>
      <c r="B59">
        <v>21</v>
      </c>
      <c r="C59">
        <v>1713</v>
      </c>
      <c r="D59">
        <v>17</v>
      </c>
      <c r="E59" t="s">
        <v>27</v>
      </c>
      <c r="F59" s="94">
        <v>53.506097560975611</v>
      </c>
      <c r="G59">
        <v>4440</v>
      </c>
      <c r="H59" s="94">
        <v>237567.07320000001</v>
      </c>
      <c r="I59" s="96">
        <v>1.3887774180435974E-2</v>
      </c>
      <c r="J59" s="94">
        <v>15143176.829299999</v>
      </c>
      <c r="K59" s="37">
        <v>0.88524481685283518</v>
      </c>
      <c r="L59" t="s">
        <v>52</v>
      </c>
      <c r="M59" t="s">
        <v>56</v>
      </c>
      <c r="N59" t="s">
        <v>51</v>
      </c>
      <c r="O59" s="87" t="s">
        <v>80</v>
      </c>
      <c r="P59" s="94">
        <v>118783.53660000001</v>
      </c>
    </row>
    <row r="60" spans="1:16" x14ac:dyDescent="0.2">
      <c r="A60" s="95">
        <v>0.4375</v>
      </c>
      <c r="B60">
        <v>21</v>
      </c>
      <c r="C60">
        <v>1713</v>
      </c>
      <c r="D60">
        <v>17</v>
      </c>
      <c r="E60" t="s">
        <v>27</v>
      </c>
      <c r="F60" s="94">
        <v>53.506097560975611</v>
      </c>
      <c r="G60">
        <v>4440</v>
      </c>
      <c r="H60" s="94">
        <v>237567.07320000001</v>
      </c>
      <c r="I60" s="96">
        <v>1.3887774180435974E-2</v>
      </c>
      <c r="J60" s="94">
        <v>15143176.829299999</v>
      </c>
      <c r="K60" s="37">
        <v>0.88524481685283518</v>
      </c>
      <c r="L60" t="s">
        <v>52</v>
      </c>
      <c r="M60" t="s">
        <v>56</v>
      </c>
      <c r="N60" t="s">
        <v>51</v>
      </c>
      <c r="O60" s="87" t="s">
        <v>82</v>
      </c>
      <c r="P60" s="94">
        <v>71270.122000000003</v>
      </c>
    </row>
    <row r="61" spans="1:16" x14ac:dyDescent="0.2">
      <c r="A61" s="95">
        <v>0.4375</v>
      </c>
      <c r="B61">
        <v>21</v>
      </c>
      <c r="C61">
        <v>1713</v>
      </c>
      <c r="D61">
        <v>17</v>
      </c>
      <c r="E61" t="s">
        <v>27</v>
      </c>
      <c r="F61" s="94">
        <v>53.506097560975611</v>
      </c>
      <c r="G61">
        <v>4440</v>
      </c>
      <c r="H61" s="94">
        <v>237567.07320000001</v>
      </c>
      <c r="I61" s="96">
        <v>1.3887774180435974E-2</v>
      </c>
      <c r="J61" s="94">
        <v>15143176.829299999</v>
      </c>
      <c r="K61" s="37">
        <v>0.88524481685283518</v>
      </c>
      <c r="L61" t="s">
        <v>52</v>
      </c>
      <c r="M61" t="s">
        <v>56</v>
      </c>
      <c r="N61" t="s">
        <v>51</v>
      </c>
      <c r="O61" s="87" t="s">
        <v>84</v>
      </c>
      <c r="P61" s="94">
        <v>47513.414599999996</v>
      </c>
    </row>
    <row r="62" spans="1:16" x14ac:dyDescent="0.2">
      <c r="A62" s="95">
        <v>0.45833333333333331</v>
      </c>
      <c r="B62">
        <v>22</v>
      </c>
      <c r="C62">
        <v>7301</v>
      </c>
      <c r="D62">
        <v>73</v>
      </c>
      <c r="E62" t="s">
        <v>26</v>
      </c>
      <c r="F62" s="94">
        <v>128.8109756097561</v>
      </c>
      <c r="G62">
        <v>1800</v>
      </c>
      <c r="H62" s="94">
        <v>231859.7561</v>
      </c>
      <c r="I62" s="96">
        <v>1.3554133959884959E-2</v>
      </c>
      <c r="J62" s="94">
        <v>15375036.5854</v>
      </c>
      <c r="K62" s="37">
        <v>0.8987989508127201</v>
      </c>
      <c r="L62" t="s">
        <v>51</v>
      </c>
      <c r="M62" t="s">
        <v>53</v>
      </c>
      <c r="N62" t="s">
        <v>56</v>
      </c>
      <c r="O62" s="87" t="s">
        <v>80</v>
      </c>
      <c r="P62" s="94">
        <v>115929.878</v>
      </c>
    </row>
    <row r="63" spans="1:16" x14ac:dyDescent="0.2">
      <c r="A63" s="95">
        <v>0.45833333333333331</v>
      </c>
      <c r="B63">
        <v>22</v>
      </c>
      <c r="C63">
        <v>7301</v>
      </c>
      <c r="D63">
        <v>73</v>
      </c>
      <c r="E63" t="s">
        <v>26</v>
      </c>
      <c r="F63" s="94">
        <v>128.8109756097561</v>
      </c>
      <c r="G63">
        <v>1800</v>
      </c>
      <c r="H63" s="94">
        <v>231859.7561</v>
      </c>
      <c r="I63" s="96">
        <v>1.3554133959884959E-2</v>
      </c>
      <c r="J63" s="94">
        <v>15375036.5854</v>
      </c>
      <c r="K63" s="37">
        <v>0.8987989508127201</v>
      </c>
      <c r="L63" t="s">
        <v>51</v>
      </c>
      <c r="M63" t="s">
        <v>53</v>
      </c>
      <c r="N63" t="s">
        <v>56</v>
      </c>
      <c r="O63" s="87" t="s">
        <v>82</v>
      </c>
      <c r="P63" s="94">
        <v>69557.926800000001</v>
      </c>
    </row>
    <row r="64" spans="1:16" x14ac:dyDescent="0.2">
      <c r="A64" s="95">
        <v>0.45833333333333331</v>
      </c>
      <c r="B64">
        <v>22</v>
      </c>
      <c r="C64">
        <v>7301</v>
      </c>
      <c r="D64">
        <v>73</v>
      </c>
      <c r="E64" t="s">
        <v>26</v>
      </c>
      <c r="F64" s="94">
        <v>128.8109756097561</v>
      </c>
      <c r="G64">
        <v>1800</v>
      </c>
      <c r="H64" s="94">
        <v>231859.7561</v>
      </c>
      <c r="I64" s="96">
        <v>1.3554133959884959E-2</v>
      </c>
      <c r="J64" s="94">
        <v>15375036.5854</v>
      </c>
      <c r="K64" s="37">
        <v>0.8987989508127201</v>
      </c>
      <c r="L64" t="s">
        <v>51</v>
      </c>
      <c r="M64" t="s">
        <v>53</v>
      </c>
      <c r="N64" t="s">
        <v>56</v>
      </c>
      <c r="O64" s="87" t="s">
        <v>84</v>
      </c>
      <c r="P64" s="94">
        <v>46371.951200000003</v>
      </c>
    </row>
    <row r="65" spans="1:16" x14ac:dyDescent="0.2">
      <c r="A65" s="95">
        <v>0.47916666666666669</v>
      </c>
      <c r="B65">
        <v>23</v>
      </c>
      <c r="C65">
        <v>6503</v>
      </c>
      <c r="D65">
        <v>65</v>
      </c>
      <c r="E65" t="s">
        <v>25</v>
      </c>
      <c r="F65" s="94">
        <v>39.634146341463421</v>
      </c>
      <c r="G65">
        <v>4800</v>
      </c>
      <c r="H65" s="94">
        <v>190243.90239999999</v>
      </c>
      <c r="I65" s="96">
        <v>1.1121340685033815E-2</v>
      </c>
      <c r="J65" s="94">
        <v>15565280.4878</v>
      </c>
      <c r="K65" s="37">
        <v>0.90992029149775389</v>
      </c>
      <c r="L65" t="s">
        <v>51</v>
      </c>
      <c r="M65" t="s">
        <v>53</v>
      </c>
      <c r="N65" t="s">
        <v>56</v>
      </c>
      <c r="O65" s="87" t="s">
        <v>80</v>
      </c>
      <c r="P65" s="94">
        <v>95121.951199999996</v>
      </c>
    </row>
    <row r="66" spans="1:16" x14ac:dyDescent="0.2">
      <c r="A66" s="95">
        <v>0.47916666666666669</v>
      </c>
      <c r="B66">
        <v>23</v>
      </c>
      <c r="C66">
        <v>6503</v>
      </c>
      <c r="D66">
        <v>65</v>
      </c>
      <c r="E66" t="s">
        <v>25</v>
      </c>
      <c r="F66" s="94">
        <v>39.634146341463421</v>
      </c>
      <c r="G66">
        <v>4800</v>
      </c>
      <c r="H66" s="94">
        <v>190243.90239999999</v>
      </c>
      <c r="I66" s="96">
        <v>1.1121340685033815E-2</v>
      </c>
      <c r="J66" s="94">
        <v>15565280.4878</v>
      </c>
      <c r="K66" s="37">
        <v>0.90992029149775389</v>
      </c>
      <c r="L66" t="s">
        <v>51</v>
      </c>
      <c r="M66" t="s">
        <v>53</v>
      </c>
      <c r="N66" t="s">
        <v>56</v>
      </c>
      <c r="O66" s="87" t="s">
        <v>82</v>
      </c>
      <c r="P66" s="94">
        <v>57073.170700000002</v>
      </c>
    </row>
    <row r="67" spans="1:16" x14ac:dyDescent="0.2">
      <c r="A67" s="95">
        <v>0.47916666666666669</v>
      </c>
      <c r="B67">
        <v>23</v>
      </c>
      <c r="C67">
        <v>6503</v>
      </c>
      <c r="D67">
        <v>65</v>
      </c>
      <c r="E67" t="s">
        <v>25</v>
      </c>
      <c r="F67" s="94">
        <v>39.634146341463421</v>
      </c>
      <c r="G67">
        <v>4800</v>
      </c>
      <c r="H67" s="94">
        <v>190243.90239999999</v>
      </c>
      <c r="I67" s="96">
        <v>1.1121340685033815E-2</v>
      </c>
      <c r="J67" s="94">
        <v>15565280.4878</v>
      </c>
      <c r="K67" s="37">
        <v>0.90992029149775389</v>
      </c>
      <c r="L67" t="s">
        <v>51</v>
      </c>
      <c r="M67" t="s">
        <v>53</v>
      </c>
      <c r="N67" t="s">
        <v>56</v>
      </c>
      <c r="O67" s="87" t="s">
        <v>84</v>
      </c>
      <c r="P67" s="94">
        <v>38048.780500000001</v>
      </c>
    </row>
    <row r="68" spans="1:16" x14ac:dyDescent="0.2">
      <c r="A68" s="95">
        <v>0.5</v>
      </c>
      <c r="B68">
        <v>24</v>
      </c>
      <c r="C68">
        <v>1716</v>
      </c>
      <c r="D68">
        <v>17</v>
      </c>
      <c r="E68" t="s">
        <v>24</v>
      </c>
      <c r="F68" s="94">
        <v>634.14634146341473</v>
      </c>
      <c r="G68">
        <v>280</v>
      </c>
      <c r="H68" s="94">
        <v>177560.97560000001</v>
      </c>
      <c r="I68" s="96">
        <v>1.0379917972698226E-2</v>
      </c>
      <c r="J68" s="94">
        <v>15742841.463400001</v>
      </c>
      <c r="K68" s="37">
        <v>0.92030020947045221</v>
      </c>
      <c r="L68" t="s">
        <v>52</v>
      </c>
      <c r="M68" t="s">
        <v>56</v>
      </c>
      <c r="N68" t="s">
        <v>51</v>
      </c>
      <c r="O68" s="87" t="s">
        <v>80</v>
      </c>
      <c r="P68" s="94">
        <v>88780.487800000003</v>
      </c>
    </row>
    <row r="69" spans="1:16" x14ac:dyDescent="0.2">
      <c r="A69" s="95">
        <v>0.5</v>
      </c>
      <c r="B69">
        <v>24</v>
      </c>
      <c r="C69">
        <v>1716</v>
      </c>
      <c r="D69">
        <v>17</v>
      </c>
      <c r="E69" t="s">
        <v>24</v>
      </c>
      <c r="F69" s="94">
        <v>634.14634146341473</v>
      </c>
      <c r="G69">
        <v>280</v>
      </c>
      <c r="H69" s="94">
        <v>177560.97560000001</v>
      </c>
      <c r="I69" s="96">
        <v>1.0379917972698226E-2</v>
      </c>
      <c r="J69" s="94">
        <v>15742841.463400001</v>
      </c>
      <c r="K69" s="37">
        <v>0.92030020947045221</v>
      </c>
      <c r="L69" t="s">
        <v>52</v>
      </c>
      <c r="M69" t="s">
        <v>56</v>
      </c>
      <c r="N69" t="s">
        <v>51</v>
      </c>
      <c r="O69" s="87" t="s">
        <v>82</v>
      </c>
      <c r="P69" s="94">
        <v>53268.292699999998</v>
      </c>
    </row>
    <row r="70" spans="1:16" x14ac:dyDescent="0.2">
      <c r="A70" s="95">
        <v>0.5</v>
      </c>
      <c r="B70">
        <v>24</v>
      </c>
      <c r="C70">
        <v>1716</v>
      </c>
      <c r="D70">
        <v>17</v>
      </c>
      <c r="E70" t="s">
        <v>24</v>
      </c>
      <c r="F70" s="94">
        <v>634.14634146341473</v>
      </c>
      <c r="G70">
        <v>280</v>
      </c>
      <c r="H70" s="94">
        <v>177560.97560000001</v>
      </c>
      <c r="I70" s="96">
        <v>1.0379917972698226E-2</v>
      </c>
      <c r="J70" s="94">
        <v>15742841.463400001</v>
      </c>
      <c r="K70" s="37">
        <v>0.92030020947045221</v>
      </c>
      <c r="L70" t="s">
        <v>52</v>
      </c>
      <c r="M70" t="s">
        <v>56</v>
      </c>
      <c r="N70" t="s">
        <v>51</v>
      </c>
      <c r="O70" s="87" t="s">
        <v>84</v>
      </c>
      <c r="P70" s="94">
        <v>35512.195099999997</v>
      </c>
    </row>
    <row r="71" spans="1:16" x14ac:dyDescent="0.2">
      <c r="A71" s="95">
        <v>0.52083333333333337</v>
      </c>
      <c r="B71">
        <v>25</v>
      </c>
      <c r="C71">
        <v>9902</v>
      </c>
      <c r="D71">
        <v>99</v>
      </c>
      <c r="E71" t="s">
        <v>23</v>
      </c>
      <c r="F71" s="94">
        <v>79.268292682926841</v>
      </c>
      <c r="G71">
        <v>1920</v>
      </c>
      <c r="H71" s="94">
        <v>152195.122</v>
      </c>
      <c r="I71" s="96">
        <v>8.8970725480270515E-3</v>
      </c>
      <c r="J71" s="94">
        <v>15895036.5854</v>
      </c>
      <c r="K71" s="37">
        <v>0.92919728201847918</v>
      </c>
      <c r="L71" t="s">
        <v>51</v>
      </c>
      <c r="M71" t="s">
        <v>53</v>
      </c>
      <c r="N71" t="s">
        <v>56</v>
      </c>
      <c r="O71" s="87" t="s">
        <v>80</v>
      </c>
      <c r="P71" s="94">
        <v>76097.561000000002</v>
      </c>
    </row>
    <row r="72" spans="1:16" x14ac:dyDescent="0.2">
      <c r="A72" s="95">
        <v>0.52083333333333337</v>
      </c>
      <c r="B72">
        <v>25</v>
      </c>
      <c r="C72">
        <v>9902</v>
      </c>
      <c r="D72">
        <v>99</v>
      </c>
      <c r="E72" t="s">
        <v>23</v>
      </c>
      <c r="F72" s="94">
        <v>79.268292682926841</v>
      </c>
      <c r="G72">
        <v>1920</v>
      </c>
      <c r="H72" s="94">
        <v>152195.122</v>
      </c>
      <c r="I72" s="96">
        <v>8.8970725480270515E-3</v>
      </c>
      <c r="J72" s="94">
        <v>15895036.5854</v>
      </c>
      <c r="K72" s="37">
        <v>0.92919728201847918</v>
      </c>
      <c r="L72" t="s">
        <v>51</v>
      </c>
      <c r="M72" t="s">
        <v>53</v>
      </c>
      <c r="N72" t="s">
        <v>56</v>
      </c>
      <c r="O72" s="87" t="s">
        <v>82</v>
      </c>
      <c r="P72" s="94">
        <v>45658.536599999999</v>
      </c>
    </row>
    <row r="73" spans="1:16" x14ac:dyDescent="0.2">
      <c r="A73" s="95">
        <v>0.52083333333333337</v>
      </c>
      <c r="B73">
        <v>25</v>
      </c>
      <c r="C73">
        <v>9902</v>
      </c>
      <c r="D73">
        <v>99</v>
      </c>
      <c r="E73" t="s">
        <v>23</v>
      </c>
      <c r="F73" s="94">
        <v>79.268292682926841</v>
      </c>
      <c r="G73">
        <v>1920</v>
      </c>
      <c r="H73" s="94">
        <v>152195.122</v>
      </c>
      <c r="I73" s="96">
        <v>8.8970725480270515E-3</v>
      </c>
      <c r="J73" s="94">
        <v>15895036.5854</v>
      </c>
      <c r="K73" s="37">
        <v>0.92919728201847918</v>
      </c>
      <c r="L73" t="s">
        <v>51</v>
      </c>
      <c r="M73" t="s">
        <v>53</v>
      </c>
      <c r="N73" t="s">
        <v>56</v>
      </c>
      <c r="O73" s="87" t="s">
        <v>84</v>
      </c>
      <c r="P73" s="94">
        <v>30439.024399999998</v>
      </c>
    </row>
    <row r="74" spans="1:16" x14ac:dyDescent="0.2">
      <c r="A74" s="95">
        <v>0.54166666666666663</v>
      </c>
      <c r="B74">
        <v>26</v>
      </c>
      <c r="C74">
        <v>4801</v>
      </c>
      <c r="D74">
        <v>48</v>
      </c>
      <c r="E74" t="s">
        <v>22</v>
      </c>
      <c r="F74" s="94">
        <v>35.670731707317074</v>
      </c>
      <c r="G74">
        <v>4027</v>
      </c>
      <c r="H74" s="94">
        <v>143646.03659999999</v>
      </c>
      <c r="I74" s="96">
        <v>8.3973073009933428E-3</v>
      </c>
      <c r="J74" s="94">
        <v>16038682.622</v>
      </c>
      <c r="K74" s="37">
        <v>0.93759458931947259</v>
      </c>
      <c r="L74" t="s">
        <v>58</v>
      </c>
      <c r="M74" t="s">
        <v>51</v>
      </c>
      <c r="N74" t="s">
        <v>56</v>
      </c>
      <c r="O74" s="87" t="s">
        <v>80</v>
      </c>
      <c r="P74" s="94">
        <v>71823.018299999996</v>
      </c>
    </row>
    <row r="75" spans="1:16" x14ac:dyDescent="0.2">
      <c r="A75" s="95">
        <v>0.54166666666666663</v>
      </c>
      <c r="B75">
        <v>26</v>
      </c>
      <c r="C75">
        <v>4801</v>
      </c>
      <c r="D75">
        <v>48</v>
      </c>
      <c r="E75" t="s">
        <v>22</v>
      </c>
      <c r="F75" s="94">
        <v>35.670731707317074</v>
      </c>
      <c r="G75">
        <v>4027</v>
      </c>
      <c r="H75" s="94">
        <v>143646.03659999999</v>
      </c>
      <c r="I75" s="96">
        <v>8.3973073009933428E-3</v>
      </c>
      <c r="J75" s="94">
        <v>16038682.622</v>
      </c>
      <c r="K75" s="37">
        <v>0.93759458931947259</v>
      </c>
      <c r="L75" t="s">
        <v>58</v>
      </c>
      <c r="M75" t="s">
        <v>51</v>
      </c>
      <c r="N75" t="s">
        <v>56</v>
      </c>
      <c r="O75" s="87" t="s">
        <v>82</v>
      </c>
      <c r="P75" s="94">
        <v>43093.811000000002</v>
      </c>
    </row>
    <row r="76" spans="1:16" x14ac:dyDescent="0.2">
      <c r="A76" s="95">
        <v>0.54166666666666663</v>
      </c>
      <c r="B76">
        <v>26</v>
      </c>
      <c r="C76">
        <v>4801</v>
      </c>
      <c r="D76">
        <v>48</v>
      </c>
      <c r="E76" t="s">
        <v>22</v>
      </c>
      <c r="F76" s="94">
        <v>35.670731707317074</v>
      </c>
      <c r="G76">
        <v>4027</v>
      </c>
      <c r="H76" s="94">
        <v>143646.03659999999</v>
      </c>
      <c r="I76" s="96">
        <v>8.3973073009933428E-3</v>
      </c>
      <c r="J76" s="94">
        <v>16038682.622</v>
      </c>
      <c r="K76" s="37">
        <v>0.93759458931947259</v>
      </c>
      <c r="L76" t="s">
        <v>58</v>
      </c>
      <c r="M76" t="s">
        <v>51</v>
      </c>
      <c r="N76" t="s">
        <v>56</v>
      </c>
      <c r="O76" s="87" t="s">
        <v>84</v>
      </c>
      <c r="P76" s="94">
        <v>28729.207299999998</v>
      </c>
    </row>
    <row r="77" spans="1:16" x14ac:dyDescent="0.2">
      <c r="A77" s="95">
        <v>0.5625</v>
      </c>
      <c r="B77">
        <v>27</v>
      </c>
      <c r="C77">
        <v>7304</v>
      </c>
      <c r="D77">
        <v>73</v>
      </c>
      <c r="E77" t="s">
        <v>21</v>
      </c>
      <c r="F77" s="94">
        <v>69.359756097560975</v>
      </c>
      <c r="G77">
        <v>1800</v>
      </c>
      <c r="H77" s="94">
        <v>124847.561</v>
      </c>
      <c r="I77" s="96">
        <v>7.2983798245534392E-3</v>
      </c>
      <c r="J77" s="94">
        <v>16163530.1829</v>
      </c>
      <c r="K77" s="37">
        <v>0.94489296914402598</v>
      </c>
      <c r="L77" t="s">
        <v>51</v>
      </c>
      <c r="M77" t="s">
        <v>53</v>
      </c>
      <c r="N77" t="s">
        <v>56</v>
      </c>
      <c r="O77" s="87" t="s">
        <v>80</v>
      </c>
      <c r="P77" s="94">
        <v>62423.780500000001</v>
      </c>
    </row>
    <row r="78" spans="1:16" x14ac:dyDescent="0.2">
      <c r="A78" s="95">
        <v>0.5625</v>
      </c>
      <c r="B78">
        <v>27</v>
      </c>
      <c r="C78">
        <v>7304</v>
      </c>
      <c r="D78">
        <v>73</v>
      </c>
      <c r="E78" t="s">
        <v>21</v>
      </c>
      <c r="F78" s="94">
        <v>69.359756097560975</v>
      </c>
      <c r="G78">
        <v>1800</v>
      </c>
      <c r="H78" s="94">
        <v>124847.561</v>
      </c>
      <c r="I78" s="96">
        <v>7.2983798245534392E-3</v>
      </c>
      <c r="J78" s="94">
        <v>16163530.1829</v>
      </c>
      <c r="K78" s="37">
        <v>0.94489296914402598</v>
      </c>
      <c r="L78" t="s">
        <v>51</v>
      </c>
      <c r="M78" t="s">
        <v>53</v>
      </c>
      <c r="N78" t="s">
        <v>56</v>
      </c>
      <c r="O78" s="87" t="s">
        <v>82</v>
      </c>
      <c r="P78" s="94">
        <v>37454.268300000003</v>
      </c>
    </row>
    <row r="79" spans="1:16" x14ac:dyDescent="0.2">
      <c r="A79" s="95">
        <v>0.5625</v>
      </c>
      <c r="B79">
        <v>27</v>
      </c>
      <c r="C79">
        <v>7304</v>
      </c>
      <c r="D79">
        <v>73</v>
      </c>
      <c r="E79" t="s">
        <v>21</v>
      </c>
      <c r="F79" s="94">
        <v>69.359756097560975</v>
      </c>
      <c r="G79">
        <v>1800</v>
      </c>
      <c r="H79" s="94">
        <v>124847.561</v>
      </c>
      <c r="I79" s="96">
        <v>7.2983798245534392E-3</v>
      </c>
      <c r="J79" s="94">
        <v>16163530.1829</v>
      </c>
      <c r="K79" s="37">
        <v>0.94489296914402598</v>
      </c>
      <c r="L79" t="s">
        <v>51</v>
      </c>
      <c r="M79" t="s">
        <v>53</v>
      </c>
      <c r="N79" t="s">
        <v>56</v>
      </c>
      <c r="O79" s="87" t="s">
        <v>84</v>
      </c>
      <c r="P79" s="94">
        <v>24969.512200000001</v>
      </c>
    </row>
    <row r="80" spans="1:16" x14ac:dyDescent="0.2">
      <c r="A80" s="95">
        <v>0.58333333333333337</v>
      </c>
      <c r="B80">
        <v>28</v>
      </c>
      <c r="C80">
        <v>3304</v>
      </c>
      <c r="D80">
        <v>33</v>
      </c>
      <c r="E80" t="s">
        <v>20</v>
      </c>
      <c r="F80" s="94">
        <v>435.97560975609758</v>
      </c>
      <c r="G80">
        <v>240</v>
      </c>
      <c r="H80" s="94">
        <v>104634.14629999999</v>
      </c>
      <c r="I80" s="96">
        <v>6.1167373767685969E-3</v>
      </c>
      <c r="J80" s="94">
        <v>16268164.329299999</v>
      </c>
      <c r="K80" s="37">
        <v>0.95100970652079453</v>
      </c>
      <c r="L80" t="s">
        <v>54</v>
      </c>
      <c r="M80" t="s">
        <v>56</v>
      </c>
      <c r="N80" t="s">
        <v>51</v>
      </c>
      <c r="O80" s="87" t="s">
        <v>80</v>
      </c>
      <c r="P80" s="94">
        <v>52317.073199999999</v>
      </c>
    </row>
    <row r="81" spans="1:16" x14ac:dyDescent="0.2">
      <c r="A81" s="95">
        <v>0.58333333333333337</v>
      </c>
      <c r="B81">
        <v>28</v>
      </c>
      <c r="C81">
        <v>3304</v>
      </c>
      <c r="D81">
        <v>33</v>
      </c>
      <c r="E81" t="s">
        <v>20</v>
      </c>
      <c r="F81" s="94">
        <v>435.97560975609758</v>
      </c>
      <c r="G81">
        <v>240</v>
      </c>
      <c r="H81" s="94">
        <v>104634.14629999999</v>
      </c>
      <c r="I81" s="96">
        <v>6.1167373767685969E-3</v>
      </c>
      <c r="J81" s="94">
        <v>16268164.329299999</v>
      </c>
      <c r="K81" s="37">
        <v>0.95100970652079453</v>
      </c>
      <c r="L81" t="s">
        <v>54</v>
      </c>
      <c r="M81" t="s">
        <v>56</v>
      </c>
      <c r="N81" t="s">
        <v>51</v>
      </c>
      <c r="O81" s="87" t="s">
        <v>82</v>
      </c>
      <c r="P81" s="94">
        <v>31390.243900000001</v>
      </c>
    </row>
    <row r="82" spans="1:16" x14ac:dyDescent="0.2">
      <c r="A82" s="95">
        <v>0.58333333333333337</v>
      </c>
      <c r="B82">
        <v>28</v>
      </c>
      <c r="C82">
        <v>3304</v>
      </c>
      <c r="D82">
        <v>33</v>
      </c>
      <c r="E82" t="s">
        <v>20</v>
      </c>
      <c r="F82" s="94">
        <v>435.97560975609758</v>
      </c>
      <c r="G82">
        <v>240</v>
      </c>
      <c r="H82" s="94">
        <v>104634.14629999999</v>
      </c>
      <c r="I82" s="96">
        <v>6.1167373767685969E-3</v>
      </c>
      <c r="J82" s="94">
        <v>16268164.329299999</v>
      </c>
      <c r="K82" s="37">
        <v>0.95100970652079453</v>
      </c>
      <c r="L82" t="s">
        <v>54</v>
      </c>
      <c r="M82" t="s">
        <v>56</v>
      </c>
      <c r="N82" t="s">
        <v>51</v>
      </c>
      <c r="O82" s="87" t="s">
        <v>84</v>
      </c>
      <c r="P82" s="94">
        <v>20926.829300000001</v>
      </c>
    </row>
    <row r="83" spans="1:16" x14ac:dyDescent="0.2">
      <c r="A83" s="95">
        <v>0.60416666666666663</v>
      </c>
      <c r="B83">
        <v>29</v>
      </c>
      <c r="C83">
        <v>2202</v>
      </c>
      <c r="D83">
        <v>22</v>
      </c>
      <c r="E83" t="s">
        <v>19</v>
      </c>
      <c r="F83" s="94">
        <v>202.92682926829269</v>
      </c>
      <c r="G83">
        <v>480</v>
      </c>
      <c r="H83" s="94">
        <v>97404.877999999997</v>
      </c>
      <c r="I83" s="96">
        <v>5.694126430737312E-3</v>
      </c>
      <c r="J83" s="94">
        <v>16365569.2073</v>
      </c>
      <c r="K83" s="37">
        <v>0.95670383295153194</v>
      </c>
      <c r="L83" t="s">
        <v>54</v>
      </c>
      <c r="M83" t="s">
        <v>56</v>
      </c>
      <c r="N83" t="s">
        <v>51</v>
      </c>
      <c r="O83" s="87" t="s">
        <v>80</v>
      </c>
      <c r="P83" s="94">
        <v>48702.438999999998</v>
      </c>
    </row>
    <row r="84" spans="1:16" x14ac:dyDescent="0.2">
      <c r="A84" s="95">
        <v>0.60416666666666663</v>
      </c>
      <c r="B84">
        <v>29</v>
      </c>
      <c r="C84">
        <v>2202</v>
      </c>
      <c r="D84">
        <v>22</v>
      </c>
      <c r="E84" t="s">
        <v>19</v>
      </c>
      <c r="F84" s="94">
        <v>202.92682926829269</v>
      </c>
      <c r="G84">
        <v>480</v>
      </c>
      <c r="H84" s="94">
        <v>97404.877999999997</v>
      </c>
      <c r="I84" s="96">
        <v>5.694126430737312E-3</v>
      </c>
      <c r="J84" s="94">
        <v>16365569.2073</v>
      </c>
      <c r="K84" s="37">
        <v>0.95670383295153194</v>
      </c>
      <c r="L84" t="s">
        <v>54</v>
      </c>
      <c r="M84" t="s">
        <v>56</v>
      </c>
      <c r="N84" t="s">
        <v>51</v>
      </c>
      <c r="O84" s="87" t="s">
        <v>82</v>
      </c>
      <c r="P84" s="94">
        <v>29221.463400000001</v>
      </c>
    </row>
    <row r="85" spans="1:16" x14ac:dyDescent="0.2">
      <c r="A85" s="95">
        <v>0.60416666666666663</v>
      </c>
      <c r="B85">
        <v>29</v>
      </c>
      <c r="C85">
        <v>2202</v>
      </c>
      <c r="D85">
        <v>22</v>
      </c>
      <c r="E85" t="s">
        <v>19</v>
      </c>
      <c r="F85" s="94">
        <v>202.92682926829269</v>
      </c>
      <c r="G85">
        <v>480</v>
      </c>
      <c r="H85" s="94">
        <v>97404.877999999997</v>
      </c>
      <c r="I85" s="96">
        <v>5.694126430737312E-3</v>
      </c>
      <c r="J85" s="94">
        <v>16365569.2073</v>
      </c>
      <c r="K85" s="37">
        <v>0.95670383295153194</v>
      </c>
      <c r="L85" t="s">
        <v>54</v>
      </c>
      <c r="M85" t="s">
        <v>56</v>
      </c>
      <c r="N85" t="s">
        <v>51</v>
      </c>
      <c r="O85" s="87" t="s">
        <v>84</v>
      </c>
      <c r="P85" s="94">
        <v>19480.975600000002</v>
      </c>
    </row>
    <row r="86" spans="1:16" x14ac:dyDescent="0.2">
      <c r="A86" s="95">
        <v>0.64583333333333337</v>
      </c>
      <c r="B86">
        <v>31</v>
      </c>
      <c r="C86">
        <v>7911</v>
      </c>
      <c r="D86">
        <v>79</v>
      </c>
      <c r="E86" t="s">
        <v>17</v>
      </c>
      <c r="F86" s="94">
        <v>1.9817073170731709</v>
      </c>
      <c r="G86">
        <v>48000</v>
      </c>
      <c r="H86" s="94">
        <v>95121.951199999996</v>
      </c>
      <c r="I86" s="96">
        <v>5.5606703425169074E-3</v>
      </c>
      <c r="J86" s="94">
        <v>16460691.158500001</v>
      </c>
      <c r="K86" s="37">
        <v>0.96226450329404878</v>
      </c>
      <c r="L86" t="s">
        <v>51</v>
      </c>
      <c r="M86" t="s">
        <v>56</v>
      </c>
      <c r="N86" t="s">
        <v>57</v>
      </c>
      <c r="O86" s="87" t="s">
        <v>80</v>
      </c>
      <c r="P86" s="94">
        <v>47560.975599999998</v>
      </c>
    </row>
    <row r="87" spans="1:16" x14ac:dyDescent="0.2">
      <c r="A87" s="95">
        <v>0.64583333333333337</v>
      </c>
      <c r="B87">
        <v>31</v>
      </c>
      <c r="C87">
        <v>7911</v>
      </c>
      <c r="D87">
        <v>79</v>
      </c>
      <c r="E87" t="s">
        <v>17</v>
      </c>
      <c r="F87" s="94">
        <v>1.9817073170731709</v>
      </c>
      <c r="G87">
        <v>48000</v>
      </c>
      <c r="H87" s="94">
        <v>95121.951199999996</v>
      </c>
      <c r="I87" s="96">
        <v>5.5606703425169074E-3</v>
      </c>
      <c r="J87" s="94">
        <v>16460691.158500001</v>
      </c>
      <c r="K87" s="37">
        <v>0.96226450329404878</v>
      </c>
      <c r="L87" t="s">
        <v>51</v>
      </c>
      <c r="M87" t="s">
        <v>56</v>
      </c>
      <c r="N87" t="s">
        <v>57</v>
      </c>
      <c r="O87" s="87" t="s">
        <v>82</v>
      </c>
      <c r="P87" s="94">
        <v>28536.5854</v>
      </c>
    </row>
    <row r="88" spans="1:16" x14ac:dyDescent="0.2">
      <c r="A88" s="95">
        <v>0.64583333333333337</v>
      </c>
      <c r="B88">
        <v>31</v>
      </c>
      <c r="C88">
        <v>7911</v>
      </c>
      <c r="D88">
        <v>79</v>
      </c>
      <c r="E88" t="s">
        <v>17</v>
      </c>
      <c r="F88" s="94">
        <v>1.9817073170731709</v>
      </c>
      <c r="G88">
        <v>48000</v>
      </c>
      <c r="H88" s="94">
        <v>95121.951199999996</v>
      </c>
      <c r="I88" s="96">
        <v>5.5606703425169074E-3</v>
      </c>
      <c r="J88" s="94">
        <v>16460691.158500001</v>
      </c>
      <c r="K88" s="37">
        <v>0.96226450329404878</v>
      </c>
      <c r="L88" t="s">
        <v>51</v>
      </c>
      <c r="M88" t="s">
        <v>56</v>
      </c>
      <c r="N88" t="s">
        <v>57</v>
      </c>
      <c r="O88" s="87" t="s">
        <v>84</v>
      </c>
      <c r="P88" s="94">
        <v>19024.390200000002</v>
      </c>
    </row>
    <row r="89" spans="1:16" x14ac:dyDescent="0.2">
      <c r="A89" s="95">
        <v>0.625</v>
      </c>
      <c r="B89">
        <v>30</v>
      </c>
      <c r="C89">
        <v>7305</v>
      </c>
      <c r="D89">
        <v>73</v>
      </c>
      <c r="E89" t="s">
        <v>18</v>
      </c>
      <c r="F89" s="94">
        <v>79.268292682926841</v>
      </c>
      <c r="G89">
        <v>1200</v>
      </c>
      <c r="H89" s="94">
        <v>95121.951199999996</v>
      </c>
      <c r="I89" s="96">
        <v>5.5606703425169074E-3</v>
      </c>
      <c r="J89" s="94">
        <v>16555813.1098</v>
      </c>
      <c r="K89" s="37">
        <v>0.96782517363656573</v>
      </c>
      <c r="L89" t="s">
        <v>51</v>
      </c>
      <c r="M89" t="s">
        <v>53</v>
      </c>
      <c r="N89" t="s">
        <v>56</v>
      </c>
      <c r="O89" s="87" t="s">
        <v>80</v>
      </c>
      <c r="P89" s="94">
        <v>47560.975599999998</v>
      </c>
    </row>
    <row r="90" spans="1:16" x14ac:dyDescent="0.2">
      <c r="A90" s="95">
        <v>0.625</v>
      </c>
      <c r="B90">
        <v>30</v>
      </c>
      <c r="C90">
        <v>7305</v>
      </c>
      <c r="D90">
        <v>73</v>
      </c>
      <c r="E90" t="s">
        <v>18</v>
      </c>
      <c r="F90" s="94">
        <v>79.268292682926841</v>
      </c>
      <c r="G90">
        <v>1200</v>
      </c>
      <c r="H90" s="94">
        <v>95121.951199999996</v>
      </c>
      <c r="I90" s="96">
        <v>5.5606703425169074E-3</v>
      </c>
      <c r="J90" s="94">
        <v>16555813.1098</v>
      </c>
      <c r="K90" s="37">
        <v>0.96782517363656573</v>
      </c>
      <c r="L90" t="s">
        <v>51</v>
      </c>
      <c r="M90" t="s">
        <v>53</v>
      </c>
      <c r="N90" t="s">
        <v>56</v>
      </c>
      <c r="O90" s="87" t="s">
        <v>82</v>
      </c>
      <c r="P90" s="94">
        <v>28536.5854</v>
      </c>
    </row>
    <row r="91" spans="1:16" x14ac:dyDescent="0.2">
      <c r="A91" s="95">
        <v>0.625</v>
      </c>
      <c r="B91">
        <v>30</v>
      </c>
      <c r="C91">
        <v>7305</v>
      </c>
      <c r="D91">
        <v>73</v>
      </c>
      <c r="E91" t="s">
        <v>18</v>
      </c>
      <c r="F91" s="94">
        <v>79.268292682926841</v>
      </c>
      <c r="G91">
        <v>1200</v>
      </c>
      <c r="H91" s="94">
        <v>95121.951199999996</v>
      </c>
      <c r="I91" s="96">
        <v>5.5606703425169074E-3</v>
      </c>
      <c r="J91" s="94">
        <v>16555813.1098</v>
      </c>
      <c r="K91" s="37">
        <v>0.96782517363656573</v>
      </c>
      <c r="L91" t="s">
        <v>51</v>
      </c>
      <c r="M91" t="s">
        <v>53</v>
      </c>
      <c r="N91" t="s">
        <v>56</v>
      </c>
      <c r="O91" s="87" t="s">
        <v>84</v>
      </c>
      <c r="P91" s="94">
        <v>19024.390200000002</v>
      </c>
    </row>
    <row r="92" spans="1:16" x14ac:dyDescent="0.2">
      <c r="A92" s="95">
        <v>0.66666666666666663</v>
      </c>
      <c r="B92">
        <v>32</v>
      </c>
      <c r="C92">
        <v>7303</v>
      </c>
      <c r="D92">
        <v>73</v>
      </c>
      <c r="E92" t="s">
        <v>16</v>
      </c>
      <c r="F92" s="94">
        <v>23.780487804878049</v>
      </c>
      <c r="G92">
        <v>3600</v>
      </c>
      <c r="H92" s="94">
        <v>85609.756099999999</v>
      </c>
      <c r="I92" s="96">
        <v>5.0046033082652161E-3</v>
      </c>
      <c r="J92" s="94">
        <v>16641422.865900001</v>
      </c>
      <c r="K92" s="37">
        <v>0.97282977694483097</v>
      </c>
      <c r="L92" t="s">
        <v>51</v>
      </c>
      <c r="M92" t="s">
        <v>53</v>
      </c>
      <c r="N92" t="s">
        <v>56</v>
      </c>
      <c r="O92" s="87" t="s">
        <v>80</v>
      </c>
      <c r="P92" s="94">
        <v>42804.877999999997</v>
      </c>
    </row>
    <row r="93" spans="1:16" x14ac:dyDescent="0.2">
      <c r="A93" s="95">
        <v>0.66666666666666663</v>
      </c>
      <c r="B93">
        <v>32</v>
      </c>
      <c r="C93">
        <v>7303</v>
      </c>
      <c r="D93">
        <v>73</v>
      </c>
      <c r="E93" t="s">
        <v>16</v>
      </c>
      <c r="F93" s="94">
        <v>23.780487804878049</v>
      </c>
      <c r="G93">
        <v>3600</v>
      </c>
      <c r="H93" s="94">
        <v>85609.756099999999</v>
      </c>
      <c r="I93" s="96">
        <v>5.0046033082652161E-3</v>
      </c>
      <c r="J93" s="94">
        <v>16641422.865900001</v>
      </c>
      <c r="K93" s="37">
        <v>0.97282977694483097</v>
      </c>
      <c r="L93" t="s">
        <v>51</v>
      </c>
      <c r="M93" t="s">
        <v>53</v>
      </c>
      <c r="N93" t="s">
        <v>56</v>
      </c>
      <c r="O93" s="87" t="s">
        <v>82</v>
      </c>
      <c r="P93" s="94">
        <v>25682.926800000001</v>
      </c>
    </row>
    <row r="94" spans="1:16" x14ac:dyDescent="0.2">
      <c r="A94" s="95">
        <v>0.66666666666666663</v>
      </c>
      <c r="B94">
        <v>32</v>
      </c>
      <c r="C94">
        <v>7303</v>
      </c>
      <c r="D94">
        <v>73</v>
      </c>
      <c r="E94" t="s">
        <v>16</v>
      </c>
      <c r="F94" s="94">
        <v>23.780487804878049</v>
      </c>
      <c r="G94">
        <v>3600</v>
      </c>
      <c r="H94" s="94">
        <v>85609.756099999999</v>
      </c>
      <c r="I94" s="96">
        <v>5.0046033082652161E-3</v>
      </c>
      <c r="J94" s="94">
        <v>16641422.865900001</v>
      </c>
      <c r="K94" s="37">
        <v>0.97282977694483097</v>
      </c>
      <c r="L94" t="s">
        <v>51</v>
      </c>
      <c r="M94" t="s">
        <v>53</v>
      </c>
      <c r="N94" t="s">
        <v>56</v>
      </c>
      <c r="O94" s="87" t="s">
        <v>84</v>
      </c>
      <c r="P94" s="94">
        <v>17121.9512</v>
      </c>
    </row>
    <row r="95" spans="1:16" x14ac:dyDescent="0.2">
      <c r="A95" s="95">
        <v>0.70833333333333337</v>
      </c>
      <c r="B95">
        <v>34</v>
      </c>
      <c r="C95">
        <v>7306</v>
      </c>
      <c r="D95">
        <v>73</v>
      </c>
      <c r="E95" t="s">
        <v>14</v>
      </c>
      <c r="F95" s="94">
        <v>55.487804878048784</v>
      </c>
      <c r="G95">
        <v>1200</v>
      </c>
      <c r="H95" s="94">
        <v>66585.365900000004</v>
      </c>
      <c r="I95" s="96">
        <v>3.8924692397618349E-3</v>
      </c>
      <c r="J95" s="94">
        <v>16708008.231699999</v>
      </c>
      <c r="K95" s="37">
        <v>0.97672224618459269</v>
      </c>
      <c r="L95" t="s">
        <v>51</v>
      </c>
      <c r="M95" t="s">
        <v>53</v>
      </c>
      <c r="N95" t="s">
        <v>56</v>
      </c>
      <c r="O95" s="87" t="s">
        <v>80</v>
      </c>
      <c r="P95" s="94">
        <v>33292.6829</v>
      </c>
    </row>
    <row r="96" spans="1:16" x14ac:dyDescent="0.2">
      <c r="A96" s="95">
        <v>0.70833333333333337</v>
      </c>
      <c r="B96">
        <v>34</v>
      </c>
      <c r="C96">
        <v>7306</v>
      </c>
      <c r="D96">
        <v>73</v>
      </c>
      <c r="E96" t="s">
        <v>14</v>
      </c>
      <c r="F96" s="94">
        <v>55.487804878048784</v>
      </c>
      <c r="G96">
        <v>1200</v>
      </c>
      <c r="H96" s="94">
        <v>66585.365900000004</v>
      </c>
      <c r="I96" s="96">
        <v>3.8924692397618349E-3</v>
      </c>
      <c r="J96" s="94">
        <v>16708008.231699999</v>
      </c>
      <c r="K96" s="37">
        <v>0.97672224618459269</v>
      </c>
      <c r="L96" t="s">
        <v>51</v>
      </c>
      <c r="M96" t="s">
        <v>53</v>
      </c>
      <c r="N96" t="s">
        <v>56</v>
      </c>
      <c r="O96" s="87" t="s">
        <v>82</v>
      </c>
      <c r="P96" s="94">
        <v>19975.609799999998</v>
      </c>
    </row>
    <row r="97" spans="1:16" x14ac:dyDescent="0.2">
      <c r="A97" s="95">
        <v>0.70833333333333337</v>
      </c>
      <c r="B97">
        <v>34</v>
      </c>
      <c r="C97">
        <v>7306</v>
      </c>
      <c r="D97">
        <v>73</v>
      </c>
      <c r="E97" t="s">
        <v>14</v>
      </c>
      <c r="F97" s="94">
        <v>55.487804878048784</v>
      </c>
      <c r="G97">
        <v>1200</v>
      </c>
      <c r="H97" s="94">
        <v>66585.365900000004</v>
      </c>
      <c r="I97" s="96">
        <v>3.8924692397618349E-3</v>
      </c>
      <c r="J97" s="94">
        <v>16708008.231699999</v>
      </c>
      <c r="K97" s="37">
        <v>0.97672224618459269</v>
      </c>
      <c r="L97" t="s">
        <v>51</v>
      </c>
      <c r="M97" t="s">
        <v>53</v>
      </c>
      <c r="N97" t="s">
        <v>56</v>
      </c>
      <c r="O97" s="87" t="s">
        <v>84</v>
      </c>
      <c r="P97" s="94">
        <v>13317.073200000001</v>
      </c>
    </row>
    <row r="98" spans="1:16" x14ac:dyDescent="0.2">
      <c r="A98" s="95">
        <v>0.6875</v>
      </c>
      <c r="B98">
        <v>33</v>
      </c>
      <c r="C98">
        <v>3301</v>
      </c>
      <c r="D98">
        <v>33</v>
      </c>
      <c r="E98" t="s">
        <v>15</v>
      </c>
      <c r="F98" s="94">
        <v>554.8780487804878</v>
      </c>
      <c r="G98">
        <v>120</v>
      </c>
      <c r="H98" s="94">
        <v>66585.365900000004</v>
      </c>
      <c r="I98" s="96">
        <v>3.8924692397618349E-3</v>
      </c>
      <c r="J98" s="94">
        <v>16774593.5976</v>
      </c>
      <c r="K98" s="37">
        <v>0.98061471542435452</v>
      </c>
      <c r="L98" t="s">
        <v>54</v>
      </c>
      <c r="M98" t="s">
        <v>56</v>
      </c>
      <c r="N98" t="s">
        <v>51</v>
      </c>
      <c r="O98" s="87" t="s">
        <v>80</v>
      </c>
      <c r="P98" s="94">
        <v>33292.6829</v>
      </c>
    </row>
    <row r="99" spans="1:16" x14ac:dyDescent="0.2">
      <c r="A99" s="95">
        <v>0.6875</v>
      </c>
      <c r="B99">
        <v>33</v>
      </c>
      <c r="C99">
        <v>3301</v>
      </c>
      <c r="D99">
        <v>33</v>
      </c>
      <c r="E99" t="s">
        <v>15</v>
      </c>
      <c r="F99" s="94">
        <v>554.8780487804878</v>
      </c>
      <c r="G99">
        <v>120</v>
      </c>
      <c r="H99" s="94">
        <v>66585.365900000004</v>
      </c>
      <c r="I99" s="96">
        <v>3.8924692397618349E-3</v>
      </c>
      <c r="J99" s="94">
        <v>16774593.5976</v>
      </c>
      <c r="K99" s="37">
        <v>0.98061471542435452</v>
      </c>
      <c r="L99" t="s">
        <v>54</v>
      </c>
      <c r="M99" t="s">
        <v>56</v>
      </c>
      <c r="N99" t="s">
        <v>51</v>
      </c>
      <c r="O99" s="87" t="s">
        <v>82</v>
      </c>
      <c r="P99" s="94">
        <v>19975.609799999998</v>
      </c>
    </row>
    <row r="100" spans="1:16" x14ac:dyDescent="0.2">
      <c r="A100" s="95">
        <v>0.6875</v>
      </c>
      <c r="B100">
        <v>33</v>
      </c>
      <c r="C100">
        <v>3301</v>
      </c>
      <c r="D100">
        <v>33</v>
      </c>
      <c r="E100" t="s">
        <v>15</v>
      </c>
      <c r="F100" s="94">
        <v>554.8780487804878</v>
      </c>
      <c r="G100">
        <v>120</v>
      </c>
      <c r="H100" s="94">
        <v>66585.365900000004</v>
      </c>
      <c r="I100" s="96">
        <v>3.8924692397618349E-3</v>
      </c>
      <c r="J100" s="94">
        <v>16774593.5976</v>
      </c>
      <c r="K100" s="37">
        <v>0.98061471542435452</v>
      </c>
      <c r="L100" t="s">
        <v>54</v>
      </c>
      <c r="M100" t="s">
        <v>56</v>
      </c>
      <c r="N100" t="s">
        <v>51</v>
      </c>
      <c r="O100" s="87" t="s">
        <v>84</v>
      </c>
      <c r="P100" s="94">
        <v>13317.073200000001</v>
      </c>
    </row>
    <row r="101" spans="1:16" x14ac:dyDescent="0.2">
      <c r="A101" s="95">
        <v>0.72916666666666663</v>
      </c>
      <c r="B101">
        <v>35</v>
      </c>
      <c r="C101">
        <v>5402</v>
      </c>
      <c r="D101">
        <v>54</v>
      </c>
      <c r="E101" t="s">
        <v>13</v>
      </c>
      <c r="F101" s="94">
        <v>4.9542682926829276</v>
      </c>
      <c r="G101">
        <v>10800</v>
      </c>
      <c r="H101" s="94">
        <v>53506.097600000001</v>
      </c>
      <c r="I101" s="96">
        <v>3.1278770676657604E-3</v>
      </c>
      <c r="J101" s="94">
        <v>16828099.695099998</v>
      </c>
      <c r="K101" s="37">
        <v>0.98374259249202023</v>
      </c>
      <c r="L101" t="s">
        <v>54</v>
      </c>
      <c r="M101" t="s">
        <v>56</v>
      </c>
      <c r="N101" t="s">
        <v>51</v>
      </c>
      <c r="O101" s="87" t="s">
        <v>80</v>
      </c>
      <c r="P101" s="94">
        <v>26753.0488</v>
      </c>
    </row>
    <row r="102" spans="1:16" x14ac:dyDescent="0.2">
      <c r="A102" s="95">
        <v>0.72916666666666663</v>
      </c>
      <c r="B102">
        <v>35</v>
      </c>
      <c r="C102">
        <v>5402</v>
      </c>
      <c r="D102">
        <v>54</v>
      </c>
      <c r="E102" t="s">
        <v>13</v>
      </c>
      <c r="F102" s="94">
        <v>4.9542682926829276</v>
      </c>
      <c r="G102">
        <v>10800</v>
      </c>
      <c r="H102" s="94">
        <v>53506.097600000001</v>
      </c>
      <c r="I102" s="96">
        <v>3.1278770676657604E-3</v>
      </c>
      <c r="J102" s="94">
        <v>16828099.695099998</v>
      </c>
      <c r="K102" s="37">
        <v>0.98374259249202023</v>
      </c>
      <c r="L102" t="s">
        <v>54</v>
      </c>
      <c r="M102" t="s">
        <v>56</v>
      </c>
      <c r="N102" t="s">
        <v>51</v>
      </c>
      <c r="O102" s="87" t="s">
        <v>82</v>
      </c>
      <c r="P102" s="94">
        <v>16051.829299999999</v>
      </c>
    </row>
    <row r="103" spans="1:16" x14ac:dyDescent="0.2">
      <c r="A103" s="95">
        <v>0.72916666666666663</v>
      </c>
      <c r="B103">
        <v>35</v>
      </c>
      <c r="C103">
        <v>5402</v>
      </c>
      <c r="D103">
        <v>54</v>
      </c>
      <c r="E103" t="s">
        <v>13</v>
      </c>
      <c r="F103" s="94">
        <v>4.9542682926829276</v>
      </c>
      <c r="G103">
        <v>10800</v>
      </c>
      <c r="H103" s="94">
        <v>53506.097600000001</v>
      </c>
      <c r="I103" s="96">
        <v>3.1278770676657604E-3</v>
      </c>
      <c r="J103" s="94">
        <v>16828099.695099998</v>
      </c>
      <c r="K103" s="37">
        <v>0.98374259249202023</v>
      </c>
      <c r="L103" t="s">
        <v>54</v>
      </c>
      <c r="M103" t="s">
        <v>56</v>
      </c>
      <c r="N103" t="s">
        <v>51</v>
      </c>
      <c r="O103" s="87" t="s">
        <v>84</v>
      </c>
      <c r="P103" s="94">
        <v>10701.219499999999</v>
      </c>
    </row>
    <row r="104" spans="1:16" x14ac:dyDescent="0.2">
      <c r="A104" s="95">
        <v>0.75</v>
      </c>
      <c r="B104">
        <v>36</v>
      </c>
      <c r="C104">
        <v>6505</v>
      </c>
      <c r="D104">
        <v>65</v>
      </c>
      <c r="E104" t="s">
        <v>12</v>
      </c>
      <c r="F104" s="94">
        <v>21.79878048780488</v>
      </c>
      <c r="G104">
        <v>2400</v>
      </c>
      <c r="H104" s="94">
        <v>52317.073199999999</v>
      </c>
      <c r="I104" s="96">
        <v>3.0583686883842985E-3</v>
      </c>
      <c r="J104" s="94">
        <v>16880416.768300001</v>
      </c>
      <c r="K104" s="37">
        <v>0.9868009611804045</v>
      </c>
      <c r="L104" t="s">
        <v>51</v>
      </c>
      <c r="M104" t="s">
        <v>53</v>
      </c>
      <c r="N104" t="s">
        <v>56</v>
      </c>
      <c r="O104" s="87" t="s">
        <v>80</v>
      </c>
      <c r="P104" s="94">
        <v>26158.536599999999</v>
      </c>
    </row>
    <row r="105" spans="1:16" x14ac:dyDescent="0.2">
      <c r="A105" s="95">
        <v>0.75</v>
      </c>
      <c r="B105">
        <v>36</v>
      </c>
      <c r="C105">
        <v>6505</v>
      </c>
      <c r="D105">
        <v>65</v>
      </c>
      <c r="E105" t="s">
        <v>12</v>
      </c>
      <c r="F105" s="94">
        <v>21.79878048780488</v>
      </c>
      <c r="G105">
        <v>2400</v>
      </c>
      <c r="H105" s="94">
        <v>52317.073199999999</v>
      </c>
      <c r="I105" s="96">
        <v>3.0583686883842985E-3</v>
      </c>
      <c r="J105" s="94">
        <v>16880416.768300001</v>
      </c>
      <c r="K105" s="37">
        <v>0.9868009611804045</v>
      </c>
      <c r="L105" t="s">
        <v>51</v>
      </c>
      <c r="M105" t="s">
        <v>53</v>
      </c>
      <c r="N105" t="s">
        <v>56</v>
      </c>
      <c r="O105" s="87" t="s">
        <v>82</v>
      </c>
      <c r="P105" s="94">
        <v>15695.121999999999</v>
      </c>
    </row>
    <row r="106" spans="1:16" x14ac:dyDescent="0.2">
      <c r="A106" s="95">
        <v>0.75</v>
      </c>
      <c r="B106">
        <v>36</v>
      </c>
      <c r="C106">
        <v>6505</v>
      </c>
      <c r="D106">
        <v>65</v>
      </c>
      <c r="E106" t="s">
        <v>12</v>
      </c>
      <c r="F106" s="94">
        <v>21.79878048780488</v>
      </c>
      <c r="G106">
        <v>2400</v>
      </c>
      <c r="H106" s="94">
        <v>52317.073199999999</v>
      </c>
      <c r="I106" s="96">
        <v>3.0583686883842985E-3</v>
      </c>
      <c r="J106" s="94">
        <v>16880416.768300001</v>
      </c>
      <c r="K106" s="37">
        <v>0.9868009611804045</v>
      </c>
      <c r="L106" t="s">
        <v>51</v>
      </c>
      <c r="M106" t="s">
        <v>53</v>
      </c>
      <c r="N106" t="s">
        <v>56</v>
      </c>
      <c r="O106" s="87" t="s">
        <v>84</v>
      </c>
      <c r="P106" s="94">
        <v>10463.4146</v>
      </c>
    </row>
    <row r="107" spans="1:16" x14ac:dyDescent="0.2">
      <c r="A107" s="95">
        <v>0.77083333333333337</v>
      </c>
      <c r="B107">
        <v>37</v>
      </c>
      <c r="C107">
        <v>2201</v>
      </c>
      <c r="D107">
        <v>22</v>
      </c>
      <c r="E107" t="s">
        <v>11</v>
      </c>
      <c r="F107" s="94">
        <v>110.97560975609757</v>
      </c>
      <c r="G107">
        <v>360</v>
      </c>
      <c r="H107" s="94">
        <v>39951.219499999999</v>
      </c>
      <c r="I107" s="96">
        <v>2.3354815438571008E-3</v>
      </c>
      <c r="J107" s="94">
        <v>16920367.987799998</v>
      </c>
      <c r="K107" s="37">
        <v>0.9891364427242616</v>
      </c>
      <c r="L107" t="s">
        <v>54</v>
      </c>
      <c r="M107" t="s">
        <v>56</v>
      </c>
      <c r="N107" t="s">
        <v>51</v>
      </c>
      <c r="O107" s="87" t="s">
        <v>80</v>
      </c>
      <c r="P107" s="94">
        <v>19975.609799999998</v>
      </c>
    </row>
    <row r="108" spans="1:16" x14ac:dyDescent="0.2">
      <c r="A108" s="95">
        <v>0.77083333333333337</v>
      </c>
      <c r="B108">
        <v>37</v>
      </c>
      <c r="C108">
        <v>2201</v>
      </c>
      <c r="D108">
        <v>22</v>
      </c>
      <c r="E108" t="s">
        <v>11</v>
      </c>
      <c r="F108" s="94">
        <v>110.97560975609757</v>
      </c>
      <c r="G108">
        <v>360</v>
      </c>
      <c r="H108" s="94">
        <v>39951.219499999999</v>
      </c>
      <c r="I108" s="96">
        <v>2.3354815438571008E-3</v>
      </c>
      <c r="J108" s="94">
        <v>16920367.987799998</v>
      </c>
      <c r="K108" s="37">
        <v>0.9891364427242616</v>
      </c>
      <c r="L108" t="s">
        <v>54</v>
      </c>
      <c r="M108" t="s">
        <v>56</v>
      </c>
      <c r="N108" t="s">
        <v>51</v>
      </c>
      <c r="O108" s="87" t="s">
        <v>82</v>
      </c>
      <c r="P108" s="94">
        <v>11985.365900000001</v>
      </c>
    </row>
    <row r="109" spans="1:16" x14ac:dyDescent="0.2">
      <c r="A109" s="95">
        <v>0.77083333333333337</v>
      </c>
      <c r="B109">
        <v>37</v>
      </c>
      <c r="C109">
        <v>2201</v>
      </c>
      <c r="D109">
        <v>22</v>
      </c>
      <c r="E109" t="s">
        <v>11</v>
      </c>
      <c r="F109" s="94">
        <v>110.97560975609757</v>
      </c>
      <c r="G109">
        <v>360</v>
      </c>
      <c r="H109" s="94">
        <v>39951.219499999999</v>
      </c>
      <c r="I109" s="96">
        <v>2.3354815438571008E-3</v>
      </c>
      <c r="J109" s="94">
        <v>16920367.987799998</v>
      </c>
      <c r="K109" s="37">
        <v>0.9891364427242616</v>
      </c>
      <c r="L109" t="s">
        <v>54</v>
      </c>
      <c r="M109" t="s">
        <v>56</v>
      </c>
      <c r="N109" t="s">
        <v>51</v>
      </c>
      <c r="O109" s="87" t="s">
        <v>84</v>
      </c>
      <c r="P109" s="94">
        <v>7990.2439000000004</v>
      </c>
    </row>
    <row r="110" spans="1:16" x14ac:dyDescent="0.2">
      <c r="A110" s="95">
        <v>0.79166666666666663</v>
      </c>
      <c r="B110">
        <v>38</v>
      </c>
      <c r="C110">
        <v>9904</v>
      </c>
      <c r="D110">
        <v>99</v>
      </c>
      <c r="E110" t="s">
        <v>10</v>
      </c>
      <c r="F110" s="94">
        <v>1089.939024390244</v>
      </c>
      <c r="G110">
        <v>36</v>
      </c>
      <c r="H110" s="94">
        <v>39237.804900000003</v>
      </c>
      <c r="I110" s="96">
        <v>2.293776516288224E-3</v>
      </c>
      <c r="J110" s="94">
        <v>16959605.7927</v>
      </c>
      <c r="K110" s="37">
        <v>0.99143021924054986</v>
      </c>
      <c r="L110" t="s">
        <v>51</v>
      </c>
      <c r="M110" t="s">
        <v>53</v>
      </c>
      <c r="N110" t="s">
        <v>56</v>
      </c>
      <c r="O110" s="87" t="s">
        <v>80</v>
      </c>
      <c r="P110" s="94">
        <v>19618.902399999999</v>
      </c>
    </row>
    <row r="111" spans="1:16" x14ac:dyDescent="0.2">
      <c r="A111" s="95">
        <v>0.79166666666666663</v>
      </c>
      <c r="B111">
        <v>38</v>
      </c>
      <c r="C111">
        <v>9904</v>
      </c>
      <c r="D111">
        <v>99</v>
      </c>
      <c r="E111" t="s">
        <v>10</v>
      </c>
      <c r="F111" s="94">
        <v>1089.939024390244</v>
      </c>
      <c r="G111">
        <v>36</v>
      </c>
      <c r="H111" s="94">
        <v>39237.804900000003</v>
      </c>
      <c r="I111" s="96">
        <v>2.293776516288224E-3</v>
      </c>
      <c r="J111" s="94">
        <v>16959605.7927</v>
      </c>
      <c r="K111" s="37">
        <v>0.99143021924054986</v>
      </c>
      <c r="L111" t="s">
        <v>51</v>
      </c>
      <c r="M111" t="s">
        <v>53</v>
      </c>
      <c r="N111" t="s">
        <v>56</v>
      </c>
      <c r="O111" s="87" t="s">
        <v>82</v>
      </c>
      <c r="P111" s="94">
        <v>11771.3415</v>
      </c>
    </row>
    <row r="112" spans="1:16" x14ac:dyDescent="0.2">
      <c r="A112" s="95">
        <v>0.79166666666666663</v>
      </c>
      <c r="B112">
        <v>38</v>
      </c>
      <c r="C112">
        <v>9904</v>
      </c>
      <c r="D112">
        <v>99</v>
      </c>
      <c r="E112" t="s">
        <v>10</v>
      </c>
      <c r="F112" s="94">
        <v>1089.939024390244</v>
      </c>
      <c r="G112">
        <v>36</v>
      </c>
      <c r="H112" s="94">
        <v>39237.804900000003</v>
      </c>
      <c r="I112" s="96">
        <v>2.293776516288224E-3</v>
      </c>
      <c r="J112" s="94">
        <v>16959605.7927</v>
      </c>
      <c r="K112" s="37">
        <v>0.99143021924054986</v>
      </c>
      <c r="L112" t="s">
        <v>51</v>
      </c>
      <c r="M112" t="s">
        <v>53</v>
      </c>
      <c r="N112" t="s">
        <v>56</v>
      </c>
      <c r="O112" s="87" t="s">
        <v>84</v>
      </c>
      <c r="P112" s="94">
        <v>7847.5609999999997</v>
      </c>
    </row>
    <row r="113" spans="1:16" x14ac:dyDescent="0.2">
      <c r="A113" s="95">
        <v>0.8125</v>
      </c>
      <c r="B113">
        <v>39</v>
      </c>
      <c r="C113">
        <v>5403</v>
      </c>
      <c r="D113">
        <v>54</v>
      </c>
      <c r="E113" t="s">
        <v>9</v>
      </c>
      <c r="F113" s="94">
        <v>6.3414634146341466</v>
      </c>
      <c r="G113">
        <v>4800</v>
      </c>
      <c r="H113" s="94">
        <v>30439.024399999998</v>
      </c>
      <c r="I113" s="96">
        <v>1.7794145096054102E-3</v>
      </c>
      <c r="J113" s="94">
        <v>16990044.8171</v>
      </c>
      <c r="K113" s="37">
        <v>0.99320963375015514</v>
      </c>
      <c r="L113" t="s">
        <v>54</v>
      </c>
      <c r="M113" t="s">
        <v>56</v>
      </c>
      <c r="N113" t="s">
        <v>51</v>
      </c>
      <c r="O113" s="87" t="s">
        <v>80</v>
      </c>
      <c r="P113" s="94">
        <v>15219.512199999999</v>
      </c>
    </row>
    <row r="114" spans="1:16" x14ac:dyDescent="0.2">
      <c r="A114" s="95">
        <v>0.8125</v>
      </c>
      <c r="B114">
        <v>39</v>
      </c>
      <c r="C114">
        <v>5403</v>
      </c>
      <c r="D114">
        <v>54</v>
      </c>
      <c r="E114" t="s">
        <v>9</v>
      </c>
      <c r="F114" s="94">
        <v>6.3414634146341466</v>
      </c>
      <c r="G114">
        <v>4800</v>
      </c>
      <c r="H114" s="94">
        <v>30439.024399999998</v>
      </c>
      <c r="I114" s="96">
        <v>1.7794145096054102E-3</v>
      </c>
      <c r="J114" s="94">
        <v>16990044.8171</v>
      </c>
      <c r="K114" s="37">
        <v>0.99320963375015514</v>
      </c>
      <c r="L114" t="s">
        <v>54</v>
      </c>
      <c r="M114" t="s">
        <v>56</v>
      </c>
      <c r="N114" t="s">
        <v>51</v>
      </c>
      <c r="O114" s="87" t="s">
        <v>82</v>
      </c>
      <c r="P114" s="94">
        <v>9131.7073</v>
      </c>
    </row>
    <row r="115" spans="1:16" x14ac:dyDescent="0.2">
      <c r="A115" s="95">
        <v>0.8125</v>
      </c>
      <c r="B115">
        <v>39</v>
      </c>
      <c r="C115">
        <v>5403</v>
      </c>
      <c r="D115">
        <v>54</v>
      </c>
      <c r="E115" t="s">
        <v>9</v>
      </c>
      <c r="F115" s="94">
        <v>6.3414634146341466</v>
      </c>
      <c r="G115">
        <v>4800</v>
      </c>
      <c r="H115" s="94">
        <v>30439.024399999998</v>
      </c>
      <c r="I115" s="96">
        <v>1.7794145096054102E-3</v>
      </c>
      <c r="J115" s="94">
        <v>16990044.8171</v>
      </c>
      <c r="K115" s="37">
        <v>0.99320963375015514</v>
      </c>
      <c r="L115" t="s">
        <v>54</v>
      </c>
      <c r="M115" t="s">
        <v>56</v>
      </c>
      <c r="N115" t="s">
        <v>51</v>
      </c>
      <c r="O115" s="87" t="s">
        <v>84</v>
      </c>
      <c r="P115" s="94">
        <v>6087.8049000000001</v>
      </c>
    </row>
    <row r="116" spans="1:16" x14ac:dyDescent="0.2">
      <c r="A116" s="95">
        <v>0.83333333333333337</v>
      </c>
      <c r="B116">
        <v>40</v>
      </c>
      <c r="C116">
        <v>5401</v>
      </c>
      <c r="D116">
        <v>54</v>
      </c>
      <c r="E116" t="s">
        <v>8</v>
      </c>
      <c r="F116" s="94">
        <v>3.6661585365853662</v>
      </c>
      <c r="G116">
        <v>7200</v>
      </c>
      <c r="H116" s="94">
        <v>26396.341499999999</v>
      </c>
      <c r="I116" s="96">
        <v>1.5430860200484416E-3</v>
      </c>
      <c r="J116" s="94">
        <v>17016441.158500001</v>
      </c>
      <c r="K116" s="37">
        <v>0.99475271977020352</v>
      </c>
      <c r="L116" t="s">
        <v>54</v>
      </c>
      <c r="M116" t="s">
        <v>56</v>
      </c>
      <c r="N116" t="s">
        <v>51</v>
      </c>
      <c r="O116" s="87" t="s">
        <v>80</v>
      </c>
      <c r="P116" s="94">
        <v>13198.170700000001</v>
      </c>
    </row>
    <row r="117" spans="1:16" x14ac:dyDescent="0.2">
      <c r="A117" s="95">
        <v>0.83333333333333337</v>
      </c>
      <c r="B117">
        <v>40</v>
      </c>
      <c r="C117">
        <v>5401</v>
      </c>
      <c r="D117">
        <v>54</v>
      </c>
      <c r="E117" t="s">
        <v>8</v>
      </c>
      <c r="F117" s="94">
        <v>3.6661585365853662</v>
      </c>
      <c r="G117">
        <v>7200</v>
      </c>
      <c r="H117" s="94">
        <v>26396.341499999999</v>
      </c>
      <c r="I117" s="96">
        <v>1.5430860200484416E-3</v>
      </c>
      <c r="J117" s="94">
        <v>17016441.158500001</v>
      </c>
      <c r="K117" s="37">
        <v>0.99475271977020352</v>
      </c>
      <c r="L117" t="s">
        <v>54</v>
      </c>
      <c r="M117" t="s">
        <v>56</v>
      </c>
      <c r="N117" t="s">
        <v>51</v>
      </c>
      <c r="O117" s="87" t="s">
        <v>82</v>
      </c>
      <c r="P117" s="94">
        <v>7918.9023999999999</v>
      </c>
    </row>
    <row r="118" spans="1:16" x14ac:dyDescent="0.2">
      <c r="A118" s="95">
        <v>0.83333333333333337</v>
      </c>
      <c r="B118">
        <v>40</v>
      </c>
      <c r="C118">
        <v>5401</v>
      </c>
      <c r="D118">
        <v>54</v>
      </c>
      <c r="E118" t="s">
        <v>8</v>
      </c>
      <c r="F118" s="94">
        <v>3.6661585365853662</v>
      </c>
      <c r="G118">
        <v>7200</v>
      </c>
      <c r="H118" s="94">
        <v>26396.341499999999</v>
      </c>
      <c r="I118" s="96">
        <v>1.5430860200484416E-3</v>
      </c>
      <c r="J118" s="94">
        <v>17016441.158500001</v>
      </c>
      <c r="K118" s="37">
        <v>0.99475271977020352</v>
      </c>
      <c r="L118" t="s">
        <v>54</v>
      </c>
      <c r="M118" t="s">
        <v>56</v>
      </c>
      <c r="N118" t="s">
        <v>51</v>
      </c>
      <c r="O118" s="87" t="s">
        <v>84</v>
      </c>
      <c r="P118" s="94">
        <v>5279.2682999999997</v>
      </c>
    </row>
    <row r="119" spans="1:16" x14ac:dyDescent="0.2">
      <c r="A119" s="95">
        <v>0.85416666666666663</v>
      </c>
      <c r="B119">
        <v>41</v>
      </c>
      <c r="C119">
        <v>4501</v>
      </c>
      <c r="D119">
        <v>45</v>
      </c>
      <c r="E119" t="s">
        <v>7</v>
      </c>
      <c r="F119" s="94">
        <v>168.44512195121953</v>
      </c>
      <c r="G119">
        <v>120</v>
      </c>
      <c r="H119" s="94">
        <v>20213.4146</v>
      </c>
      <c r="I119" s="96">
        <v>1.1816424477848427E-3</v>
      </c>
      <c r="J119" s="94">
        <v>17036654.573199999</v>
      </c>
      <c r="K119" s="37">
        <v>0.99593436221798837</v>
      </c>
      <c r="L119" t="s">
        <v>54</v>
      </c>
      <c r="M119" t="s">
        <v>56</v>
      </c>
      <c r="N119" t="s">
        <v>51</v>
      </c>
      <c r="O119" s="87" t="s">
        <v>80</v>
      </c>
      <c r="P119" s="94">
        <v>10106.7073</v>
      </c>
    </row>
    <row r="120" spans="1:16" x14ac:dyDescent="0.2">
      <c r="A120" s="95">
        <v>0.85416666666666663</v>
      </c>
      <c r="B120">
        <v>41</v>
      </c>
      <c r="C120">
        <v>4501</v>
      </c>
      <c r="D120">
        <v>45</v>
      </c>
      <c r="E120" t="s">
        <v>7</v>
      </c>
      <c r="F120" s="94">
        <v>168.44512195121953</v>
      </c>
      <c r="G120">
        <v>120</v>
      </c>
      <c r="H120" s="94">
        <v>20213.4146</v>
      </c>
      <c r="I120" s="96">
        <v>1.1816424477848427E-3</v>
      </c>
      <c r="J120" s="94">
        <v>17036654.573199999</v>
      </c>
      <c r="K120" s="37">
        <v>0.99593436221798837</v>
      </c>
      <c r="L120" t="s">
        <v>54</v>
      </c>
      <c r="M120" t="s">
        <v>56</v>
      </c>
      <c r="N120" t="s">
        <v>51</v>
      </c>
      <c r="O120" s="87" t="s">
        <v>82</v>
      </c>
      <c r="P120" s="94">
        <v>6064.0244000000002</v>
      </c>
    </row>
    <row r="121" spans="1:16" x14ac:dyDescent="0.2">
      <c r="A121" s="95">
        <v>0.85416666666666663</v>
      </c>
      <c r="B121">
        <v>41</v>
      </c>
      <c r="C121">
        <v>4501</v>
      </c>
      <c r="D121">
        <v>45</v>
      </c>
      <c r="E121" t="s">
        <v>7</v>
      </c>
      <c r="F121" s="94">
        <v>168.44512195121953</v>
      </c>
      <c r="G121">
        <v>120</v>
      </c>
      <c r="H121" s="94">
        <v>20213.4146</v>
      </c>
      <c r="I121" s="96">
        <v>1.1816424477848427E-3</v>
      </c>
      <c r="J121" s="94">
        <v>17036654.573199999</v>
      </c>
      <c r="K121" s="37">
        <v>0.99593436221798837</v>
      </c>
      <c r="L121" t="s">
        <v>54</v>
      </c>
      <c r="M121" t="s">
        <v>56</v>
      </c>
      <c r="N121" t="s">
        <v>51</v>
      </c>
      <c r="O121" s="87" t="s">
        <v>84</v>
      </c>
      <c r="P121" s="94">
        <v>4042.6828999999998</v>
      </c>
    </row>
    <row r="122" spans="1:16" x14ac:dyDescent="0.2">
      <c r="A122" s="95">
        <v>0.875</v>
      </c>
      <c r="B122">
        <v>42</v>
      </c>
      <c r="C122">
        <v>3302</v>
      </c>
      <c r="D122">
        <v>33</v>
      </c>
      <c r="E122" t="s">
        <v>6</v>
      </c>
      <c r="F122" s="94">
        <v>416.15853658536588</v>
      </c>
      <c r="G122">
        <v>36</v>
      </c>
      <c r="H122" s="94">
        <v>14981.7073</v>
      </c>
      <c r="I122" s="96">
        <v>8.7580557894641274E-4</v>
      </c>
      <c r="J122" s="94">
        <v>17051636.280499998</v>
      </c>
      <c r="K122" s="37">
        <v>0.99681016779693477</v>
      </c>
      <c r="L122" t="s">
        <v>54</v>
      </c>
      <c r="M122" t="s">
        <v>56</v>
      </c>
      <c r="N122" t="s">
        <v>51</v>
      </c>
      <c r="O122" s="87" t="s">
        <v>80</v>
      </c>
      <c r="P122" s="94">
        <v>7490.8536999999997</v>
      </c>
    </row>
    <row r="123" spans="1:16" x14ac:dyDescent="0.2">
      <c r="A123" s="95">
        <v>0.875</v>
      </c>
      <c r="B123">
        <v>42</v>
      </c>
      <c r="C123">
        <v>3302</v>
      </c>
      <c r="D123">
        <v>33</v>
      </c>
      <c r="E123" t="s">
        <v>6</v>
      </c>
      <c r="F123" s="94">
        <v>416.15853658536588</v>
      </c>
      <c r="G123">
        <v>36</v>
      </c>
      <c r="H123" s="94">
        <v>14981.7073</v>
      </c>
      <c r="I123" s="96">
        <v>8.7580557894641274E-4</v>
      </c>
      <c r="J123" s="94">
        <v>17051636.280499998</v>
      </c>
      <c r="K123" s="37">
        <v>0.99681016779693477</v>
      </c>
      <c r="L123" t="s">
        <v>54</v>
      </c>
      <c r="M123" t="s">
        <v>56</v>
      </c>
      <c r="N123" t="s">
        <v>51</v>
      </c>
      <c r="O123" s="87" t="s">
        <v>82</v>
      </c>
      <c r="P123" s="94">
        <v>4494.5122000000001</v>
      </c>
    </row>
    <row r="124" spans="1:16" x14ac:dyDescent="0.2">
      <c r="A124" s="95">
        <v>0.875</v>
      </c>
      <c r="B124">
        <v>42</v>
      </c>
      <c r="C124">
        <v>3302</v>
      </c>
      <c r="D124">
        <v>33</v>
      </c>
      <c r="E124" t="s">
        <v>6</v>
      </c>
      <c r="F124" s="94">
        <v>416.15853658536588</v>
      </c>
      <c r="G124">
        <v>36</v>
      </c>
      <c r="H124" s="94">
        <v>14981.7073</v>
      </c>
      <c r="I124" s="96">
        <v>8.7580557894641274E-4</v>
      </c>
      <c r="J124" s="94">
        <v>17051636.280499998</v>
      </c>
      <c r="K124" s="37">
        <v>0.99681016779693477</v>
      </c>
      <c r="L124" t="s">
        <v>54</v>
      </c>
      <c r="M124" t="s">
        <v>56</v>
      </c>
      <c r="N124" t="s">
        <v>51</v>
      </c>
      <c r="O124" s="87" t="s">
        <v>84</v>
      </c>
      <c r="P124" s="94">
        <v>2996.3415</v>
      </c>
    </row>
    <row r="125" spans="1:16" x14ac:dyDescent="0.2">
      <c r="A125" s="95">
        <v>0.89583333333333337</v>
      </c>
      <c r="B125">
        <v>43</v>
      </c>
      <c r="C125">
        <v>1712</v>
      </c>
      <c r="D125">
        <v>17</v>
      </c>
      <c r="E125" t="s">
        <v>5</v>
      </c>
      <c r="F125" s="94">
        <v>7.7286585365853666</v>
      </c>
      <c r="G125">
        <v>1920</v>
      </c>
      <c r="H125" s="94">
        <v>14839.0244</v>
      </c>
      <c r="I125" s="96">
        <v>8.6746457343263739E-4</v>
      </c>
      <c r="J125" s="94">
        <v>17066475.304900002</v>
      </c>
      <c r="K125" s="37">
        <v>0.99767763237036733</v>
      </c>
      <c r="L125" t="s">
        <v>51</v>
      </c>
      <c r="M125" t="s">
        <v>52</v>
      </c>
      <c r="N125" t="s">
        <v>56</v>
      </c>
      <c r="O125" s="87" t="s">
        <v>80</v>
      </c>
      <c r="P125" s="94">
        <v>7419.5122000000001</v>
      </c>
    </row>
    <row r="126" spans="1:16" x14ac:dyDescent="0.2">
      <c r="A126" s="95">
        <v>0.89583333333333337</v>
      </c>
      <c r="B126">
        <v>43</v>
      </c>
      <c r="C126">
        <v>1712</v>
      </c>
      <c r="D126">
        <v>17</v>
      </c>
      <c r="E126" t="s">
        <v>5</v>
      </c>
      <c r="F126" s="94">
        <v>7.7286585365853666</v>
      </c>
      <c r="G126">
        <v>1920</v>
      </c>
      <c r="H126" s="94">
        <v>14839.0244</v>
      </c>
      <c r="I126" s="96">
        <v>8.6746457343263739E-4</v>
      </c>
      <c r="J126" s="94">
        <v>17066475.304900002</v>
      </c>
      <c r="K126" s="37">
        <v>0.99767763237036733</v>
      </c>
      <c r="L126" t="s">
        <v>51</v>
      </c>
      <c r="M126" t="s">
        <v>52</v>
      </c>
      <c r="N126" t="s">
        <v>56</v>
      </c>
      <c r="O126" s="87" t="s">
        <v>82</v>
      </c>
      <c r="P126" s="94">
        <v>4451.7073</v>
      </c>
    </row>
    <row r="127" spans="1:16" x14ac:dyDescent="0.2">
      <c r="A127" s="95">
        <v>0.89583333333333337</v>
      </c>
      <c r="B127">
        <v>43</v>
      </c>
      <c r="C127">
        <v>1712</v>
      </c>
      <c r="D127">
        <v>17</v>
      </c>
      <c r="E127" t="s">
        <v>5</v>
      </c>
      <c r="F127" s="94">
        <v>7.7286585365853666</v>
      </c>
      <c r="G127">
        <v>1920</v>
      </c>
      <c r="H127" s="94">
        <v>14839.0244</v>
      </c>
      <c r="I127" s="96">
        <v>8.6746457343263739E-4</v>
      </c>
      <c r="J127" s="94">
        <v>17066475.304900002</v>
      </c>
      <c r="K127" s="37">
        <v>0.99767763237036733</v>
      </c>
      <c r="L127" t="s">
        <v>51</v>
      </c>
      <c r="M127" t="s">
        <v>52</v>
      </c>
      <c r="N127" t="s">
        <v>56</v>
      </c>
      <c r="O127" s="87" t="s">
        <v>84</v>
      </c>
      <c r="P127" s="94">
        <v>2967.8049000000001</v>
      </c>
    </row>
    <row r="128" spans="1:16" x14ac:dyDescent="0.2">
      <c r="A128" s="95">
        <v>0.91666666666666663</v>
      </c>
      <c r="B128">
        <v>44</v>
      </c>
      <c r="C128">
        <v>5002</v>
      </c>
      <c r="D128">
        <v>50</v>
      </c>
      <c r="E128" t="s">
        <v>4</v>
      </c>
      <c r="F128" s="94">
        <v>2.1798780487804881</v>
      </c>
      <c r="G128">
        <v>6144</v>
      </c>
      <c r="H128" s="94">
        <v>13393.170700000001</v>
      </c>
      <c r="I128" s="96">
        <v>7.8294238422638054E-4</v>
      </c>
      <c r="J128" s="94">
        <v>17079868.4756</v>
      </c>
      <c r="K128" s="37">
        <v>0.99846057475459371</v>
      </c>
      <c r="L128" t="s">
        <v>54</v>
      </c>
      <c r="M128" t="s">
        <v>56</v>
      </c>
      <c r="N128" t="s">
        <v>51</v>
      </c>
      <c r="O128" s="87" t="s">
        <v>80</v>
      </c>
      <c r="P128" s="94">
        <v>6696.5853999999999</v>
      </c>
    </row>
    <row r="129" spans="1:16" x14ac:dyDescent="0.2">
      <c r="A129" s="95">
        <v>0.91666666666666663</v>
      </c>
      <c r="B129">
        <v>44</v>
      </c>
      <c r="C129">
        <v>5002</v>
      </c>
      <c r="D129">
        <v>50</v>
      </c>
      <c r="E129" t="s">
        <v>4</v>
      </c>
      <c r="F129" s="94">
        <v>2.1798780487804881</v>
      </c>
      <c r="G129">
        <v>6144</v>
      </c>
      <c r="H129" s="94">
        <v>13393.170700000001</v>
      </c>
      <c r="I129" s="96">
        <v>7.8294238422638054E-4</v>
      </c>
      <c r="J129" s="94">
        <v>17079868.4756</v>
      </c>
      <c r="K129" s="37">
        <v>0.99846057475459371</v>
      </c>
      <c r="L129" t="s">
        <v>54</v>
      </c>
      <c r="M129" t="s">
        <v>56</v>
      </c>
      <c r="N129" t="s">
        <v>51</v>
      </c>
      <c r="O129" s="87" t="s">
        <v>82</v>
      </c>
      <c r="P129" s="94">
        <v>4017.9512</v>
      </c>
    </row>
    <row r="130" spans="1:16" x14ac:dyDescent="0.2">
      <c r="A130" s="95">
        <v>0.91666666666666663</v>
      </c>
      <c r="B130">
        <v>44</v>
      </c>
      <c r="C130">
        <v>5002</v>
      </c>
      <c r="D130">
        <v>50</v>
      </c>
      <c r="E130" t="s">
        <v>4</v>
      </c>
      <c r="F130" s="94">
        <v>2.1798780487804881</v>
      </c>
      <c r="G130">
        <v>6144</v>
      </c>
      <c r="H130" s="94">
        <v>13393.170700000001</v>
      </c>
      <c r="I130" s="96">
        <v>7.8294238422638054E-4</v>
      </c>
      <c r="J130" s="94">
        <v>17079868.4756</v>
      </c>
      <c r="K130" s="37">
        <v>0.99846057475459371</v>
      </c>
      <c r="L130" t="s">
        <v>54</v>
      </c>
      <c r="M130" t="s">
        <v>56</v>
      </c>
      <c r="N130" t="s">
        <v>51</v>
      </c>
      <c r="O130" s="87" t="s">
        <v>84</v>
      </c>
      <c r="P130" s="94">
        <v>2678.6341000000002</v>
      </c>
    </row>
    <row r="131" spans="1:16" x14ac:dyDescent="0.2">
      <c r="A131" s="95">
        <v>0.9375</v>
      </c>
      <c r="B131">
        <v>45</v>
      </c>
      <c r="C131">
        <v>5001</v>
      </c>
      <c r="D131">
        <v>50</v>
      </c>
      <c r="E131" t="s">
        <v>3</v>
      </c>
      <c r="F131" s="94">
        <v>2.1798780487804881</v>
      </c>
      <c r="G131">
        <v>5376</v>
      </c>
      <c r="H131" s="94">
        <v>11719.0244</v>
      </c>
      <c r="I131" s="96">
        <v>6.8507458619808295E-4</v>
      </c>
      <c r="J131" s="94">
        <v>17091587.5</v>
      </c>
      <c r="K131" s="37">
        <v>0.99914564934079175</v>
      </c>
      <c r="L131" t="s">
        <v>54</v>
      </c>
      <c r="M131" t="s">
        <v>56</v>
      </c>
      <c r="N131" t="s">
        <v>51</v>
      </c>
      <c r="O131" s="87" t="s">
        <v>80</v>
      </c>
      <c r="P131" s="94">
        <v>5859.5122000000001</v>
      </c>
    </row>
    <row r="132" spans="1:16" x14ac:dyDescent="0.2">
      <c r="A132" s="95">
        <v>0.9375</v>
      </c>
      <c r="B132">
        <v>45</v>
      </c>
      <c r="C132">
        <v>5001</v>
      </c>
      <c r="D132">
        <v>50</v>
      </c>
      <c r="E132" t="s">
        <v>3</v>
      </c>
      <c r="F132" s="94">
        <v>2.1798780487804881</v>
      </c>
      <c r="G132">
        <v>5376</v>
      </c>
      <c r="H132" s="94">
        <v>11719.0244</v>
      </c>
      <c r="I132" s="96">
        <v>6.8507458619808295E-4</v>
      </c>
      <c r="J132" s="94">
        <v>17091587.5</v>
      </c>
      <c r="K132" s="37">
        <v>0.99914564934079175</v>
      </c>
      <c r="L132" t="s">
        <v>54</v>
      </c>
      <c r="M132" t="s">
        <v>56</v>
      </c>
      <c r="N132" t="s">
        <v>51</v>
      </c>
      <c r="O132" s="87" t="s">
        <v>82</v>
      </c>
      <c r="P132" s="94">
        <v>3515.7073</v>
      </c>
    </row>
    <row r="133" spans="1:16" x14ac:dyDescent="0.2">
      <c r="A133" s="95">
        <v>0.9375</v>
      </c>
      <c r="B133">
        <v>45</v>
      </c>
      <c r="C133">
        <v>5001</v>
      </c>
      <c r="D133">
        <v>50</v>
      </c>
      <c r="E133" t="s">
        <v>3</v>
      </c>
      <c r="F133" s="94">
        <v>2.1798780487804881</v>
      </c>
      <c r="G133">
        <v>5376</v>
      </c>
      <c r="H133" s="94">
        <v>11719.0244</v>
      </c>
      <c r="I133" s="96">
        <v>6.8507458619808295E-4</v>
      </c>
      <c r="J133" s="94">
        <v>17091587.5</v>
      </c>
      <c r="K133" s="37">
        <v>0.99914564934079175</v>
      </c>
      <c r="L133" t="s">
        <v>54</v>
      </c>
      <c r="M133" t="s">
        <v>56</v>
      </c>
      <c r="N133" t="s">
        <v>51</v>
      </c>
      <c r="O133" s="87" t="s">
        <v>84</v>
      </c>
      <c r="P133" s="94">
        <v>2343.8049000000001</v>
      </c>
    </row>
    <row r="134" spans="1:16" x14ac:dyDescent="0.2">
      <c r="A134" s="95">
        <v>0.95833333333333337</v>
      </c>
      <c r="B134">
        <v>46</v>
      </c>
      <c r="C134">
        <v>5404</v>
      </c>
      <c r="D134">
        <v>54</v>
      </c>
      <c r="E134" t="s">
        <v>2</v>
      </c>
      <c r="F134" s="94">
        <v>9.5121951219512209</v>
      </c>
      <c r="G134">
        <v>1200</v>
      </c>
      <c r="H134" s="94">
        <v>11414.634099999999</v>
      </c>
      <c r="I134" s="96">
        <v>6.6728044110202884E-4</v>
      </c>
      <c r="J134" s="94">
        <v>17103002.134100001</v>
      </c>
      <c r="K134" s="37">
        <v>0.99981292978189373</v>
      </c>
      <c r="L134" t="s">
        <v>54</v>
      </c>
      <c r="M134" t="s">
        <v>56</v>
      </c>
      <c r="N134" t="s">
        <v>51</v>
      </c>
      <c r="O134" s="87" t="s">
        <v>80</v>
      </c>
      <c r="P134" s="94">
        <v>5707.3171000000002</v>
      </c>
    </row>
    <row r="135" spans="1:16" x14ac:dyDescent="0.2">
      <c r="A135" s="95">
        <v>0.95833333333333337</v>
      </c>
      <c r="B135">
        <v>46</v>
      </c>
      <c r="C135">
        <v>5404</v>
      </c>
      <c r="D135">
        <v>54</v>
      </c>
      <c r="E135" t="s">
        <v>2</v>
      </c>
      <c r="F135" s="94">
        <v>9.5121951219512209</v>
      </c>
      <c r="G135">
        <v>1200</v>
      </c>
      <c r="H135" s="94">
        <v>11414.634099999999</v>
      </c>
      <c r="I135" s="96">
        <v>6.6728044110202884E-4</v>
      </c>
      <c r="J135" s="94">
        <v>17103002.134100001</v>
      </c>
      <c r="K135" s="37">
        <v>0.99981292978189373</v>
      </c>
      <c r="L135" t="s">
        <v>54</v>
      </c>
      <c r="M135" t="s">
        <v>56</v>
      </c>
      <c r="N135" t="s">
        <v>51</v>
      </c>
      <c r="O135" s="87" t="s">
        <v>82</v>
      </c>
      <c r="P135" s="94">
        <v>3424.3901999999998</v>
      </c>
    </row>
    <row r="136" spans="1:16" x14ac:dyDescent="0.2">
      <c r="A136" s="95">
        <v>0.95833333333333337</v>
      </c>
      <c r="B136">
        <v>46</v>
      </c>
      <c r="C136">
        <v>5404</v>
      </c>
      <c r="D136">
        <v>54</v>
      </c>
      <c r="E136" t="s">
        <v>2</v>
      </c>
      <c r="F136" s="94">
        <v>9.5121951219512209</v>
      </c>
      <c r="G136">
        <v>1200</v>
      </c>
      <c r="H136" s="94">
        <v>11414.634099999999</v>
      </c>
      <c r="I136" s="96">
        <v>6.6728044110202884E-4</v>
      </c>
      <c r="J136" s="94">
        <v>17103002.134100001</v>
      </c>
      <c r="K136" s="37">
        <v>0.99981292978189373</v>
      </c>
      <c r="L136" t="s">
        <v>54</v>
      </c>
      <c r="M136" t="s">
        <v>56</v>
      </c>
      <c r="N136" t="s">
        <v>51</v>
      </c>
      <c r="O136" s="87" t="s">
        <v>84</v>
      </c>
      <c r="P136" s="94">
        <v>2282.9268000000002</v>
      </c>
    </row>
    <row r="137" spans="1:16" x14ac:dyDescent="0.2">
      <c r="A137" s="95">
        <v>0.97916666666666663</v>
      </c>
      <c r="B137">
        <v>47</v>
      </c>
      <c r="C137">
        <v>2203</v>
      </c>
      <c r="D137">
        <v>22</v>
      </c>
      <c r="E137" t="s">
        <v>1</v>
      </c>
      <c r="F137" s="94">
        <v>237.80487804878049</v>
      </c>
      <c r="G137">
        <v>12</v>
      </c>
      <c r="H137" s="94">
        <v>2853.6585</v>
      </c>
      <c r="I137" s="96">
        <v>1.6682011027550721E-4</v>
      </c>
      <c r="J137" s="94">
        <v>17105855.7927</v>
      </c>
      <c r="K137" s="37">
        <v>0.99997974989216931</v>
      </c>
      <c r="L137" t="s">
        <v>54</v>
      </c>
      <c r="M137" t="s">
        <v>56</v>
      </c>
      <c r="N137" t="s">
        <v>51</v>
      </c>
      <c r="O137" s="87" t="s">
        <v>80</v>
      </c>
      <c r="P137" s="94">
        <v>1426.8293000000001</v>
      </c>
    </row>
    <row r="138" spans="1:16" x14ac:dyDescent="0.2">
      <c r="A138" s="95">
        <v>0.97916666666666663</v>
      </c>
      <c r="B138">
        <v>47</v>
      </c>
      <c r="C138">
        <v>2203</v>
      </c>
      <c r="D138">
        <v>22</v>
      </c>
      <c r="E138" t="s">
        <v>1</v>
      </c>
      <c r="F138" s="94">
        <v>237.80487804878049</v>
      </c>
      <c r="G138">
        <v>12</v>
      </c>
      <c r="H138" s="94">
        <v>2853.6585</v>
      </c>
      <c r="I138" s="96">
        <v>1.6682011027550721E-4</v>
      </c>
      <c r="J138" s="94">
        <v>17105855.7927</v>
      </c>
      <c r="K138" s="37">
        <v>0.99997974989216931</v>
      </c>
      <c r="L138" t="s">
        <v>54</v>
      </c>
      <c r="M138" t="s">
        <v>56</v>
      </c>
      <c r="N138" t="s">
        <v>51</v>
      </c>
      <c r="O138" s="87" t="s">
        <v>82</v>
      </c>
      <c r="P138" s="94">
        <v>856.09760000000006</v>
      </c>
    </row>
    <row r="139" spans="1:16" x14ac:dyDescent="0.2">
      <c r="A139" s="95">
        <v>0.97916666666666663</v>
      </c>
      <c r="B139">
        <v>47</v>
      </c>
      <c r="C139">
        <v>2203</v>
      </c>
      <c r="D139">
        <v>22</v>
      </c>
      <c r="E139" t="s">
        <v>1</v>
      </c>
      <c r="F139" s="94">
        <v>237.80487804878049</v>
      </c>
      <c r="G139">
        <v>12</v>
      </c>
      <c r="H139" s="94">
        <v>2853.6585</v>
      </c>
      <c r="I139" s="96">
        <v>1.6682011027550721E-4</v>
      </c>
      <c r="J139" s="94">
        <v>17105855.7927</v>
      </c>
      <c r="K139" s="37">
        <v>0.99997974989216931</v>
      </c>
      <c r="L139" t="s">
        <v>54</v>
      </c>
      <c r="M139" t="s">
        <v>56</v>
      </c>
      <c r="N139" t="s">
        <v>51</v>
      </c>
      <c r="O139" s="87" t="s">
        <v>84</v>
      </c>
      <c r="P139" s="94">
        <v>570.73170000000005</v>
      </c>
    </row>
    <row r="140" spans="1:16" x14ac:dyDescent="0.2">
      <c r="A140" s="95">
        <v>1</v>
      </c>
      <c r="B140">
        <v>48</v>
      </c>
      <c r="C140">
        <v>7910</v>
      </c>
      <c r="D140">
        <v>79</v>
      </c>
      <c r="E140" t="s">
        <v>0</v>
      </c>
      <c r="F140" s="94">
        <v>7.5304878048780486</v>
      </c>
      <c r="G140">
        <v>46</v>
      </c>
      <c r="H140" s="94">
        <v>346.4024</v>
      </c>
      <c r="I140" s="96">
        <v>2.0250107830665733E-5</v>
      </c>
      <c r="J140" s="94">
        <v>17106202.195099998</v>
      </c>
      <c r="K140" s="37">
        <v>1</v>
      </c>
      <c r="L140" t="s">
        <v>57</v>
      </c>
      <c r="M140" t="s">
        <v>56</v>
      </c>
      <c r="N140" t="s">
        <v>51</v>
      </c>
      <c r="O140" s="87" t="s">
        <v>80</v>
      </c>
      <c r="P140" s="94">
        <v>173.2012</v>
      </c>
    </row>
    <row r="141" spans="1:16" x14ac:dyDescent="0.2">
      <c r="A141" s="95">
        <v>1</v>
      </c>
      <c r="B141">
        <v>48</v>
      </c>
      <c r="C141">
        <v>7910</v>
      </c>
      <c r="D141">
        <v>79</v>
      </c>
      <c r="E141" t="s">
        <v>0</v>
      </c>
      <c r="F141" s="94">
        <v>7.5304878048780486</v>
      </c>
      <c r="G141">
        <v>46</v>
      </c>
      <c r="H141" s="94">
        <v>346.4024</v>
      </c>
      <c r="I141" s="96">
        <v>2.0250107830665733E-5</v>
      </c>
      <c r="J141" s="94">
        <v>17106202.195099998</v>
      </c>
      <c r="K141" s="37">
        <v>1</v>
      </c>
      <c r="L141" t="s">
        <v>57</v>
      </c>
      <c r="M141" t="s">
        <v>56</v>
      </c>
      <c r="N141" t="s">
        <v>51</v>
      </c>
      <c r="O141" s="87" t="s">
        <v>82</v>
      </c>
      <c r="P141" s="94">
        <v>103.9207</v>
      </c>
    </row>
    <row r="142" spans="1:16" x14ac:dyDescent="0.2">
      <c r="A142" s="95">
        <v>1</v>
      </c>
      <c r="B142">
        <v>48</v>
      </c>
      <c r="C142">
        <v>7910</v>
      </c>
      <c r="D142">
        <v>79</v>
      </c>
      <c r="E142" t="s">
        <v>0</v>
      </c>
      <c r="F142" s="94">
        <v>7.5304878048780486</v>
      </c>
      <c r="G142">
        <v>46</v>
      </c>
      <c r="H142" s="94">
        <v>346.4024</v>
      </c>
      <c r="I142" s="96">
        <v>2.0250107830665733E-5</v>
      </c>
      <c r="J142" s="94">
        <v>17106202.195099998</v>
      </c>
      <c r="K142" s="37">
        <v>1</v>
      </c>
      <c r="L142" t="s">
        <v>57</v>
      </c>
      <c r="M142" t="s">
        <v>56</v>
      </c>
      <c r="N142" t="s">
        <v>51</v>
      </c>
      <c r="O142" s="87" t="s">
        <v>84</v>
      </c>
      <c r="P142" s="94">
        <v>69.280500000000004</v>
      </c>
    </row>
    <row r="147" spans="8:16" x14ac:dyDescent="0.2">
      <c r="H147" s="90">
        <v>17106202.195099998</v>
      </c>
      <c r="I147" s="90"/>
      <c r="J147" s="90"/>
      <c r="K147" s="90"/>
      <c r="L147" s="90"/>
      <c r="M147" s="90"/>
      <c r="N147" s="90"/>
      <c r="O147" s="89" t="s">
        <v>80</v>
      </c>
      <c r="P147" s="91">
        <v>8553101.0976</v>
      </c>
    </row>
    <row r="148" spans="8:16" x14ac:dyDescent="0.2">
      <c r="H148" s="92">
        <v>17106202.195099998</v>
      </c>
      <c r="I148" s="92"/>
      <c r="J148" s="92"/>
      <c r="K148" s="92"/>
      <c r="L148" s="92"/>
      <c r="M148" s="92"/>
      <c r="N148" s="92"/>
      <c r="O148" s="88" t="s">
        <v>82</v>
      </c>
      <c r="P148" s="93">
        <v>5402007</v>
      </c>
    </row>
    <row r="149" spans="8:16" x14ac:dyDescent="0.2">
      <c r="H149" s="90">
        <v>17106202.195099998</v>
      </c>
      <c r="I149" s="90"/>
      <c r="J149" s="90"/>
      <c r="K149" s="90"/>
      <c r="L149" s="90"/>
      <c r="M149" s="90"/>
      <c r="N149" s="90"/>
      <c r="O149" s="89" t="s">
        <v>84</v>
      </c>
      <c r="P149" s="91">
        <v>3151094.0976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7F88E7-A747-4A76-AED4-C95D92F3A6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Data (2)</vt:lpstr>
      <vt:lpstr>donnees d entree</vt:lpstr>
      <vt:lpstr>Data</vt:lpstr>
      <vt:lpstr>PARETO Articles </vt:lpstr>
      <vt:lpstr>PARETO Familles</vt:lpstr>
      <vt:lpstr>PARETO Frns par Entonnoirs</vt:lpstr>
      <vt:lpstr>A faire</vt:lpstr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LOVINO</dc:creator>
  <cp:lastModifiedBy>PMK</cp:lastModifiedBy>
  <cp:lastPrinted>2016-10-17T10:00:40Z</cp:lastPrinted>
  <dcterms:created xsi:type="dcterms:W3CDTF">2014-01-29T13:08:41Z</dcterms:created>
  <dcterms:modified xsi:type="dcterms:W3CDTF">2018-02-09T12:28:52Z</dcterms:modified>
</cp:coreProperties>
</file>