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15480" windowHeight="9735" tabRatio="933" activeTab="3"/>
  </bookViews>
  <sheets>
    <sheet name="MODELE" sheetId="91" r:id="rId1"/>
    <sheet name="Pieces" sheetId="16" r:id="rId2"/>
    <sheet name="BDD" sheetId="894" r:id="rId3"/>
    <sheet name="09-09-19" sheetId="1243" r:id="rId4"/>
    <sheet name="02-09-19" sheetId="1242" r:id="rId5"/>
  </sheets>
  <externalReferences>
    <externalReference r:id="rId6"/>
  </externalReferences>
  <definedNames>
    <definedName name="_xlnm._FilterDatabase" localSheetId="2" hidden="1">BDD!$A$6:$M$401</definedName>
    <definedName name="BDD">BDD!$1:$1048576</definedName>
    <definedName name="ouvriers" localSheetId="4">#REF!</definedName>
    <definedName name="ouvriers" localSheetId="3">#REF!</definedName>
    <definedName name="ouvriers">#REF!</definedName>
    <definedName name="pieces" localSheetId="4">OFFSET([1]Pieces!#REF!,,,COUNTA([1]Pieces!$A:$A))</definedName>
    <definedName name="pieces" localSheetId="3">OFFSET(Pieces!#REF!,,,COUNTA(Pieces!$A:$A))</definedName>
    <definedName name="pieces">OFFSET(Pieces!#REF!,,,COUNTA(Pieces!$A:$A))</definedName>
    <definedName name="plage" localSheetId="1">#REF!</definedName>
    <definedName name="_xlnm.Print_Area" localSheetId="4">'02-09-19'!$A$1:$AQ$59</definedName>
    <definedName name="_xlnm.Print_Area" localSheetId="3">'09-09-19'!$A$1:$AA$52</definedName>
    <definedName name="_xlnm.Print_Area" localSheetId="2">BDD!$A$3:$O$441</definedName>
    <definedName name="_xlnm.Print_Area" localSheetId="0">MODELE!$A$1:$AA$52</definedName>
    <definedName name="_xlnm.Print_Area" localSheetId="1">Pieces!$A$1:$C$51</definedName>
  </definedNames>
  <calcPr calcId="125725"/>
</workbook>
</file>

<file path=xl/calcChain.xml><?xml version="1.0" encoding="utf-8"?>
<calcChain xmlns="http://schemas.openxmlformats.org/spreadsheetml/2006/main">
  <c r="J39" i="1243"/>
  <c r="J38"/>
  <c r="J37"/>
  <c r="J36"/>
  <c r="J35"/>
  <c r="J34"/>
  <c r="J33"/>
  <c r="J32"/>
  <c r="J31"/>
  <c r="J30"/>
  <c r="J29"/>
  <c r="J28"/>
  <c r="J27"/>
  <c r="Z22"/>
  <c r="AA22" s="1"/>
  <c r="Y22"/>
  <c r="S22"/>
  <c r="R22"/>
  <c r="Q22"/>
  <c r="P22"/>
  <c r="O22"/>
  <c r="N22"/>
  <c r="M22"/>
  <c r="L22"/>
  <c r="W22" s="1"/>
  <c r="C22"/>
  <c r="Z21"/>
  <c r="AA21" s="1"/>
  <c r="Y21"/>
  <c r="S21"/>
  <c r="R21"/>
  <c r="Q21"/>
  <c r="P21"/>
  <c r="O21"/>
  <c r="N21"/>
  <c r="M21"/>
  <c r="L21"/>
  <c r="W21" s="1"/>
  <c r="C21"/>
  <c r="Z20"/>
  <c r="AA20" s="1"/>
  <c r="Y20"/>
  <c r="S20"/>
  <c r="R20"/>
  <c r="Q20"/>
  <c r="P20"/>
  <c r="O20"/>
  <c r="N20"/>
  <c r="M20"/>
  <c r="W20" s="1"/>
  <c r="L20"/>
  <c r="C20"/>
  <c r="Z19"/>
  <c r="AA19" s="1"/>
  <c r="Y19"/>
  <c r="S19"/>
  <c r="R19"/>
  <c r="Q19"/>
  <c r="P19"/>
  <c r="O19"/>
  <c r="N19"/>
  <c r="M19"/>
  <c r="L19"/>
  <c r="C19"/>
  <c r="Z18"/>
  <c r="AA18" s="1"/>
  <c r="Y18"/>
  <c r="S18"/>
  <c r="R18"/>
  <c r="Q18"/>
  <c r="P18"/>
  <c r="O18"/>
  <c r="N18"/>
  <c r="M18"/>
  <c r="L18"/>
  <c r="C18"/>
  <c r="Z17"/>
  <c r="AA17" s="1"/>
  <c r="Y17"/>
  <c r="S17"/>
  <c r="R17"/>
  <c r="Q17"/>
  <c r="P17"/>
  <c r="O17"/>
  <c r="N17"/>
  <c r="M17"/>
  <c r="L17"/>
  <c r="C17"/>
  <c r="Y16"/>
  <c r="Z16" s="1"/>
  <c r="AA16" s="1"/>
  <c r="S16"/>
  <c r="R16"/>
  <c r="Q16"/>
  <c r="P16"/>
  <c r="O16"/>
  <c r="N16"/>
  <c r="M16"/>
  <c r="L16"/>
  <c r="C16"/>
  <c r="Z15"/>
  <c r="AA15" s="1"/>
  <c r="Y15"/>
  <c r="S15"/>
  <c r="R15"/>
  <c r="Q15"/>
  <c r="P15"/>
  <c r="O15"/>
  <c r="N15"/>
  <c r="M15"/>
  <c r="L15"/>
  <c r="C15"/>
  <c r="Y14"/>
  <c r="Z14" s="1"/>
  <c r="AA14" s="1"/>
  <c r="S14"/>
  <c r="R14"/>
  <c r="Q14"/>
  <c r="P14"/>
  <c r="O14"/>
  <c r="N14"/>
  <c r="M14"/>
  <c r="L14"/>
  <c r="C14"/>
  <c r="Y13"/>
  <c r="Z13" s="1"/>
  <c r="AA13" s="1"/>
  <c r="S13"/>
  <c r="R13"/>
  <c r="Q13"/>
  <c r="P13"/>
  <c r="O13"/>
  <c r="N13"/>
  <c r="M13"/>
  <c r="L13"/>
  <c r="C13"/>
  <c r="Y12"/>
  <c r="Z12" s="1"/>
  <c r="AA12" s="1"/>
  <c r="S12"/>
  <c r="R12"/>
  <c r="Q12"/>
  <c r="P12"/>
  <c r="O12"/>
  <c r="N12"/>
  <c r="M12"/>
  <c r="L12"/>
  <c r="C12"/>
  <c r="Z10"/>
  <c r="AA10" s="1"/>
  <c r="Y10"/>
  <c r="S10"/>
  <c r="R10"/>
  <c r="Q10"/>
  <c r="P10"/>
  <c r="O10"/>
  <c r="N10"/>
  <c r="M10"/>
  <c r="L10"/>
  <c r="C10"/>
  <c r="Y7"/>
  <c r="Z7" s="1"/>
  <c r="AA7" s="1"/>
  <c r="S7"/>
  <c r="R7"/>
  <c r="Q7"/>
  <c r="P7"/>
  <c r="O7"/>
  <c r="N7"/>
  <c r="M7"/>
  <c r="L7"/>
  <c r="C7"/>
  <c r="Y6"/>
  <c r="Z6" s="1"/>
  <c r="AA6" s="1"/>
  <c r="S6"/>
  <c r="R6"/>
  <c r="Q6"/>
  <c r="P6"/>
  <c r="O6"/>
  <c r="N6"/>
  <c r="M6"/>
  <c r="L6"/>
  <c r="C6"/>
  <c r="Z5"/>
  <c r="AA5" s="1"/>
  <c r="Y5"/>
  <c r="S5"/>
  <c r="R5"/>
  <c r="Q5"/>
  <c r="P5"/>
  <c r="O5"/>
  <c r="N5"/>
  <c r="M5"/>
  <c r="L5"/>
  <c r="C5"/>
  <c r="Z4"/>
  <c r="AA4" s="1"/>
  <c r="Y4"/>
  <c r="S4"/>
  <c r="R4"/>
  <c r="Q4"/>
  <c r="P4"/>
  <c r="O4"/>
  <c r="N4"/>
  <c r="M4"/>
  <c r="L4"/>
  <c r="C4"/>
  <c r="Z3"/>
  <c r="AA3" s="1"/>
  <c r="Y3"/>
  <c r="S3"/>
  <c r="R3"/>
  <c r="Q3"/>
  <c r="P3"/>
  <c r="O3"/>
  <c r="N3"/>
  <c r="M3"/>
  <c r="L3"/>
  <c r="C3"/>
  <c r="J46" i="1242"/>
  <c r="J45"/>
  <c r="J44"/>
  <c r="J43"/>
  <c r="J42"/>
  <c r="J41"/>
  <c r="J40"/>
  <c r="J39"/>
  <c r="J38"/>
  <c r="J37"/>
  <c r="J36"/>
  <c r="J35"/>
  <c r="J34"/>
  <c r="AC29"/>
  <c r="AG29" s="1"/>
  <c r="AB29"/>
  <c r="S29"/>
  <c r="R29"/>
  <c r="Q29"/>
  <c r="P29"/>
  <c r="O29"/>
  <c r="N29"/>
  <c r="M29"/>
  <c r="L29"/>
  <c r="C29"/>
  <c r="O28"/>
  <c r="N28"/>
  <c r="M28"/>
  <c r="L28"/>
  <c r="J28"/>
  <c r="AB28" s="1"/>
  <c r="C28"/>
  <c r="AG27"/>
  <c r="AC27"/>
  <c r="AB27"/>
  <c r="S27"/>
  <c r="R27"/>
  <c r="Q27"/>
  <c r="P27"/>
  <c r="O27"/>
  <c r="N27"/>
  <c r="M27"/>
  <c r="L27"/>
  <c r="C27"/>
  <c r="S26"/>
  <c r="R26"/>
  <c r="Q26"/>
  <c r="P26"/>
  <c r="C26"/>
  <c r="AG25"/>
  <c r="AC25"/>
  <c r="AB25"/>
  <c r="S25"/>
  <c r="R25"/>
  <c r="Q25"/>
  <c r="P25"/>
  <c r="O25"/>
  <c r="N25"/>
  <c r="M25"/>
  <c r="L25"/>
  <c r="C25"/>
  <c r="O24"/>
  <c r="N24"/>
  <c r="M24"/>
  <c r="L24"/>
  <c r="J24"/>
  <c r="AB24" s="1"/>
  <c r="C24"/>
  <c r="O23"/>
  <c r="N23"/>
  <c r="M23"/>
  <c r="L23"/>
  <c r="J23"/>
  <c r="C23"/>
  <c r="O22"/>
  <c r="N22"/>
  <c r="M22"/>
  <c r="L22"/>
  <c r="J22"/>
  <c r="AB22" s="1"/>
  <c r="C22"/>
  <c r="AB21"/>
  <c r="O21"/>
  <c r="N21"/>
  <c r="R21" s="1"/>
  <c r="M21"/>
  <c r="L21"/>
  <c r="P21" s="1"/>
  <c r="J21"/>
  <c r="AC21" s="1"/>
  <c r="AG21" s="1"/>
  <c r="C21"/>
  <c r="O20"/>
  <c r="N20"/>
  <c r="M20"/>
  <c r="L20"/>
  <c r="J20"/>
  <c r="AB20" s="1"/>
  <c r="C20"/>
  <c r="O19"/>
  <c r="N19"/>
  <c r="M19"/>
  <c r="L19"/>
  <c r="J19"/>
  <c r="R19" s="1"/>
  <c r="C19"/>
  <c r="O18"/>
  <c r="N18"/>
  <c r="M18"/>
  <c r="L18"/>
  <c r="J18"/>
  <c r="C18"/>
  <c r="O17"/>
  <c r="N17"/>
  <c r="M17"/>
  <c r="L17"/>
  <c r="J17"/>
  <c r="AB17" s="1"/>
  <c r="C17"/>
  <c r="AG15"/>
  <c r="AC15"/>
  <c r="AB15"/>
  <c r="S15"/>
  <c r="R15"/>
  <c r="Q15"/>
  <c r="P15"/>
  <c r="O15"/>
  <c r="N15"/>
  <c r="M15"/>
  <c r="L15"/>
  <c r="C15"/>
  <c r="AG12"/>
  <c r="AC12"/>
  <c r="AB12"/>
  <c r="S12"/>
  <c r="R12"/>
  <c r="Q12"/>
  <c r="P12"/>
  <c r="O12"/>
  <c r="N12"/>
  <c r="M12"/>
  <c r="L12"/>
  <c r="C12"/>
  <c r="AG11"/>
  <c r="AC11"/>
  <c r="AB11"/>
  <c r="S11"/>
  <c r="R11"/>
  <c r="Q11"/>
  <c r="P11"/>
  <c r="O11"/>
  <c r="N11"/>
  <c r="M11"/>
  <c r="L11"/>
  <c r="C11"/>
  <c r="AG10"/>
  <c r="AC10"/>
  <c r="AB10"/>
  <c r="S10"/>
  <c r="R10"/>
  <c r="Q10"/>
  <c r="P10"/>
  <c r="O10"/>
  <c r="N10"/>
  <c r="M10"/>
  <c r="L10"/>
  <c r="C10"/>
  <c r="AG9"/>
  <c r="AC9"/>
  <c r="AB9"/>
  <c r="S9"/>
  <c r="R9"/>
  <c r="Q9"/>
  <c r="P9"/>
  <c r="O9"/>
  <c r="N9"/>
  <c r="M9"/>
  <c r="L9"/>
  <c r="C9"/>
  <c r="AG8"/>
  <c r="AC8"/>
  <c r="AB8"/>
  <c r="S8"/>
  <c r="R8"/>
  <c r="Q8"/>
  <c r="P8"/>
  <c r="O8"/>
  <c r="N8"/>
  <c r="M8"/>
  <c r="L8"/>
  <c r="C8"/>
  <c r="W19" i="1243" l="1"/>
  <c r="W18"/>
  <c r="W17"/>
  <c r="W16"/>
  <c r="W15"/>
  <c r="W14"/>
  <c r="W13"/>
  <c r="W12"/>
  <c r="W10"/>
  <c r="W7"/>
  <c r="W6"/>
  <c r="W5"/>
  <c r="W4"/>
  <c r="W3"/>
  <c r="AC23" i="1242"/>
  <c r="AG23" s="1"/>
  <c r="Q17"/>
  <c r="S17"/>
  <c r="AC17"/>
  <c r="AG17" s="1"/>
  <c r="P18"/>
  <c r="R18"/>
  <c r="AB18"/>
  <c r="AC18" s="1"/>
  <c r="AG18" s="1"/>
  <c r="Q19"/>
  <c r="S19"/>
  <c r="Q20"/>
  <c r="S20"/>
  <c r="AC20"/>
  <c r="AG20" s="1"/>
  <c r="Q22"/>
  <c r="S22"/>
  <c r="AC22"/>
  <c r="AG22" s="1"/>
  <c r="P23"/>
  <c r="R23"/>
  <c r="AB23"/>
  <c r="Q24"/>
  <c r="S24"/>
  <c r="AC24"/>
  <c r="AG24" s="1"/>
  <c r="Q28"/>
  <c r="S28"/>
  <c r="AC28"/>
  <c r="AG28" s="1"/>
  <c r="P17"/>
  <c r="R17"/>
  <c r="Q18"/>
  <c r="S18"/>
  <c r="P19"/>
  <c r="P20"/>
  <c r="R20"/>
  <c r="Q21"/>
  <c r="S21"/>
  <c r="P22"/>
  <c r="R22"/>
  <c r="Q23"/>
  <c r="S23"/>
  <c r="P24"/>
  <c r="R24"/>
  <c r="P28"/>
  <c r="R28"/>
  <c r="K401" i="894" l="1"/>
  <c r="J401"/>
  <c r="K400"/>
  <c r="K399"/>
  <c r="K398"/>
  <c r="K397"/>
  <c r="K396"/>
  <c r="J396"/>
  <c r="K395"/>
  <c r="J395"/>
  <c r="K394"/>
  <c r="K392"/>
  <c r="K391"/>
  <c r="K390"/>
  <c r="K389"/>
  <c r="K388"/>
  <c r="K387"/>
  <c r="K386"/>
  <c r="K385"/>
  <c r="K384"/>
  <c r="K383"/>
  <c r="K382"/>
  <c r="K381"/>
  <c r="K380"/>
  <c r="K354"/>
  <c r="K349"/>
  <c r="K319"/>
  <c r="K310"/>
  <c r="J310"/>
  <c r="K309"/>
  <c r="J309"/>
  <c r="K308"/>
  <c r="J308"/>
  <c r="K307"/>
  <c r="J307"/>
  <c r="K297"/>
  <c r="J297"/>
  <c r="K294"/>
  <c r="K280"/>
  <c r="J280"/>
  <c r="K279"/>
  <c r="K276"/>
  <c r="K275"/>
  <c r="K274"/>
  <c r="K273"/>
  <c r="K272"/>
  <c r="K271"/>
  <c r="K270"/>
  <c r="K269"/>
  <c r="K268"/>
  <c r="K266"/>
  <c r="K265"/>
  <c r="K264"/>
  <c r="K263"/>
  <c r="K262"/>
  <c r="K261"/>
  <c r="K260"/>
  <c r="K259"/>
  <c r="K258"/>
  <c r="K255"/>
  <c r="K254"/>
  <c r="K253"/>
  <c r="K252"/>
  <c r="K251"/>
  <c r="K250"/>
  <c r="K249"/>
  <c r="K248"/>
  <c r="K247"/>
  <c r="K246"/>
  <c r="K245"/>
  <c r="K244"/>
  <c r="K243"/>
  <c r="K242"/>
  <c r="K241"/>
  <c r="K240"/>
  <c r="K239"/>
  <c r="K238"/>
  <c r="K237"/>
  <c r="K236"/>
  <c r="K235"/>
  <c r="K234"/>
  <c r="K232"/>
  <c r="K226"/>
  <c r="K225"/>
  <c r="K223"/>
  <c r="K222"/>
  <c r="K221"/>
  <c r="K218"/>
  <c r="K217"/>
  <c r="K216"/>
  <c r="K215"/>
  <c r="K214"/>
  <c r="K212"/>
  <c r="K211"/>
  <c r="K208"/>
  <c r="K207"/>
  <c r="K206"/>
  <c r="K205"/>
  <c r="K204"/>
  <c r="K203"/>
  <c r="K202"/>
  <c r="K201"/>
  <c r="K200"/>
  <c r="J200"/>
  <c r="K199"/>
  <c r="K198"/>
  <c r="K197"/>
  <c r="K196"/>
  <c r="K195"/>
  <c r="K194"/>
  <c r="K193"/>
  <c r="K192"/>
  <c r="K191"/>
  <c r="K190"/>
  <c r="K189"/>
  <c r="K188"/>
  <c r="K187"/>
  <c r="J187"/>
  <c r="K186"/>
  <c r="K185"/>
  <c r="K184"/>
  <c r="K183"/>
  <c r="K182"/>
  <c r="K181"/>
  <c r="K180"/>
  <c r="K179"/>
  <c r="K178"/>
  <c r="K177"/>
  <c r="K176"/>
  <c r="K175"/>
  <c r="K174"/>
  <c r="J174"/>
  <c r="K173"/>
  <c r="J173"/>
  <c r="K172"/>
  <c r="K171"/>
  <c r="K170"/>
  <c r="J170"/>
  <c r="J169"/>
  <c r="K168"/>
  <c r="J168"/>
  <c r="K167"/>
  <c r="J167"/>
  <c r="K165"/>
  <c r="K164"/>
  <c r="K163"/>
  <c r="K162"/>
  <c r="K161"/>
  <c r="K160"/>
  <c r="J160"/>
  <c r="K159"/>
  <c r="K158"/>
  <c r="J158"/>
  <c r="K157"/>
  <c r="K156"/>
  <c r="K155"/>
  <c r="J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J123"/>
  <c r="K122"/>
  <c r="K121"/>
  <c r="K119"/>
  <c r="K117"/>
  <c r="J117"/>
  <c r="K116"/>
  <c r="K115"/>
  <c r="K114"/>
  <c r="K113"/>
  <c r="K112"/>
  <c r="K111"/>
  <c r="K110"/>
  <c r="J110"/>
  <c r="K109"/>
  <c r="J109"/>
  <c r="K108"/>
  <c r="K107"/>
  <c r="J107"/>
  <c r="K106"/>
  <c r="K105"/>
  <c r="J105"/>
  <c r="K104"/>
  <c r="K103"/>
  <c r="K102"/>
  <c r="K101"/>
  <c r="K100"/>
  <c r="K99"/>
  <c r="J99"/>
  <c r="K98"/>
  <c r="J98"/>
  <c r="K97"/>
  <c r="K96"/>
  <c r="J96"/>
  <c r="K95"/>
  <c r="J95"/>
  <c r="K94"/>
  <c r="J94"/>
  <c r="K93"/>
  <c r="J93"/>
  <c r="K92"/>
  <c r="J92"/>
  <c r="K91"/>
  <c r="J91"/>
  <c r="K90"/>
  <c r="J90"/>
  <c r="K89"/>
  <c r="J89"/>
  <c r="K88"/>
  <c r="K87"/>
  <c r="J87"/>
  <c r="K86"/>
  <c r="K85"/>
  <c r="J85"/>
  <c r="K84"/>
  <c r="J84"/>
  <c r="K83"/>
  <c r="J83"/>
  <c r="K82"/>
  <c r="J82"/>
  <c r="K81"/>
  <c r="J81"/>
  <c r="K80"/>
  <c r="J80"/>
  <c r="K79"/>
  <c r="J79"/>
  <c r="K78"/>
  <c r="K77"/>
  <c r="K76"/>
  <c r="K75"/>
  <c r="J75"/>
  <c r="K74"/>
  <c r="J74"/>
  <c r="K73"/>
  <c r="J73"/>
  <c r="K72"/>
  <c r="J72"/>
  <c r="K71"/>
  <c r="J71"/>
  <c r="K70"/>
  <c r="J70"/>
  <c r="K69"/>
  <c r="J69"/>
  <c r="K68"/>
  <c r="J68"/>
  <c r="K67"/>
  <c r="J67"/>
  <c r="K66"/>
  <c r="J66"/>
  <c r="K65"/>
  <c r="J65"/>
  <c r="K64"/>
  <c r="K63"/>
  <c r="K61"/>
  <c r="K53"/>
  <c r="J53"/>
  <c r="K51"/>
  <c r="J51"/>
  <c r="K45"/>
  <c r="J45"/>
  <c r="K44"/>
  <c r="K43"/>
  <c r="K42"/>
  <c r="K40"/>
  <c r="K38"/>
  <c r="J38"/>
  <c r="K37"/>
  <c r="J37"/>
  <c r="K36"/>
  <c r="J36"/>
  <c r="K35"/>
  <c r="J35"/>
  <c r="K34"/>
  <c r="J34"/>
  <c r="K33"/>
  <c r="J33"/>
  <c r="K32"/>
  <c r="J32"/>
  <c r="K31"/>
  <c r="K30"/>
  <c r="J30"/>
  <c r="K29"/>
  <c r="K25"/>
  <c r="J25"/>
  <c r="K24"/>
  <c r="J24"/>
  <c r="K23"/>
  <c r="J23"/>
  <c r="K22"/>
  <c r="J22"/>
  <c r="K21"/>
  <c r="J21"/>
  <c r="K20"/>
  <c r="J20"/>
  <c r="K19"/>
  <c r="J19"/>
  <c r="K18"/>
  <c r="J18"/>
  <c r="K17"/>
  <c r="J17"/>
  <c r="K16"/>
  <c r="J16"/>
  <c r="K15"/>
  <c r="K14"/>
  <c r="K13"/>
  <c r="J13"/>
  <c r="K11"/>
  <c r="K8"/>
  <c r="J8"/>
  <c r="K7"/>
  <c r="J7"/>
  <c r="R13" i="91" l="1"/>
  <c r="R14"/>
  <c r="R15"/>
  <c r="R16"/>
  <c r="R17"/>
  <c r="R18"/>
  <c r="R19"/>
  <c r="R20"/>
  <c r="R21"/>
  <c r="R22"/>
  <c r="R12"/>
  <c r="R4"/>
  <c r="R5"/>
  <c r="R6"/>
  <c r="R7"/>
  <c r="R10"/>
  <c r="R3"/>
  <c r="O13"/>
  <c r="O14"/>
  <c r="O15"/>
  <c r="O16"/>
  <c r="O17"/>
  <c r="O18"/>
  <c r="O19"/>
  <c r="O20"/>
  <c r="O21"/>
  <c r="O22"/>
  <c r="O12"/>
  <c r="N13"/>
  <c r="N14"/>
  <c r="N15"/>
  <c r="N16"/>
  <c r="N17"/>
  <c r="N18"/>
  <c r="N19"/>
  <c r="N20"/>
  <c r="N21"/>
  <c r="N22"/>
  <c r="N12"/>
  <c r="N4"/>
  <c r="N5"/>
  <c r="N6"/>
  <c r="N7"/>
  <c r="N10"/>
  <c r="N3"/>
  <c r="O4"/>
  <c r="O5"/>
  <c r="O6"/>
  <c r="O7"/>
  <c r="O10"/>
  <c r="O3"/>
  <c r="J39" l="1"/>
  <c r="J38"/>
  <c r="J37"/>
  <c r="J36"/>
  <c r="J35"/>
  <c r="J34"/>
  <c r="J33"/>
  <c r="J32"/>
  <c r="J31"/>
  <c r="J30"/>
  <c r="J29"/>
  <c r="J28"/>
  <c r="J27"/>
  <c r="Z22"/>
  <c r="AA22" s="1"/>
  <c r="Y22"/>
  <c r="S22"/>
  <c r="Q22"/>
  <c r="P22"/>
  <c r="M22"/>
  <c r="L22"/>
  <c r="C22"/>
  <c r="Z21"/>
  <c r="AA21" s="1"/>
  <c r="Y21"/>
  <c r="S21"/>
  <c r="Q21"/>
  <c r="P21"/>
  <c r="M21"/>
  <c r="L21"/>
  <c r="C21"/>
  <c r="Z20"/>
  <c r="AA20" s="1"/>
  <c r="Y20"/>
  <c r="S20"/>
  <c r="Q20"/>
  <c r="P20"/>
  <c r="M20"/>
  <c r="L20"/>
  <c r="C20"/>
  <c r="Z19"/>
  <c r="AA19" s="1"/>
  <c r="Y19"/>
  <c r="S19"/>
  <c r="Q19"/>
  <c r="P19"/>
  <c r="M19"/>
  <c r="L19"/>
  <c r="C19"/>
  <c r="Z18"/>
  <c r="AA18" s="1"/>
  <c r="Y18"/>
  <c r="S18"/>
  <c r="Q18"/>
  <c r="P18"/>
  <c r="M18"/>
  <c r="L18"/>
  <c r="C18"/>
  <c r="W18" l="1"/>
  <c r="W19"/>
  <c r="W20"/>
  <c r="W21"/>
  <c r="W22"/>
  <c r="Z17"/>
  <c r="AA17" s="1"/>
  <c r="Y17"/>
  <c r="S17"/>
  <c r="Q17"/>
  <c r="P17"/>
  <c r="M17"/>
  <c r="L17"/>
  <c r="C17"/>
  <c r="Z16"/>
  <c r="AA16" s="1"/>
  <c r="Y16"/>
  <c r="S16"/>
  <c r="Q16"/>
  <c r="P16"/>
  <c r="M16"/>
  <c r="L16"/>
  <c r="C16"/>
  <c r="Z15"/>
  <c r="Y15"/>
  <c r="S15"/>
  <c r="Q15"/>
  <c r="P15"/>
  <c r="M15"/>
  <c r="L15"/>
  <c r="C15"/>
  <c r="Z14"/>
  <c r="AA14" s="1"/>
  <c r="Y14"/>
  <c r="S14"/>
  <c r="Q14"/>
  <c r="P14"/>
  <c r="M14"/>
  <c r="L14"/>
  <c r="C14"/>
  <c r="Z13"/>
  <c r="Y13"/>
  <c r="S13"/>
  <c r="Q13"/>
  <c r="P13"/>
  <c r="M13"/>
  <c r="L13"/>
  <c r="C13"/>
  <c r="Z12"/>
  <c r="AA12" s="1"/>
  <c r="Y12"/>
  <c r="S12"/>
  <c r="Q12"/>
  <c r="P12"/>
  <c r="M12"/>
  <c r="L12"/>
  <c r="C12"/>
  <c r="Z10"/>
  <c r="AA10" s="1"/>
  <c r="Y10"/>
  <c r="S10"/>
  <c r="Q10"/>
  <c r="P10"/>
  <c r="M10"/>
  <c r="L10"/>
  <c r="C10"/>
  <c r="Z7"/>
  <c r="AA7" s="1"/>
  <c r="Y7"/>
  <c r="S7"/>
  <c r="Q7"/>
  <c r="P7"/>
  <c r="M7"/>
  <c r="L7"/>
  <c r="C7"/>
  <c r="Z6"/>
  <c r="AA6" s="1"/>
  <c r="Y6"/>
  <c r="S6"/>
  <c r="Q6"/>
  <c r="P6"/>
  <c r="M6"/>
  <c r="L6"/>
  <c r="C6"/>
  <c r="Z5"/>
  <c r="AA5" s="1"/>
  <c r="Y5"/>
  <c r="S5"/>
  <c r="Q5"/>
  <c r="P5"/>
  <c r="M5"/>
  <c r="L5"/>
  <c r="C5"/>
  <c r="Z4"/>
  <c r="AA4" s="1"/>
  <c r="Y4"/>
  <c r="S4"/>
  <c r="Q4"/>
  <c r="P4"/>
  <c r="M4"/>
  <c r="L4"/>
  <c r="C4"/>
  <c r="Z3"/>
  <c r="AA3" s="1"/>
  <c r="Y3"/>
  <c r="W4" l="1"/>
  <c r="W5"/>
  <c r="W6"/>
  <c r="W7"/>
  <c r="W10"/>
  <c r="W12"/>
  <c r="W13"/>
  <c r="W14"/>
  <c r="W15"/>
  <c r="W16"/>
  <c r="W17"/>
  <c r="AA13"/>
  <c r="AA15"/>
  <c r="S3"/>
  <c r="Q3"/>
  <c r="P3"/>
  <c r="M3"/>
  <c r="L3"/>
  <c r="C3"/>
  <c r="W3" l="1"/>
</calcChain>
</file>

<file path=xl/sharedStrings.xml><?xml version="1.0" encoding="utf-8"?>
<sst xmlns="http://schemas.openxmlformats.org/spreadsheetml/2006/main" count="3943" uniqueCount="1602">
  <si>
    <t>ALERTES</t>
  </si>
  <si>
    <t>RENDEMENT</t>
  </si>
  <si>
    <t>NOMBRES D'HEURES SUIVANT LES PIECES REELLES</t>
  </si>
  <si>
    <t>PIECES REELLES</t>
  </si>
  <si>
    <t>PIECES NC</t>
  </si>
  <si>
    <t>OBSERVATIONS</t>
  </si>
  <si>
    <t>NOMBRE D'HEURES DE TRAVAIL</t>
  </si>
  <si>
    <t>CADENCE</t>
  </si>
  <si>
    <t xml:space="preserve">DESIGNATION </t>
  </si>
  <si>
    <t>REF ARTICLE</t>
  </si>
  <si>
    <t>MACHINE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</si>
  <si>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</si>
  <si>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</si>
  <si>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</si>
  <si>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</si>
  <si>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</si>
  <si>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</si>
  <si>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</si>
  <si>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</si>
  <si>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</si>
  <si>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</si>
  <si>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</si>
  <si>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</si>
  <si>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</si>
  <si>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0015-CAD-0042-PP</t>
  </si>
  <si>
    <t>bague PP</t>
  </si>
  <si>
    <t>axe d'articulation</t>
  </si>
  <si>
    <t>entretoise hex11</t>
  </si>
  <si>
    <t>outi-plot</t>
  </si>
  <si>
    <t>plot nez de marche</t>
  </si>
  <si>
    <t>SH42Z1</t>
  </si>
  <si>
    <t>MPS000300</t>
  </si>
  <si>
    <t>raccord HEX 17</t>
  </si>
  <si>
    <t>pignon simple etage</t>
  </si>
  <si>
    <t>HARDING</t>
  </si>
  <si>
    <t>transfert</t>
  </si>
  <si>
    <t>suivi de rentabilité des ouvriers</t>
  </si>
  <si>
    <t>machine</t>
  </si>
  <si>
    <t>designation article</t>
  </si>
  <si>
    <t>opération</t>
  </si>
  <si>
    <t>ouvriers</t>
  </si>
  <si>
    <t>cadence</t>
  </si>
  <si>
    <t>nombre d'heures de production</t>
  </si>
  <si>
    <t>autre</t>
  </si>
  <si>
    <t>tour précis 1</t>
  </si>
  <si>
    <t>tour précis 3</t>
  </si>
  <si>
    <t>armature intérieure</t>
  </si>
  <si>
    <t>taraudeuse automatique 1</t>
  </si>
  <si>
    <t>taraudeuse automatique 2</t>
  </si>
  <si>
    <t>perceuse</t>
  </si>
  <si>
    <t>fraiseuse</t>
  </si>
  <si>
    <t>rectifieuse</t>
  </si>
  <si>
    <t>centre</t>
  </si>
  <si>
    <t>nakamurha</t>
  </si>
  <si>
    <t>SYMBOLE</t>
  </si>
  <si>
    <t>PF25 N°21</t>
  </si>
  <si>
    <t>PF25 N°22</t>
  </si>
  <si>
    <t>PF25 N°23</t>
  </si>
  <si>
    <t>PF25 N°24</t>
  </si>
  <si>
    <t>PF25 N°25</t>
  </si>
  <si>
    <t>PF25 N°26</t>
  </si>
  <si>
    <t>STAR SST16</t>
  </si>
  <si>
    <t>BIGLIA</t>
  </si>
  <si>
    <t>L32</t>
  </si>
  <si>
    <t>N</t>
  </si>
  <si>
    <t>O</t>
  </si>
  <si>
    <t>P</t>
  </si>
  <si>
    <t>Q</t>
  </si>
  <si>
    <t>TVRC100</t>
  </si>
  <si>
    <t>B001-cp1</t>
  </si>
  <si>
    <t>rivet Ø15</t>
  </si>
  <si>
    <t>axe Ø10 LG25</t>
  </si>
  <si>
    <t>tour précis 2</t>
  </si>
  <si>
    <t>BUSSOLA D1320X18.2 AVP CARB</t>
  </si>
  <si>
    <t>pion</t>
  </si>
  <si>
    <t>axe cale</t>
  </si>
  <si>
    <t>insert R171</t>
  </si>
  <si>
    <t>vis DEC inox M2.5</t>
  </si>
  <si>
    <t>15-0795</t>
  </si>
  <si>
    <t>axe mécanisme 75</t>
  </si>
  <si>
    <t>goujon de roue OM grand model</t>
  </si>
  <si>
    <t>bague sablé</t>
  </si>
  <si>
    <t>ecrou tige embrayage F110</t>
  </si>
  <si>
    <t>MULTI BROCHE</t>
  </si>
  <si>
    <t>axe mécanisme 86</t>
  </si>
  <si>
    <t>T8/12</t>
  </si>
  <si>
    <t>perno 6-62</t>
  </si>
  <si>
    <t>BRIDE TDW200</t>
  </si>
  <si>
    <t>99MATBRIDE200</t>
  </si>
  <si>
    <t>perno 6-30</t>
  </si>
  <si>
    <t>teton</t>
  </si>
  <si>
    <t>D001</t>
  </si>
  <si>
    <t>goujon de 12 l160</t>
  </si>
  <si>
    <t>chemise pompéte</t>
  </si>
  <si>
    <t>tirant</t>
  </si>
  <si>
    <t>goujon de 12 l180</t>
  </si>
  <si>
    <t>Entretoise de serrage TDW</t>
  </si>
  <si>
    <t>piston</t>
  </si>
  <si>
    <t>QUADRO 10</t>
  </si>
  <si>
    <t>CALE perforré</t>
  </si>
  <si>
    <t>PIECES MANQUANTES</t>
  </si>
  <si>
    <t>bague aluminum lg30</t>
  </si>
  <si>
    <t>goupille Ø6</t>
  </si>
  <si>
    <t>bague decolletée 7009</t>
  </si>
  <si>
    <t>douille Ø4</t>
  </si>
  <si>
    <t>bossage purge M6</t>
  </si>
  <si>
    <t>bague peinture D12</t>
  </si>
  <si>
    <t>axe colier</t>
  </si>
  <si>
    <t>goujon IVECO GM</t>
  </si>
  <si>
    <t>goujon de roue</t>
  </si>
  <si>
    <t xml:space="preserve">CALE DE SERRAGE 99MAT999060 </t>
  </si>
  <si>
    <t>cale support moteur</t>
  </si>
  <si>
    <t>insert M10</t>
  </si>
  <si>
    <t>tige d'embrayage</t>
  </si>
  <si>
    <t>flasque</t>
  </si>
  <si>
    <t>embout tige piston</t>
  </si>
  <si>
    <t>Insert Inox M8</t>
  </si>
  <si>
    <t>Rouleau contacteur</t>
  </si>
  <si>
    <t>ecrou de fusée</t>
  </si>
  <si>
    <t>Perno 510530</t>
  </si>
  <si>
    <t>insert Hex 8 laiton</t>
  </si>
  <si>
    <t>TRM200</t>
  </si>
  <si>
    <t>AXE</t>
  </si>
  <si>
    <t>-</t>
  </si>
  <si>
    <t>embout porte rotule</t>
  </si>
  <si>
    <t>ALBS06100L08</t>
  </si>
  <si>
    <t>PPMATBRIDE200</t>
  </si>
  <si>
    <t>99MAT999034</t>
  </si>
  <si>
    <t>AVP60</t>
  </si>
  <si>
    <t>99MAT999060</t>
  </si>
  <si>
    <t>ALBLO021019STJCN</t>
  </si>
  <si>
    <t>B041-CP1</t>
  </si>
  <si>
    <t>F110</t>
  </si>
  <si>
    <t>TFR I138-I139-CP3</t>
  </si>
  <si>
    <t>insert W164 court</t>
  </si>
  <si>
    <t>OM40</t>
  </si>
  <si>
    <t>bague Ø30</t>
  </si>
  <si>
    <t>bague Ø28 taraudé</t>
  </si>
  <si>
    <t>raccord pompe a l'eau</t>
  </si>
  <si>
    <t>bague Ø32</t>
  </si>
  <si>
    <t>I071</t>
  </si>
  <si>
    <t>bague 10,5</t>
  </si>
  <si>
    <t>nbre de pieces reelles</t>
  </si>
  <si>
    <t>NOMBRE DE PIECES FINIS PAR CYCLE</t>
  </si>
  <si>
    <t>9h JOUR                               3h NUIT</t>
  </si>
  <si>
    <t>goujon l 180.5</t>
  </si>
  <si>
    <t>Ecrou de roue Mitsubitchi PM</t>
  </si>
  <si>
    <t>raccord OM 40</t>
  </si>
  <si>
    <t>bielle direction</t>
  </si>
  <si>
    <t>I037</t>
  </si>
  <si>
    <t>FO013</t>
  </si>
  <si>
    <t>GOUJON DE 11 LG180</t>
  </si>
  <si>
    <t>GOUJON DE 11 LG 160</t>
  </si>
  <si>
    <t>CHPOINTEAUJCN</t>
  </si>
  <si>
    <t>GOUJON HUTCHINSON</t>
  </si>
  <si>
    <t>LC1327C200</t>
  </si>
  <si>
    <t>gojon LG 51.5 Ø19.7</t>
  </si>
  <si>
    <t>G002-CP3</t>
  </si>
  <si>
    <t>G002-CP4</t>
  </si>
  <si>
    <t>G002-CP2</t>
  </si>
  <si>
    <t>MI19</t>
  </si>
  <si>
    <t>goujon de roue MI PM av</t>
  </si>
  <si>
    <t>G001-CP2</t>
  </si>
  <si>
    <t>Bague d16 lg5.5 Goujon de 10 AR</t>
  </si>
  <si>
    <t>G001-CP3</t>
  </si>
  <si>
    <t>Axe de 12 AR</t>
  </si>
  <si>
    <t>G003</t>
  </si>
  <si>
    <t>INSERT métalique</t>
  </si>
  <si>
    <t>8087-1</t>
  </si>
  <si>
    <t>ecrou h19 lg13,5 goujon de 11AV</t>
  </si>
  <si>
    <t>Bague d16 lg13.5 Goujon de 10AR</t>
  </si>
  <si>
    <t>bague 14 20 48</t>
  </si>
  <si>
    <t>ECROU H19 LG5 Goujon de 11AV</t>
  </si>
  <si>
    <t>axe soudé D16,2 LG218</t>
  </si>
  <si>
    <t>bague butée</t>
  </si>
  <si>
    <t>7171-N</t>
  </si>
  <si>
    <t>axe Ø10 LG29</t>
  </si>
  <si>
    <t>AXE010L029JCN</t>
  </si>
  <si>
    <t>bague 12 18 50</t>
  </si>
  <si>
    <t>axe Ø10TIdécompression ØL45</t>
  </si>
  <si>
    <t>ti 10L0045JCN</t>
  </si>
  <si>
    <t>bague 14 18 32</t>
  </si>
  <si>
    <t>I043</t>
  </si>
  <si>
    <t>chemise JCI D14</t>
  </si>
  <si>
    <t>CHEMISE 014JCN</t>
  </si>
  <si>
    <t>TI10L0045JCN</t>
  </si>
  <si>
    <t>ECM16L18HEX19</t>
  </si>
  <si>
    <t>bouchon plastique</t>
  </si>
  <si>
    <t>poigné aluminum</t>
  </si>
  <si>
    <t>bague int silent bloc 18-14-68.8</t>
  </si>
  <si>
    <t>T-RC300</t>
  </si>
  <si>
    <t>Rivet TRC300</t>
  </si>
  <si>
    <t>ECROU H17 LG5 Goujon de 11AV</t>
  </si>
  <si>
    <t>ecrou H19 lg 5 GOUJON de 14 NM</t>
  </si>
  <si>
    <t>GOUJON Ø 28</t>
  </si>
  <si>
    <t>M034</t>
  </si>
  <si>
    <t>rivet tarraudée B55</t>
  </si>
  <si>
    <t>B55 6*14,8</t>
  </si>
  <si>
    <t>bague Ø 14 inox</t>
  </si>
  <si>
    <t>Axe inox Ø8</t>
  </si>
  <si>
    <t>Rehausse</t>
  </si>
  <si>
    <t>PT8666</t>
  </si>
  <si>
    <t>GOUJON de roue AR ZEHO NM</t>
  </si>
  <si>
    <t>Perno  AGGANCIO</t>
  </si>
  <si>
    <t>AXE jumelle double</t>
  </si>
  <si>
    <t>TF57</t>
  </si>
  <si>
    <t xml:space="preserve">Rédacteur </t>
  </si>
  <si>
    <t>Approbateur:</t>
  </si>
  <si>
    <t>Date</t>
  </si>
  <si>
    <t>Date:</t>
  </si>
  <si>
    <t>Visa</t>
  </si>
  <si>
    <t>Visa:</t>
  </si>
  <si>
    <t>axe taraudé</t>
  </si>
  <si>
    <t xml:space="preserve">PERNO AGGANCIO-RULLO S-SC </t>
  </si>
  <si>
    <t>IC5253</t>
  </si>
  <si>
    <t>BOULE RETROVISEUR</t>
  </si>
  <si>
    <t>Clamping ring 120Fo</t>
  </si>
  <si>
    <t>OTT-170</t>
  </si>
  <si>
    <t xml:space="preserve">Main Body for secondary fan out </t>
  </si>
  <si>
    <t>Body primary</t>
  </si>
  <si>
    <t>OTT-171</t>
  </si>
  <si>
    <t>clamping ring 240fo</t>
  </si>
  <si>
    <t>I066-I098-CP5</t>
  </si>
  <si>
    <t>ECROU M12x1,25</t>
  </si>
  <si>
    <t>ECROU Ø   10 LG10</t>
  </si>
  <si>
    <t>ecrou de l'axe 11 AV</t>
  </si>
  <si>
    <t>bague epaulé 14 20 67</t>
  </si>
  <si>
    <t>douille carre 24</t>
  </si>
  <si>
    <t>G001+G005-CP4</t>
  </si>
  <si>
    <t xml:space="preserve">ECROU H19 LG 5 Goujon de 10 AR </t>
  </si>
  <si>
    <t>raccord 504</t>
  </si>
  <si>
    <t>300035-5-f</t>
  </si>
  <si>
    <t>COMPTEUR AUJOURD’HUI à 8h</t>
  </si>
  <si>
    <t>rivet mécanisme</t>
  </si>
  <si>
    <t>signalisation d'intégrateur</t>
  </si>
  <si>
    <t>ECROU M40</t>
  </si>
  <si>
    <r>
      <t xml:space="preserve">rewinder axis </t>
    </r>
    <r>
      <rPr>
        <sz val="11"/>
        <color theme="1"/>
        <rFont val="Calibri"/>
        <family val="2"/>
      </rPr>
      <t>Ø 14 inox</t>
    </r>
  </si>
  <si>
    <t>Ecrou de roue origine</t>
  </si>
  <si>
    <t>I143</t>
  </si>
  <si>
    <t>I007</t>
  </si>
  <si>
    <t>Bague 12 18 40</t>
  </si>
  <si>
    <t>8-1830</t>
  </si>
  <si>
    <t>COMPTEUR HIER à 17H</t>
  </si>
  <si>
    <t>ecrou hex 8 Acier</t>
  </si>
  <si>
    <t>ECROU HEXAGON</t>
  </si>
  <si>
    <t>DE 10144</t>
  </si>
  <si>
    <t>0-4998</t>
  </si>
  <si>
    <t>tige de piston</t>
  </si>
  <si>
    <t>Bague 16x20x38</t>
  </si>
  <si>
    <t>Bague 10x18x45</t>
  </si>
  <si>
    <t>0-6009</t>
  </si>
  <si>
    <t>0-4229</t>
  </si>
  <si>
    <t>COMPTEUR HIER à8H</t>
  </si>
  <si>
    <t>COMPTEUR HIER à 21H</t>
  </si>
  <si>
    <t>PIECES SUIVANT COMPTEU 8h--&gt;17h</t>
  </si>
  <si>
    <t>PIECES SUIVANT COMPTEUR 17H--&gt;21H</t>
  </si>
  <si>
    <t>PIECES SUIVANT COMPTEUR 5h--&gt;8h</t>
  </si>
  <si>
    <t xml:space="preserve"> BUSS. DIS. 14-3003 1320X28.7 AVP CARB </t>
  </si>
  <si>
    <t>NOMBRE D'HEURES DE TRAVAIL    8h--&gt;17h</t>
  </si>
  <si>
    <t>NOMBRE D'HEURES DE TRAVAIL  17H--&gt;21H</t>
  </si>
  <si>
    <t>NOMBRE D'HEURES DE TRAVAIL 5h--&gt;8h</t>
  </si>
  <si>
    <t>Bague 14x18x44</t>
  </si>
  <si>
    <t>0-4230</t>
  </si>
  <si>
    <t>bague 9x12x33</t>
  </si>
  <si>
    <t>Bague tarraudée</t>
  </si>
  <si>
    <t>COMPTEUR AUJOURD’HUI à 5h</t>
  </si>
  <si>
    <t>PIECES SUIVANT COMPTEUR 21h--&gt;5h</t>
  </si>
  <si>
    <t>NOMBRE D'HEURES DE TRAVAIL 21h--&gt;5h</t>
  </si>
  <si>
    <t>Bague 12x20x40</t>
  </si>
  <si>
    <t>0-5280</t>
  </si>
  <si>
    <t>Bague 14x20x40</t>
  </si>
  <si>
    <t>crimp body for secondary fan out</t>
  </si>
  <si>
    <t>OPE-047</t>
  </si>
  <si>
    <t>Ecrou bride M14*1.5</t>
  </si>
  <si>
    <t>Insert 16 22 38</t>
  </si>
  <si>
    <t>bague 20x14x50</t>
  </si>
  <si>
    <t>Bague 10x16x52</t>
  </si>
  <si>
    <t>4-74 41</t>
  </si>
  <si>
    <t>Bague 10 16 26</t>
  </si>
  <si>
    <t>0-3741</t>
  </si>
  <si>
    <t>INSERTO ESAG M6. 8*6</t>
  </si>
  <si>
    <t>Ecrou de roue</t>
  </si>
  <si>
    <t>Bague 10 16 7</t>
  </si>
  <si>
    <t>0-3738</t>
  </si>
  <si>
    <t>I143-BIGLIA</t>
  </si>
  <si>
    <t>PIG 50 SE-HARDING</t>
  </si>
  <si>
    <t>Bague Acier D16</t>
  </si>
  <si>
    <t>G001-CP1</t>
  </si>
  <si>
    <t>GOUJON DE 10 AR</t>
  </si>
  <si>
    <t>INSERT Ø 5,3</t>
  </si>
  <si>
    <t>M4X07</t>
  </si>
  <si>
    <t>Axe soudée lg216-28dents</t>
  </si>
  <si>
    <t>PIG-28D</t>
  </si>
  <si>
    <t>Vis ressort</t>
  </si>
  <si>
    <t>M018-BIGLIA</t>
  </si>
  <si>
    <t>ecrou trompête 404</t>
  </si>
  <si>
    <t>B006</t>
  </si>
  <si>
    <t>18*12*61</t>
  </si>
  <si>
    <t>bague epaulée</t>
  </si>
  <si>
    <t>Ecrou de roue KB</t>
  </si>
  <si>
    <t>I034</t>
  </si>
  <si>
    <t>Bague épaulée 12x25x41</t>
  </si>
  <si>
    <t>PERNO DISINNESTO RULLO</t>
  </si>
  <si>
    <t>G16922290</t>
  </si>
  <si>
    <t>Goujon de roue Mit GM MB 584750 VT</t>
  </si>
  <si>
    <t>MI18</t>
  </si>
  <si>
    <t>ecrou Hm D / N936 M14X1.5 Zn TRV</t>
  </si>
  <si>
    <t>Bloc à clapets</t>
  </si>
  <si>
    <t>200505-0-F</t>
  </si>
  <si>
    <t>Gewindeeinsatz Ensat M4*5</t>
  </si>
  <si>
    <t>OTT-171-L32</t>
  </si>
  <si>
    <t xml:space="preserve">clamping ring 240fo </t>
  </si>
  <si>
    <t>601130-NAK</t>
  </si>
  <si>
    <t>Bague d14 lg 14.1</t>
  </si>
  <si>
    <t>16x14.1x9.8-5gr</t>
  </si>
  <si>
    <t xml:space="preserve">ecrou de fusée </t>
  </si>
  <si>
    <t>601130-NAK-Filetage</t>
  </si>
  <si>
    <t xml:space="preserve">Porta valvola </t>
  </si>
  <si>
    <t>SH42Z1-Fraiseuse</t>
  </si>
  <si>
    <t xml:space="preserve">Ecrou de fusée  </t>
  </si>
  <si>
    <t>601130-HARDING</t>
  </si>
  <si>
    <t xml:space="preserve">ALBLO021019STJCN-HARDING </t>
  </si>
  <si>
    <t xml:space="preserve">Bloc à clapets  </t>
  </si>
  <si>
    <t>Bague D14 Lg14.1</t>
  </si>
  <si>
    <t>16x14.1x9.8-4.5gr</t>
  </si>
  <si>
    <t>PF21 N°27</t>
  </si>
  <si>
    <t>R</t>
  </si>
  <si>
    <t>Capsule hex 19</t>
  </si>
  <si>
    <t>002-04-2002</t>
  </si>
  <si>
    <t>Raccord ISUZU</t>
  </si>
  <si>
    <t>Ecrou suspension</t>
  </si>
  <si>
    <t>I004</t>
  </si>
  <si>
    <t>S</t>
  </si>
  <si>
    <t>PF42 N°20</t>
  </si>
  <si>
    <t xml:space="preserve">Entretoise Hex11 </t>
  </si>
  <si>
    <t>Goujon de roue ISUZU</t>
  </si>
  <si>
    <t>I039</t>
  </si>
  <si>
    <t>reprise</t>
  </si>
  <si>
    <t xml:space="preserve">BUSS DIS 14-3003 1320x28.7 AVP CARB </t>
  </si>
  <si>
    <t>Bague 10.5x25x75</t>
  </si>
  <si>
    <t>Axe soudée lg216-Lg24 dents</t>
  </si>
  <si>
    <t>PIG-24D</t>
  </si>
  <si>
    <t>Bague acier nécessaire OM40</t>
  </si>
  <si>
    <t>boulon d'assemblage</t>
  </si>
  <si>
    <t>Siege JCU</t>
  </si>
  <si>
    <t>ChSIEGE-JCN</t>
  </si>
  <si>
    <t>Ecrou de roue Ford Ranger</t>
  </si>
  <si>
    <t>Axe soudée lg218-24 dents</t>
  </si>
  <si>
    <t>Axe levier</t>
  </si>
  <si>
    <t>Raccord refroidisseur ISUZU</t>
  </si>
  <si>
    <t>I070-cp1</t>
  </si>
  <si>
    <t>Ecrou alu D38-JAMEL</t>
  </si>
  <si>
    <t>Ecrou M27</t>
  </si>
  <si>
    <t>Bouchon carter</t>
  </si>
  <si>
    <t>I009</t>
  </si>
  <si>
    <t>P210203</t>
  </si>
  <si>
    <t>Wasseranscluss Stift</t>
  </si>
  <si>
    <t>Bague</t>
  </si>
  <si>
    <t>rivet laiton D6</t>
  </si>
  <si>
    <t>6.2-9</t>
  </si>
  <si>
    <t>Bague 16x22x44</t>
  </si>
  <si>
    <t>rivet laiton D6-fraiseuse</t>
  </si>
  <si>
    <t>Bague 10x18x55</t>
  </si>
  <si>
    <t>QUADRO 10*60 AVP</t>
  </si>
  <si>
    <t>Bague 14x20x48</t>
  </si>
  <si>
    <t>4-71 86</t>
  </si>
  <si>
    <t>Bague 10x18x38</t>
  </si>
  <si>
    <t>Bague 6.5x10.2x20.5</t>
  </si>
  <si>
    <t>6.5x10.2x20.5</t>
  </si>
  <si>
    <t>Bague 14x18x32</t>
  </si>
  <si>
    <t>Ecrou collier ISUZU TFR</t>
  </si>
  <si>
    <t>I138-cp</t>
  </si>
  <si>
    <t>Bague 14x20x45</t>
  </si>
  <si>
    <t>Boulon support moteur Ford GM</t>
  </si>
  <si>
    <t>FO008-cp3</t>
  </si>
  <si>
    <t>Bague 14x20x36</t>
  </si>
  <si>
    <t>4-76 13</t>
  </si>
  <si>
    <t>Bague 12x18x40</t>
  </si>
  <si>
    <t>0-37 95</t>
  </si>
  <si>
    <t>Boulon support moteur Ford</t>
  </si>
  <si>
    <t>QAB 14*18-D16 NLD</t>
  </si>
  <si>
    <t>Bague 12x18x44</t>
  </si>
  <si>
    <t>4-71 76</t>
  </si>
  <si>
    <t>Bague 12x18x45</t>
  </si>
  <si>
    <t>4-70 61</t>
  </si>
  <si>
    <t>Bague 18.7x14.5x68</t>
  </si>
  <si>
    <t>18.7x14.5x68</t>
  </si>
  <si>
    <t>Rehausse-NAKAMURHA</t>
  </si>
  <si>
    <t>Bague 12.7x10.4x7.3</t>
  </si>
  <si>
    <t>Ecrou H19 lg 13.5 goujon de 11 AV</t>
  </si>
  <si>
    <t>G002+G007-CP2</t>
  </si>
  <si>
    <t>G022-cp1</t>
  </si>
  <si>
    <t>Inserto Esag M8 12x12</t>
  </si>
  <si>
    <t>Bague lg 5 l'axe de 14NM</t>
  </si>
  <si>
    <t>Bague 10x18x78</t>
  </si>
  <si>
    <t>0-5802</t>
  </si>
  <si>
    <t>Ecrou goujon de 14 NM</t>
  </si>
  <si>
    <t>Bague 12x14x47</t>
  </si>
  <si>
    <t xml:space="preserve">Goujon de 15 NM </t>
  </si>
  <si>
    <t>Bague 16x22x38</t>
  </si>
  <si>
    <t>Rondelle axe etirée de frein ISUZU</t>
  </si>
  <si>
    <t>I100-CP2</t>
  </si>
  <si>
    <t>TSUGAMI</t>
  </si>
  <si>
    <t>OTT-171-TSUGAMI</t>
  </si>
  <si>
    <t>16x22x38</t>
  </si>
  <si>
    <t>22*12*61</t>
  </si>
  <si>
    <t>Pignon soudé lg=216 -28 dents avec graisseur</t>
  </si>
  <si>
    <t>PIG-L216-28D-G</t>
  </si>
  <si>
    <t xml:space="preserve">Clamping ring 240Fo </t>
  </si>
  <si>
    <t>Bague 10x16x88</t>
  </si>
  <si>
    <t>4-74 49</t>
  </si>
  <si>
    <t>Bague 10x16x45</t>
  </si>
  <si>
    <t>0-5557-1</t>
  </si>
  <si>
    <t>Bague 10x16x32</t>
  </si>
  <si>
    <t>0-3743-1</t>
  </si>
  <si>
    <t>Bague 10x16x7</t>
  </si>
  <si>
    <t>Bague d'anneau ouvert</t>
  </si>
  <si>
    <t>28407-100-10</t>
  </si>
  <si>
    <t>Broche acier L=180</t>
  </si>
  <si>
    <t>Bague 10x16x57</t>
  </si>
  <si>
    <t>MIM</t>
  </si>
  <si>
    <t>Bague galvanisée 10x16x40</t>
  </si>
  <si>
    <t>0-3748-1</t>
  </si>
  <si>
    <t>Bague 10x16x34</t>
  </si>
  <si>
    <t>0-5151-1</t>
  </si>
  <si>
    <t>Bague 16x10x10</t>
  </si>
  <si>
    <t>4-74 17</t>
  </si>
  <si>
    <t>Bague galvanisée 12x16x32</t>
  </si>
  <si>
    <t>0-3773-1</t>
  </si>
  <si>
    <t>Ecrou M16x1.50 lg18 HEX19</t>
  </si>
  <si>
    <t>Bague 12x16x30</t>
  </si>
  <si>
    <t>0-4226-1</t>
  </si>
  <si>
    <t>Bague galvanisée 12x16x40</t>
  </si>
  <si>
    <t>0-3779-1</t>
  </si>
  <si>
    <t xml:space="preserve">Bague 14x20x48 </t>
  </si>
  <si>
    <t>Bague 16x28x66</t>
  </si>
  <si>
    <t>4-70 03</t>
  </si>
  <si>
    <t>Clamping ring 360FO</t>
  </si>
  <si>
    <t>OTT-172-TSUGAMI</t>
  </si>
  <si>
    <t>Bague 12x20x95</t>
  </si>
  <si>
    <t>Bague 16x28x100</t>
  </si>
  <si>
    <t>4-70 02</t>
  </si>
  <si>
    <t>Bague galvanisée 20x26x46</t>
  </si>
  <si>
    <t>0-5023-1</t>
  </si>
  <si>
    <t>Bague galvanisée 26x20x45</t>
  </si>
  <si>
    <t>0-4894-1</t>
  </si>
  <si>
    <t>bague butée interne Ø25</t>
  </si>
  <si>
    <t>Bague galvanisée 20x28x105</t>
  </si>
  <si>
    <t>4-8483-1</t>
  </si>
  <si>
    <t>axe soudé Lg218-24 dents</t>
  </si>
  <si>
    <t>Bague galvanisée 18x22x42</t>
  </si>
  <si>
    <t>0-4989-1</t>
  </si>
  <si>
    <t>Entretoise hexagonal Hex15</t>
  </si>
  <si>
    <t xml:space="preserve">Bague ext silent bloc triangle inférieur </t>
  </si>
  <si>
    <t>I044-cp1</t>
  </si>
  <si>
    <t>PIGNON SOUDE L=236-24DENTS avec graisseur</t>
  </si>
  <si>
    <t>PIG-L236-24D-G</t>
  </si>
  <si>
    <t>Ecrou de roue TFR ISUZU</t>
  </si>
  <si>
    <t>I025</t>
  </si>
  <si>
    <t>Bague ext silent bloc KB26</t>
  </si>
  <si>
    <t>I027-CP1</t>
  </si>
  <si>
    <t>MI08-cp1</t>
  </si>
  <si>
    <t>axe cale HEEL support axis</t>
  </si>
  <si>
    <t>Serrure encastrée B55</t>
  </si>
  <si>
    <t>B55-5*13</t>
  </si>
  <si>
    <t>axe jumelle ISUZU</t>
  </si>
  <si>
    <t>TF57-CP2</t>
  </si>
  <si>
    <t>Ecrou goujon M14x1.50</t>
  </si>
  <si>
    <t>G021-CP1</t>
  </si>
  <si>
    <t xml:space="preserve">Axe pignon soudée lg 234 </t>
  </si>
  <si>
    <t>PIG234-28 dents</t>
  </si>
  <si>
    <t>Anneau 63x51</t>
  </si>
  <si>
    <t>E355306</t>
  </si>
  <si>
    <t>Bague PP-Fraiseuse</t>
  </si>
  <si>
    <t>Bronzina 16/18*10.3</t>
  </si>
  <si>
    <t>Bague acier 10x14x102</t>
  </si>
  <si>
    <t>10x14x102</t>
  </si>
  <si>
    <t>Bague acier Ø13</t>
  </si>
  <si>
    <t>12.75x28.2x8.5</t>
  </si>
  <si>
    <t xml:space="preserve">Bague ext silent bloc TFR </t>
  </si>
  <si>
    <t>I035-CP1</t>
  </si>
  <si>
    <t>Bague 14x10x72</t>
  </si>
  <si>
    <t>G024</t>
  </si>
  <si>
    <t>rivet TRB 400</t>
  </si>
  <si>
    <t>Boîte  T140 sans taraudage</t>
  </si>
  <si>
    <t>TIGE DE PISTON</t>
  </si>
  <si>
    <t>bague épaulée 14,4x27x55</t>
  </si>
  <si>
    <t>4-7329A</t>
  </si>
  <si>
    <t>Ecrou hex8</t>
  </si>
  <si>
    <t>ECROU HEXAGON+MULTI</t>
  </si>
  <si>
    <t>ecrou frein</t>
  </si>
  <si>
    <t>Boule retroviseur Ø18.4</t>
  </si>
  <si>
    <t>Boule Ø18,4</t>
  </si>
  <si>
    <t>rivet TVRC 100</t>
  </si>
  <si>
    <t>Bague laiton necessaire axe ressort</t>
  </si>
  <si>
    <t>F043-cp1</t>
  </si>
  <si>
    <t>axe retroviseur M8-droit</t>
  </si>
  <si>
    <t>Axe M8-droit</t>
  </si>
  <si>
    <t>axe retroviseur M8-gauche</t>
  </si>
  <si>
    <t>axe M8x1,25</t>
  </si>
  <si>
    <t>4 - 78 36</t>
  </si>
  <si>
    <t>bague aluminium 14,5x27x45</t>
  </si>
  <si>
    <t>axe retroviseur M10x1.25</t>
  </si>
  <si>
    <t>axe droit M10x1,25</t>
  </si>
  <si>
    <t>14,5x27x54</t>
  </si>
  <si>
    <t>bague alu 14.5 x 27 x 54</t>
  </si>
  <si>
    <t>AXE ACIER NECESSAIRE AXE RESSORT AV F110</t>
  </si>
  <si>
    <t>F043-CP2</t>
  </si>
  <si>
    <t>CAL ACIER SUSPENSION TOYOTA</t>
  </si>
  <si>
    <t>I090-CP3</t>
  </si>
  <si>
    <t>FANOUT 72FO POM C NOIR</t>
  </si>
  <si>
    <t>901-609-001</t>
  </si>
  <si>
    <t>Goujon de 12 L = 183 mm</t>
  </si>
  <si>
    <t>bague galvanisée 20x26x52</t>
  </si>
  <si>
    <t>0-5022-1</t>
  </si>
  <si>
    <t>bague galvanisée 20x26x50</t>
  </si>
  <si>
    <t>0-5020-1</t>
  </si>
  <si>
    <t>bague galvanisée 12x18x47.5</t>
  </si>
  <si>
    <t>0-5799-1</t>
  </si>
  <si>
    <t>bague acier galvanisée 10x14x112</t>
  </si>
  <si>
    <t>10x14x112</t>
  </si>
  <si>
    <t>bague galvanisée 12x18x40</t>
  </si>
  <si>
    <t>bague galvanisée 20x26x57</t>
  </si>
  <si>
    <t>4- 8362-1</t>
  </si>
  <si>
    <t>Goujon de roue Mit GMB584750V T</t>
  </si>
  <si>
    <t>MI018</t>
  </si>
  <si>
    <t>Bague brute 10x14x10</t>
  </si>
  <si>
    <t>0-5579</t>
  </si>
  <si>
    <t>bague galvanisée 14x20x48</t>
  </si>
  <si>
    <t>4-7613-1</t>
  </si>
  <si>
    <t>0-3795-1</t>
  </si>
  <si>
    <t>bague galvanisée 14x20x50</t>
  </si>
  <si>
    <t xml:space="preserve">4- 72 83 </t>
  </si>
  <si>
    <t>bague galvanisée 12x18x36</t>
  </si>
  <si>
    <t>0 - 50 44 - 1</t>
  </si>
  <si>
    <t xml:space="preserve">bague laiton necessaire axe ressort </t>
  </si>
  <si>
    <t>F042-CP1</t>
  </si>
  <si>
    <t>Axe acier necessaire axe ressort fiat 110 AR</t>
  </si>
  <si>
    <t>F042-CP2</t>
  </si>
  <si>
    <t>bague galvanisée 14x20x52</t>
  </si>
  <si>
    <t>0 - 57 40 - 1</t>
  </si>
  <si>
    <t>bague galvanisée 12x18x35</t>
  </si>
  <si>
    <t>buse tube d'eau MD 370177</t>
  </si>
  <si>
    <t>MI022-cp3</t>
  </si>
  <si>
    <t>M018-CP1</t>
  </si>
  <si>
    <t>bague galvanisée 14x20x45</t>
  </si>
  <si>
    <t>0-5223-1</t>
  </si>
  <si>
    <t>bague galvanisée 20x26x150</t>
  </si>
  <si>
    <t>4-8489-1</t>
  </si>
  <si>
    <t>bague galvanisée 14x20x42</t>
  </si>
  <si>
    <t>0-5442-1</t>
  </si>
  <si>
    <t>bague galvanisée 12x18x7</t>
  </si>
  <si>
    <t>0-7016</t>
  </si>
  <si>
    <t>bague galvanisé 12*18*38</t>
  </si>
  <si>
    <t>0-5255-1</t>
  </si>
  <si>
    <t>bague galvanisée 14x18x40</t>
  </si>
  <si>
    <t>0-4229-1</t>
  </si>
  <si>
    <t>bague galvanisée 12x14.5x40</t>
  </si>
  <si>
    <t>bague galvanisée 14x20x40</t>
  </si>
  <si>
    <t>bague galvanisée 14x18x44</t>
  </si>
  <si>
    <t>0-4230-1</t>
  </si>
  <si>
    <t>0-5202-1</t>
  </si>
  <si>
    <t>Bague galvanisée 10x16x32</t>
  </si>
  <si>
    <t>10*16*32</t>
  </si>
  <si>
    <t>bague brute 14x20x8</t>
  </si>
  <si>
    <t>4-7862</t>
  </si>
  <si>
    <t>Goujon Ø 18 lg 50</t>
  </si>
  <si>
    <t>G018</t>
  </si>
  <si>
    <t>bague épaulée 12*25*41</t>
  </si>
  <si>
    <t>Bouchon carter Mitsubishi</t>
  </si>
  <si>
    <t>tube d'eau fiat tupo</t>
  </si>
  <si>
    <t>F044</t>
  </si>
  <si>
    <t>FO015-cp1</t>
  </si>
  <si>
    <t>bague galvanisée 14x20x62</t>
  </si>
  <si>
    <t>0-5734-1</t>
  </si>
  <si>
    <t>ecrou R5/R4 RENAULT</t>
  </si>
  <si>
    <t>R006-CP1</t>
  </si>
  <si>
    <t>Goujon Ø 18 lg 5 0</t>
  </si>
  <si>
    <t>G018-L32</t>
  </si>
  <si>
    <t>Ecrou taraudée de tête pompête</t>
  </si>
  <si>
    <t>bague galvanisée 10x12x50</t>
  </si>
  <si>
    <t>4-7687-1</t>
  </si>
  <si>
    <t>B041-cp4</t>
  </si>
  <si>
    <t>bague galvanisée 10x14x42</t>
  </si>
  <si>
    <t>0-3735-1</t>
  </si>
  <si>
    <t xml:space="preserve">GOUJON M14*1.5 L=52 </t>
  </si>
  <si>
    <t>G021-CP2</t>
  </si>
  <si>
    <t xml:space="preserve">Ecrou de roue ford ranger </t>
  </si>
  <si>
    <t>FO013-cp1</t>
  </si>
  <si>
    <t>ECROU DE ROUE TFR ISUZU I143-CP1</t>
  </si>
  <si>
    <t>I143-CP1</t>
  </si>
  <si>
    <t>bague galvanisée 16x22x50</t>
  </si>
  <si>
    <t>0-5477-1</t>
  </si>
  <si>
    <t>insert 16x22x38</t>
  </si>
  <si>
    <t>GOUJON M14*1.5 L=52 fraisé</t>
  </si>
  <si>
    <t>G026-cp2</t>
  </si>
  <si>
    <t>Bague galvanisée 12x20x34</t>
  </si>
  <si>
    <t>4-7634-1</t>
  </si>
  <si>
    <t>bague galvanisée 12X20X45</t>
  </si>
  <si>
    <t>0-5213-1</t>
  </si>
  <si>
    <t>bague galvanisée 12x20x40</t>
  </si>
  <si>
    <t>0-5280-1</t>
  </si>
  <si>
    <t>bague galvanisée 14x16x45</t>
  </si>
  <si>
    <t>4-7082-1</t>
  </si>
  <si>
    <t>bague galvanisée 14x16x40</t>
  </si>
  <si>
    <t>0-4228-1</t>
  </si>
  <si>
    <t>Pignon 28 dent CIAO L=245</t>
  </si>
  <si>
    <t>PIG-28D-L245-SG</t>
  </si>
  <si>
    <t>Pignon 28 dent BRAVO L=255</t>
  </si>
  <si>
    <t>PIG-28D-L255-SG</t>
  </si>
  <si>
    <t>bague galvanisée 14x16x36</t>
  </si>
  <si>
    <t>0-4227-1</t>
  </si>
  <si>
    <t>bague galvanisée 14x16x32</t>
  </si>
  <si>
    <t>Pignon 28 dent  L=234</t>
  </si>
  <si>
    <t>PIG-28D-L234-SG</t>
  </si>
  <si>
    <t>Butée interne métallique</t>
  </si>
  <si>
    <t>bague galvanisée 14x16x30</t>
  </si>
  <si>
    <t>0-4225-1</t>
  </si>
  <si>
    <t xml:space="preserve">ECROU BRIDE HEX 22 M14*1.5 </t>
  </si>
  <si>
    <t>ECR BRIDE HEX 22</t>
  </si>
  <si>
    <t>Chemise Fan out 72</t>
  </si>
  <si>
    <t>bouchon Fan out 72</t>
  </si>
  <si>
    <t>ecrou frein M12x150</t>
  </si>
  <si>
    <t>fileté</t>
  </si>
  <si>
    <t>part A</t>
  </si>
  <si>
    <t>ECROU BIELLE DROITE</t>
  </si>
  <si>
    <t>I113-CP1</t>
  </si>
  <si>
    <t>Culot bougie GM Culasse</t>
  </si>
  <si>
    <t>D002</t>
  </si>
  <si>
    <t>Part C</t>
  </si>
  <si>
    <t>réglage</t>
  </si>
  <si>
    <t>D003</t>
  </si>
  <si>
    <t>Culot Bougie PM Culasse</t>
  </si>
  <si>
    <t>bague 40x36x60</t>
  </si>
  <si>
    <t>BAG 40x36</t>
  </si>
  <si>
    <t>Bague boujie Culasse</t>
  </si>
  <si>
    <t>Bague galvanisée 8x14x24</t>
  </si>
  <si>
    <t>4-8638-1</t>
  </si>
  <si>
    <t>Bague galvanisée 12x18x38</t>
  </si>
  <si>
    <t>Bague acier 16x28x66</t>
  </si>
  <si>
    <t>4-7003</t>
  </si>
  <si>
    <t>Bague galvanisée 10x18x38</t>
  </si>
  <si>
    <t>4-8052-1</t>
  </si>
  <si>
    <t>Bague galvanisée 10x18x40</t>
  </si>
  <si>
    <t>0-5329-1</t>
  </si>
  <si>
    <t>Bague galvanisée 12x22x65</t>
  </si>
  <si>
    <t>4-7070-1</t>
  </si>
  <si>
    <t>4-7002</t>
  </si>
  <si>
    <t>Bague galvanisée 16x28x100</t>
  </si>
  <si>
    <t>Bague galvanisée 10x12x55</t>
  </si>
  <si>
    <t>Bague galvanisée 12x18x34</t>
  </si>
  <si>
    <t>0-5423-1</t>
  </si>
  <si>
    <t>Bague galvanisée 12x18x69,5</t>
  </si>
  <si>
    <t>0-5790-1</t>
  </si>
  <si>
    <t>Bague Aluminium 16x27x43</t>
  </si>
  <si>
    <t>4-84 05</t>
  </si>
  <si>
    <t>Bague galvanisée 12x16x39</t>
  </si>
  <si>
    <t>Bague galvanisée 14x18x45</t>
  </si>
  <si>
    <t>0-4231-1</t>
  </si>
  <si>
    <t>4-7697-1</t>
  </si>
  <si>
    <t>AXE MALE AVEC TROU</t>
  </si>
  <si>
    <t>AXE FOURCHETTE SIMPLE</t>
  </si>
  <si>
    <t>Bague aluminium 14.4x27x54</t>
  </si>
  <si>
    <t>4-8407</t>
  </si>
  <si>
    <t>bague galvanisée 12x16x34</t>
  </si>
  <si>
    <t>bague galvanisée 14x22x40</t>
  </si>
  <si>
    <t>0-3775-1</t>
  </si>
  <si>
    <t>4-8142-1</t>
  </si>
  <si>
    <t>bague galvanisée 18x22x33</t>
  </si>
  <si>
    <t>bague galvanisée 12x16x73.5</t>
  </si>
  <si>
    <t>4-7235-1</t>
  </si>
  <si>
    <t>0-3791-1</t>
  </si>
  <si>
    <t>bague galvanisée 9x12x30.5</t>
  </si>
  <si>
    <t>4-7986-1</t>
  </si>
  <si>
    <t>AXE FOURCHETTE FORME D</t>
  </si>
  <si>
    <t>AXE FORME D - D10</t>
  </si>
  <si>
    <t>Bague galvanisée 12x20x52</t>
  </si>
  <si>
    <t>bague taraudée hex 30</t>
  </si>
  <si>
    <t>AXE FOURCHETTE COUDE D8</t>
  </si>
  <si>
    <t>AXE COUDE D8</t>
  </si>
  <si>
    <t>AXE FEMELLE</t>
  </si>
  <si>
    <t>AXE MALE SANS TROU</t>
  </si>
  <si>
    <t>AXE FEMELLE-D16</t>
  </si>
  <si>
    <t>AXE MALE S-T D16</t>
  </si>
  <si>
    <t>AXE MALE A-T D16</t>
  </si>
  <si>
    <t>AXE SIMPLE D10</t>
  </si>
  <si>
    <t>0-5192-1</t>
  </si>
  <si>
    <t>AXE FOURCHETTE SURMOULEE D8</t>
  </si>
  <si>
    <t>AXE SURMOULEE D8</t>
  </si>
  <si>
    <t>Bague aluminium 14.4x25x40</t>
  </si>
  <si>
    <t>4-7989</t>
  </si>
  <si>
    <t>Bague galvanisée 10x16x80</t>
  </si>
  <si>
    <t>0-5177</t>
  </si>
  <si>
    <t>Axe retroviseur D12 L=238</t>
  </si>
  <si>
    <t>Axe D12-PM</t>
  </si>
  <si>
    <t>Axe tendeur de 10</t>
  </si>
  <si>
    <t>AXE - T - D10</t>
  </si>
  <si>
    <t>AXE FOURCHETTE EN I-D16</t>
  </si>
  <si>
    <t>AXE EN I-D16</t>
  </si>
  <si>
    <t>Bague galvanisée 10x16x50</t>
  </si>
  <si>
    <t>0-4258-1</t>
  </si>
  <si>
    <t>BAGUE EPAULEE 12*22*61</t>
  </si>
  <si>
    <t>Axe D12-GM</t>
  </si>
  <si>
    <t>Bague galvanisée 12x16x38</t>
  </si>
  <si>
    <t>0-5173-1</t>
  </si>
  <si>
    <t>Axe retroviseur D12 L=253</t>
  </si>
  <si>
    <t>AXE FOURCHETTE PINCE 30-D16</t>
  </si>
  <si>
    <t>AXE PINCE30-D16</t>
  </si>
  <si>
    <t>bague galvanisée 10*16*7</t>
  </si>
  <si>
    <t>épannouiseur 12 Fo</t>
  </si>
  <si>
    <t>Bague Galvanisée 12x16x34</t>
  </si>
  <si>
    <t>Bague Galvanisée 20x26x7</t>
  </si>
  <si>
    <t>0-6249-1</t>
  </si>
  <si>
    <t>Bague galvanisée 10x18x55</t>
  </si>
  <si>
    <t>4-7935-1</t>
  </si>
  <si>
    <t>Anneau brut 30*28*27</t>
  </si>
  <si>
    <t>0-4965</t>
  </si>
  <si>
    <t>bague galvanisée 10*14*10</t>
  </si>
  <si>
    <t>0-5579-1</t>
  </si>
  <si>
    <t>bague galvanisée 20*26*45</t>
  </si>
  <si>
    <t>insert 12*18*40</t>
  </si>
  <si>
    <t>12*18*40</t>
  </si>
  <si>
    <t>bague galvanisée 16x20x45</t>
  </si>
  <si>
    <t>0-4998-1</t>
  </si>
  <si>
    <t>DE-10048</t>
  </si>
  <si>
    <t>Bague Int silent bloc canter</t>
  </si>
  <si>
    <t>I016-CP1-PROD</t>
  </si>
  <si>
    <t>Bague acier 12x11x9.5(4g)</t>
  </si>
  <si>
    <t>BAGUE 12x25x60.5</t>
  </si>
  <si>
    <t>Insert 14x20x40</t>
  </si>
  <si>
    <t>14*20*40</t>
  </si>
  <si>
    <t xml:space="preserve">AXE FOURCHETTE EN J-D16 </t>
  </si>
  <si>
    <t>AXE EN J-D16</t>
  </si>
  <si>
    <t>AXE MALE D16</t>
  </si>
  <si>
    <t>bague fileté</t>
  </si>
  <si>
    <t>4-8661</t>
  </si>
  <si>
    <t>Anneau Brute 37*43,2*25 - Nakamurha</t>
  </si>
  <si>
    <t>4-85 50</t>
  </si>
  <si>
    <t>bague acier 14*20*48</t>
  </si>
  <si>
    <t>12*11*9,5</t>
  </si>
  <si>
    <t>14*20*48</t>
  </si>
  <si>
    <t>bague galvanise 14*18*32</t>
  </si>
  <si>
    <t>14*18*32</t>
  </si>
  <si>
    <t>bague brute 12*20*14,5</t>
  </si>
  <si>
    <t>12*20*14,5</t>
  </si>
  <si>
    <t>Bague 14x20x62</t>
  </si>
  <si>
    <t>Bague laiton 12.7x7.3x10.4</t>
  </si>
  <si>
    <t>12.7x7.3x10.4</t>
  </si>
  <si>
    <t>Anneau Brute 30*38*25</t>
  </si>
  <si>
    <t>0-3883</t>
  </si>
  <si>
    <t>Bague galvanisée 14x18x50</t>
  </si>
  <si>
    <t>0-4232-1</t>
  </si>
  <si>
    <t>F100/13</t>
  </si>
  <si>
    <t>Bague galvanisée 12x20x50</t>
  </si>
  <si>
    <t>0-5191-1</t>
  </si>
  <si>
    <t>RACCORD FIAT 113 PROD</t>
  </si>
  <si>
    <t xml:space="preserve">porta valvola </t>
  </si>
  <si>
    <t>bague allu 27*14.5*55</t>
  </si>
  <si>
    <t>14,5x27x55</t>
  </si>
  <si>
    <t>Bague galvanisée 12x22x42</t>
  </si>
  <si>
    <t>bague galvanisee 12*20*50</t>
  </si>
  <si>
    <t>anneau brute 30*38*21</t>
  </si>
  <si>
    <t>10*12*55</t>
  </si>
  <si>
    <t>12*20*50</t>
  </si>
  <si>
    <t>12*22*42</t>
  </si>
  <si>
    <t>14*20*62</t>
  </si>
  <si>
    <t>Bague 14x22x63</t>
  </si>
  <si>
    <t>0-5307A-1</t>
  </si>
  <si>
    <t>ecrou acier hex 10</t>
  </si>
  <si>
    <t>REGLAGE</t>
  </si>
  <si>
    <t>bague galvanise 12*20*50</t>
  </si>
  <si>
    <t>ECROU h10</t>
  </si>
  <si>
    <t>bague galvanisee 12*22*60.5</t>
  </si>
  <si>
    <t>4-7137-1</t>
  </si>
  <si>
    <t>Bague 12*16*40</t>
  </si>
  <si>
    <t>Bague brute 20x28x43</t>
  </si>
  <si>
    <t>4-76 86</t>
  </si>
  <si>
    <t>0-4457</t>
  </si>
  <si>
    <t>12*22*65</t>
  </si>
  <si>
    <t>bague 12*22*65</t>
  </si>
  <si>
    <t>Insert 24x28x30</t>
  </si>
  <si>
    <t/>
  </si>
  <si>
    <t xml:space="preserve">PORTE ROTULE </t>
  </si>
  <si>
    <t>bague galnanisee 10*18*32</t>
  </si>
  <si>
    <t>bague galnanisee 10*14*10</t>
  </si>
  <si>
    <t>RAC-OM40</t>
  </si>
  <si>
    <t>bague galvanisee 12*20*48</t>
  </si>
  <si>
    <t>4-7219-1</t>
  </si>
  <si>
    <t xml:space="preserve">axe etrier tayota -pm </t>
  </si>
  <si>
    <t>TO 005-OP1</t>
  </si>
  <si>
    <t>bague galnanisee 16*12*32</t>
  </si>
  <si>
    <t>0-3773-1-R</t>
  </si>
  <si>
    <t>bague galvanisee 12*20*52</t>
  </si>
  <si>
    <t>Bague galvanisée 12*18*38</t>
  </si>
  <si>
    <t>AXE ETRIER TOYOTA GM PROD</t>
  </si>
  <si>
    <t>TO005-CP2-PROD</t>
  </si>
  <si>
    <t>bague epaulee 14*30*66,5</t>
  </si>
  <si>
    <t>4-8209</t>
  </si>
  <si>
    <t>bague galvanisee 18*12*40</t>
  </si>
  <si>
    <t>BAGUE LAITON 10,2*41,3</t>
  </si>
  <si>
    <t>BAGUE LAITON 10,2*12,7</t>
  </si>
  <si>
    <t>10,2*12,7</t>
  </si>
  <si>
    <t>10,2*41,3</t>
  </si>
  <si>
    <t>AXE PORTE TURBINE D10</t>
  </si>
  <si>
    <t>BAGUE BRUTE 12x20x14,5</t>
  </si>
  <si>
    <t>bague galvanisée 10x14x10</t>
  </si>
  <si>
    <t>rivet tarraudé T80</t>
  </si>
  <si>
    <t>R-T80</t>
  </si>
  <si>
    <t>Bague galvanisée 25.2*32*40</t>
  </si>
  <si>
    <t>4-7791-1</t>
  </si>
  <si>
    <t>insert laiton D6</t>
  </si>
  <si>
    <t>insert D6</t>
  </si>
  <si>
    <t>Insert levier D10</t>
  </si>
  <si>
    <t>GOUJON M4</t>
  </si>
  <si>
    <t>BROCHE ACIER D13 ZINGUE L230</t>
  </si>
  <si>
    <t>BROCH L 230</t>
  </si>
  <si>
    <t>Bague Galvanisée 24*30*55</t>
  </si>
  <si>
    <t>4-7561-1</t>
  </si>
  <si>
    <t>RIVET TRB400</t>
  </si>
  <si>
    <t>T-RB400</t>
  </si>
  <si>
    <t>Bague aluminium 14.4*27*54</t>
  </si>
  <si>
    <t>FANOUT FOR 72FO JENOPTEC-CP2</t>
  </si>
  <si>
    <t>301-603-CP2</t>
  </si>
  <si>
    <t>Bague Galvanisée 16*22*44</t>
  </si>
  <si>
    <t>4-7348-1</t>
  </si>
  <si>
    <t>LISTE DE PRIX DES ARTICLES MJM</t>
  </si>
  <si>
    <t>Code</t>
  </si>
  <si>
    <t>: DAS-EXP-04</t>
  </si>
  <si>
    <t>: 27/12/2010</t>
  </si>
  <si>
    <t>Verssion</t>
  </si>
  <si>
    <t>: 01</t>
  </si>
  <si>
    <t>Page</t>
  </si>
  <si>
    <t>: 1/1</t>
  </si>
  <si>
    <t>N° chiffrage</t>
  </si>
  <si>
    <t xml:space="preserve"> client de:</t>
  </si>
  <si>
    <t>Référence</t>
  </si>
  <si>
    <t>Désignation</t>
  </si>
  <si>
    <t>Matière</t>
  </si>
  <si>
    <t>Forme</t>
  </si>
  <si>
    <t>Dimension</t>
  </si>
  <si>
    <t>poids brut (Kg)</t>
  </si>
  <si>
    <t>Cadence chiffrée (pièces/h)</t>
  </si>
  <si>
    <t>Prix achat matière première/ Kg</t>
  </si>
  <si>
    <t>PU HT</t>
  </si>
  <si>
    <t>nbr des pièces par barre</t>
  </si>
  <si>
    <t>acier S300Pb</t>
  </si>
  <si>
    <t>rond</t>
  </si>
  <si>
    <t>MJM</t>
  </si>
  <si>
    <t>inox 303</t>
  </si>
  <si>
    <t>inox 304L</t>
  </si>
  <si>
    <t>IND</t>
  </si>
  <si>
    <t>90162700-LTM</t>
  </si>
  <si>
    <t>12*25*61</t>
  </si>
  <si>
    <t>bague epaule</t>
  </si>
  <si>
    <t>4571 embout porte rotule</t>
  </si>
  <si>
    <r>
      <rPr>
        <sz val="11"/>
        <color theme="1"/>
        <rFont val="Times New Roman"/>
        <family val="1"/>
      </rPr>
      <t>Ø</t>
    </r>
    <r>
      <rPr>
        <sz val="11"/>
        <color theme="1"/>
        <rFont val="Calibri"/>
        <family val="2"/>
      </rPr>
      <t>40</t>
    </r>
  </si>
  <si>
    <t>hex</t>
  </si>
  <si>
    <t>G001</t>
  </si>
  <si>
    <t>goujon l 160</t>
  </si>
  <si>
    <t>acier E24-2</t>
  </si>
  <si>
    <t>10,5*25*75 LTM</t>
  </si>
  <si>
    <t>G005</t>
  </si>
  <si>
    <t>ACIER E24-2</t>
  </si>
  <si>
    <t>I097</t>
  </si>
  <si>
    <t>ECROU DE ROUE FORD</t>
  </si>
  <si>
    <t>G002</t>
  </si>
  <si>
    <t>ACIER C35</t>
  </si>
  <si>
    <t>G007</t>
  </si>
  <si>
    <t>BROCHE 180</t>
  </si>
  <si>
    <t>BROCHE L 180</t>
  </si>
  <si>
    <t xml:space="preserve"> ECROU H17 LG5 Goujon de 11 AV G002-CP4</t>
  </si>
  <si>
    <t xml:space="preserve"> ECROU H19 LG5 Goujon de 11 AV </t>
  </si>
  <si>
    <t>PIG-24DENTS</t>
  </si>
  <si>
    <t>axe soudeé D16,2 LG218 pour pignon</t>
  </si>
  <si>
    <t>c45</t>
  </si>
  <si>
    <t>ecrou h19 lg13,5 goujon de 11 AV</t>
  </si>
  <si>
    <t>G001-CP5</t>
  </si>
  <si>
    <t>Bague d16 lg13.5 Goujon de 10 AR</t>
  </si>
  <si>
    <t>BAG14*20*50</t>
  </si>
  <si>
    <t>bague 14*20*50</t>
  </si>
  <si>
    <t>TUBE ACIER</t>
  </si>
  <si>
    <t>14*20</t>
  </si>
  <si>
    <t>bague 14 20 40</t>
  </si>
  <si>
    <t>12*18*50</t>
  </si>
  <si>
    <t>12*18</t>
  </si>
  <si>
    <t xml:space="preserve">bague 14 18 32 </t>
  </si>
  <si>
    <t>14*18</t>
  </si>
  <si>
    <t>OUI</t>
  </si>
  <si>
    <t>14*18*32-BIGLIA</t>
  </si>
  <si>
    <t>18/2</t>
  </si>
  <si>
    <t>CHCHEMISE014JCN</t>
  </si>
  <si>
    <t xml:space="preserve">Ecrou M16-1.5 L18 hex19 </t>
  </si>
  <si>
    <t>BOUCHON</t>
  </si>
  <si>
    <t>PLASTIQUE</t>
  </si>
  <si>
    <t>echantillion</t>
  </si>
  <si>
    <t>echantillion ETG100Ø8.2</t>
  </si>
  <si>
    <t>ETG100</t>
  </si>
  <si>
    <t>BOULE</t>
  </si>
  <si>
    <t>aluminium</t>
  </si>
  <si>
    <t>NV</t>
  </si>
  <si>
    <t>MAR</t>
  </si>
  <si>
    <t>GOUJON Ø 28 lg59</t>
  </si>
  <si>
    <t>8*64,5</t>
  </si>
  <si>
    <t>INOX 303</t>
  </si>
  <si>
    <t>LISTE MISE A JOUR</t>
  </si>
  <si>
    <t>16x12x15.4</t>
  </si>
  <si>
    <t>S300PB</t>
  </si>
  <si>
    <t>NON</t>
  </si>
  <si>
    <t>tube</t>
  </si>
  <si>
    <t>10*16</t>
  </si>
  <si>
    <t>laiton</t>
  </si>
  <si>
    <t>HEX</t>
  </si>
  <si>
    <t xml:space="preserve">Boite T140 sans taraudage </t>
  </si>
  <si>
    <t xml:space="preserve">ecrou de fusée  </t>
  </si>
  <si>
    <t xml:space="preserve">Bague D14 Lg14.1 </t>
  </si>
  <si>
    <t xml:space="preserve">Tube acier </t>
  </si>
  <si>
    <t>raccord isuzu</t>
  </si>
  <si>
    <t>retaraudage : 300</t>
  </si>
  <si>
    <r>
      <t xml:space="preserve">chanfrein </t>
    </r>
    <r>
      <rPr>
        <sz val="11"/>
        <color theme="1"/>
        <rFont val="Calibri"/>
        <family val="2"/>
      </rPr>
      <t xml:space="preserve">Ø6.2 : </t>
    </r>
    <r>
      <rPr>
        <sz val="11"/>
        <color theme="1"/>
        <rFont val="Calibri"/>
        <family val="2"/>
        <scheme val="minor"/>
      </rPr>
      <t>700</t>
    </r>
  </si>
  <si>
    <t>E24-2</t>
  </si>
  <si>
    <t>Téton : 350</t>
  </si>
  <si>
    <t>Roulage : 400</t>
  </si>
  <si>
    <t>8-12 15</t>
  </si>
  <si>
    <t>ETIREE</t>
  </si>
  <si>
    <t>12*9</t>
  </si>
  <si>
    <t>B001-CP1</t>
  </si>
  <si>
    <t>ETIREE E24-2</t>
  </si>
  <si>
    <t>roulage : 350</t>
  </si>
  <si>
    <t>Filetage : 100</t>
  </si>
  <si>
    <t>300 : presse</t>
  </si>
  <si>
    <t>Filetage : 350</t>
  </si>
  <si>
    <t>teton : 400</t>
  </si>
  <si>
    <t xml:space="preserve"> fente : 300</t>
  </si>
  <si>
    <t>chanfrein : 350</t>
  </si>
  <si>
    <t>I139-cp</t>
  </si>
  <si>
    <t>0-5223</t>
  </si>
  <si>
    <t>taraudage : 300</t>
  </si>
  <si>
    <t>FO008-CP3</t>
  </si>
  <si>
    <t>roulage : 300</t>
  </si>
  <si>
    <t>0-55 94</t>
  </si>
  <si>
    <t>Bague CIS</t>
  </si>
  <si>
    <t xml:space="preserve"> 12.7x10.4x7.3</t>
  </si>
  <si>
    <t>G002+G007</t>
  </si>
  <si>
    <t>G022-cp2</t>
  </si>
  <si>
    <t>0-5014</t>
  </si>
  <si>
    <t>taraudage :300</t>
  </si>
  <si>
    <t>ECROU</t>
  </si>
  <si>
    <t>59 47</t>
  </si>
  <si>
    <t>4-7618-1</t>
  </si>
  <si>
    <t>Bague 20x28x105</t>
  </si>
  <si>
    <t>71 51</t>
  </si>
  <si>
    <t>I044-CP1</t>
  </si>
  <si>
    <t>Bague ext silent bloc triangle inférieur</t>
  </si>
  <si>
    <t>I027</t>
  </si>
  <si>
    <t>63*51</t>
  </si>
  <si>
    <t xml:space="preserve"> 10x14x102</t>
  </si>
  <si>
    <t>TUBE</t>
  </si>
  <si>
    <r>
      <t>B55*6*14,8</t>
    </r>
    <r>
      <rPr>
        <sz val="11"/>
        <color theme="1"/>
        <rFont val="Calibri"/>
        <family val="2"/>
      </rPr>
      <t>Ø</t>
    </r>
    <r>
      <rPr>
        <sz val="8.25"/>
        <color theme="1"/>
        <rFont val="Calibri"/>
        <family val="2"/>
      </rPr>
      <t>6</t>
    </r>
  </si>
  <si>
    <t>12,75x8,5x28,27</t>
  </si>
  <si>
    <t>Bague galvanisée 12,75x8,5x28,27</t>
  </si>
  <si>
    <t>hex 16</t>
  </si>
  <si>
    <t>Boule D18,4</t>
  </si>
  <si>
    <t>Ø19</t>
  </si>
  <si>
    <t>TVRC 100</t>
  </si>
  <si>
    <t>ROND</t>
  </si>
  <si>
    <t>F043-CP1</t>
  </si>
  <si>
    <t>29*22</t>
  </si>
  <si>
    <t>axe M8-droit</t>
  </si>
  <si>
    <t>axe M8 x 1,25</t>
  </si>
  <si>
    <t>D27</t>
  </si>
  <si>
    <t>oui</t>
  </si>
  <si>
    <t>POM C NOIR</t>
  </si>
  <si>
    <t>D40</t>
  </si>
  <si>
    <t>Non</t>
  </si>
  <si>
    <t>D22</t>
  </si>
  <si>
    <t>F042-L32</t>
  </si>
  <si>
    <t xml:space="preserve"> NECESSAIRE AXE RESSORT FIAT 110 AR</t>
  </si>
  <si>
    <t>D24</t>
  </si>
  <si>
    <t>F042-BIGLIA</t>
  </si>
  <si>
    <t xml:space="preserve"> NECESSAIRE AXE RESSORT         FIAT 110 AR</t>
  </si>
  <si>
    <t>D12</t>
  </si>
  <si>
    <t>D26</t>
  </si>
  <si>
    <t>I006</t>
  </si>
  <si>
    <t>cal suspension PM ISUZU</t>
  </si>
  <si>
    <t>D30</t>
  </si>
  <si>
    <t>10*14</t>
  </si>
  <si>
    <t>4-8362-1</t>
  </si>
  <si>
    <t>D14</t>
  </si>
  <si>
    <t>D20</t>
  </si>
  <si>
    <t>4-7283</t>
  </si>
  <si>
    <t>0-5044-1</t>
  </si>
  <si>
    <t>D18</t>
  </si>
  <si>
    <t>0-4252-1</t>
  </si>
  <si>
    <t>0-5740-1</t>
  </si>
  <si>
    <t>0-5594-1</t>
  </si>
  <si>
    <t>bague galvanisée  14x20x36</t>
  </si>
  <si>
    <t>4-7844-1</t>
  </si>
  <si>
    <t>bague galvanisée 12x18x50</t>
  </si>
  <si>
    <t>non</t>
  </si>
  <si>
    <t>4-8688</t>
  </si>
  <si>
    <t>17</t>
  </si>
  <si>
    <t>90</t>
  </si>
  <si>
    <t>42</t>
  </si>
  <si>
    <t>120</t>
  </si>
  <si>
    <t>R006-cp1</t>
  </si>
  <si>
    <t>10</t>
  </si>
  <si>
    <t>12</t>
  </si>
  <si>
    <t>14</t>
  </si>
  <si>
    <t>E24-2(A37Pb)</t>
  </si>
  <si>
    <t>19</t>
  </si>
  <si>
    <t>50</t>
  </si>
  <si>
    <t>emboutissage</t>
  </si>
  <si>
    <t>taraudage</t>
  </si>
  <si>
    <t xml:space="preserve">montage chapeau </t>
  </si>
  <si>
    <t>assertissage</t>
  </si>
  <si>
    <t>80</t>
  </si>
  <si>
    <t>D16</t>
  </si>
  <si>
    <t>35</t>
  </si>
  <si>
    <t>tube étirée</t>
  </si>
  <si>
    <t>16*14</t>
  </si>
  <si>
    <t>45</t>
  </si>
  <si>
    <t>651525</t>
  </si>
  <si>
    <t>D25</t>
  </si>
  <si>
    <t>22</t>
  </si>
  <si>
    <t>10*18</t>
  </si>
  <si>
    <t>16*28</t>
  </si>
  <si>
    <t>12*22</t>
  </si>
  <si>
    <t>18*10</t>
  </si>
  <si>
    <t>4-8405</t>
  </si>
  <si>
    <t>16*27</t>
  </si>
  <si>
    <t>18*14</t>
  </si>
  <si>
    <t>12*16</t>
  </si>
  <si>
    <t>27*14,4</t>
  </si>
  <si>
    <t>22*14</t>
  </si>
  <si>
    <t>16*12</t>
  </si>
  <si>
    <t>22*18</t>
  </si>
  <si>
    <t>9*12</t>
  </si>
  <si>
    <t>20*12</t>
  </si>
  <si>
    <t>90122200</t>
  </si>
  <si>
    <t xml:space="preserve">oui </t>
  </si>
  <si>
    <t>0-5177-1</t>
  </si>
  <si>
    <t>D10</t>
  </si>
  <si>
    <t>Bague galvanisée 10x16x38</t>
  </si>
  <si>
    <t>20*26</t>
  </si>
  <si>
    <t>28*30</t>
  </si>
  <si>
    <t>16*20</t>
  </si>
  <si>
    <t>12x11x9,5</t>
  </si>
  <si>
    <t>d12</t>
  </si>
  <si>
    <t>181270</t>
  </si>
  <si>
    <t>Tube</t>
  </si>
  <si>
    <t>37*43.2</t>
  </si>
  <si>
    <t>12*20</t>
  </si>
  <si>
    <t>D11.5</t>
  </si>
  <si>
    <t>4-7525-1</t>
  </si>
  <si>
    <t>25.2*32</t>
  </si>
  <si>
    <t>INSERT D6</t>
  </si>
  <si>
    <t>D6</t>
  </si>
  <si>
    <t>Rond</t>
  </si>
  <si>
    <t>PIG234-28dents</t>
  </si>
  <si>
    <t>Acier S300PB</t>
  </si>
  <si>
    <t>FAN OUT 5</t>
  </si>
  <si>
    <t>D8</t>
  </si>
  <si>
    <t>Part A</t>
  </si>
  <si>
    <t>Part B</t>
  </si>
  <si>
    <t>Bouchon fan out 72</t>
  </si>
  <si>
    <t>ALBOS06100L08</t>
  </si>
  <si>
    <t>inox</t>
  </si>
  <si>
    <t xml:space="preserve"> L=236-24DENTS avec graisseur </t>
  </si>
  <si>
    <t xml:space="preserve">PIGNON SOUDE L=236-24DENTS avec graisseur </t>
  </si>
  <si>
    <t>Bague acier 13x12x10.5</t>
  </si>
  <si>
    <t>AT50</t>
  </si>
  <si>
    <t>INSERT M10</t>
  </si>
  <si>
    <t>G022-CP1</t>
  </si>
  <si>
    <t>C35R</t>
  </si>
  <si>
    <t>taraudage : 350</t>
  </si>
  <si>
    <t>taraudage : 400</t>
  </si>
  <si>
    <t>PIG-24dents</t>
  </si>
  <si>
    <t>PIG-28dents</t>
  </si>
  <si>
    <t>inox 430F</t>
  </si>
  <si>
    <t>ECROU HEXAGON + MULTI</t>
  </si>
  <si>
    <t>INOX 304L</t>
  </si>
  <si>
    <t xml:space="preserve">acier E24-2 </t>
  </si>
  <si>
    <t xml:space="preserve">PERNO DISINNESTO RULLO </t>
  </si>
  <si>
    <t>POM NOIR</t>
  </si>
  <si>
    <t>ALBLO021018</t>
  </si>
  <si>
    <t>ALBLO021018-HARDING</t>
  </si>
  <si>
    <t>200505-0F</t>
  </si>
  <si>
    <t>POMC BLANC</t>
  </si>
  <si>
    <t>Clamping ring 240Fo</t>
  </si>
  <si>
    <t>OTT-172-L32</t>
  </si>
  <si>
    <t>Clamping ring 360Fo</t>
  </si>
  <si>
    <t>DE-10144</t>
  </si>
  <si>
    <t>SFM10048</t>
  </si>
  <si>
    <t>INSERT R 171</t>
  </si>
  <si>
    <t>OTT-169</t>
  </si>
  <si>
    <t>107264-L</t>
  </si>
  <si>
    <t>prix unitaire total 0.500</t>
  </si>
  <si>
    <t>PT8667</t>
  </si>
  <si>
    <t>INSERTO MANOPOLA</t>
  </si>
  <si>
    <t>INOX 304 AMELIORE</t>
  </si>
  <si>
    <t>rouleuse : 350/350</t>
  </si>
  <si>
    <t>carré</t>
  </si>
  <si>
    <t>PERNO AGGANCIO</t>
  </si>
  <si>
    <t>INSERT R171</t>
  </si>
  <si>
    <t>AXE BELIMO</t>
  </si>
  <si>
    <t>QAB 16*18-D20 BP</t>
  </si>
  <si>
    <t>QA 10*12-D15 BP HT</t>
  </si>
  <si>
    <t>GOUJON</t>
  </si>
  <si>
    <t>E1PM953S111891</t>
  </si>
  <si>
    <t>EMBOUT</t>
  </si>
  <si>
    <t>PRESSEUR 29mm</t>
  </si>
  <si>
    <t>PRESSEUR 29 mm</t>
  </si>
  <si>
    <t xml:space="preserve"> PRESSEUR 19.6mm</t>
  </si>
  <si>
    <t xml:space="preserve"> PRESSEUR 19.6 mm</t>
  </si>
  <si>
    <t>K0081</t>
  </si>
  <si>
    <t>Douille de réservoir</t>
  </si>
  <si>
    <t>SUPPORT CIBLE</t>
  </si>
  <si>
    <t>INOX L303</t>
  </si>
  <si>
    <t>CARRE</t>
  </si>
  <si>
    <t>INSERT  M10</t>
  </si>
  <si>
    <t>INSERT  X204</t>
  </si>
  <si>
    <t>301-603-005-CP2</t>
  </si>
  <si>
    <t>POM C NOIR D30 ou D40</t>
  </si>
  <si>
    <t xml:space="preserve">Rond </t>
  </si>
  <si>
    <t>ECROU M12*1,25</t>
  </si>
  <si>
    <t>bague int silent bloc 14 18 68.5</t>
  </si>
  <si>
    <t xml:space="preserve">ECROU H19 LG13,5 GOUJON DE 11 AV  </t>
  </si>
  <si>
    <t>goujon de 14 NM</t>
  </si>
  <si>
    <t>T-Rm200</t>
  </si>
  <si>
    <t>bague 16x20x45</t>
  </si>
  <si>
    <t>0-4236</t>
  </si>
  <si>
    <t>4-79 35</t>
  </si>
  <si>
    <t xml:space="preserve"> Bague 10x18x55</t>
  </si>
  <si>
    <t>bague 14x18x40</t>
  </si>
  <si>
    <t>0-4232</t>
  </si>
  <si>
    <t>bague 14x18x50</t>
  </si>
  <si>
    <t>échantillon</t>
  </si>
  <si>
    <t>ECR M14*1,5</t>
  </si>
  <si>
    <t>16*22</t>
  </si>
  <si>
    <t>I143-DECOL</t>
  </si>
  <si>
    <t>30*38</t>
  </si>
  <si>
    <t>RAC-F113</t>
  </si>
  <si>
    <t>14*18*50</t>
  </si>
  <si>
    <t>30*38*21</t>
  </si>
  <si>
    <t>bague galvanise 14*22*63</t>
  </si>
  <si>
    <t>14*22</t>
  </si>
  <si>
    <t>20*28</t>
  </si>
  <si>
    <t>28*24*30</t>
  </si>
  <si>
    <t>12*23</t>
  </si>
  <si>
    <t xml:space="preserve">non </t>
  </si>
  <si>
    <t xml:space="preserve">OUI </t>
  </si>
  <si>
    <t>4-7423-1</t>
  </si>
  <si>
    <t>mim</t>
  </si>
  <si>
    <t>14*30</t>
  </si>
  <si>
    <t>18*12</t>
  </si>
  <si>
    <t>Cadence réelle</t>
  </si>
  <si>
    <t>Cadence chiffrée</t>
  </si>
  <si>
    <t>PIECE DECOLLETE TUBE DEAU MIT PROD</t>
  </si>
  <si>
    <t>MI022-CP3-PROD</t>
  </si>
  <si>
    <t>FANOUT FOR 36FO JENOPTEC-CP2</t>
  </si>
  <si>
    <t>301-603-011-CP2</t>
  </si>
  <si>
    <t>FIXATION SUPERIEUR VIS</t>
  </si>
  <si>
    <t>TIRANT ACIER D6</t>
  </si>
  <si>
    <t>Bague aluminium 14.4*27*58.6</t>
  </si>
  <si>
    <t>4-8109</t>
  </si>
  <si>
    <t>GOUJON M12*1.5 L=56</t>
  </si>
  <si>
    <t>G017</t>
  </si>
  <si>
    <t>2018110-01</t>
  </si>
  <si>
    <t>Bague Galvanisée 25,2*32*44</t>
  </si>
  <si>
    <t>2018013-01</t>
  </si>
  <si>
    <t>Bague Galvanisée 20*28*105</t>
  </si>
  <si>
    <t>2018012-01</t>
  </si>
  <si>
    <t>INSERTO MANOPOLA  INOX M8</t>
  </si>
  <si>
    <t>AXE MALE V02</t>
  </si>
  <si>
    <t>2018106-02-01</t>
  </si>
  <si>
    <t>AXE AVEC INSERT INTEGRES</t>
  </si>
  <si>
    <t>GOUJON DE ROUE MAZDA</t>
  </si>
  <si>
    <t>Anneau Brute 30*38*27</t>
  </si>
  <si>
    <t>RIVET MECANISME D6</t>
  </si>
  <si>
    <t>T-RM200</t>
  </si>
  <si>
    <t>Bague aluminium 14.4*24*40</t>
  </si>
  <si>
    <t>4-7828</t>
  </si>
  <si>
    <t xml:space="preserve">AXE LEVIER PORTE </t>
  </si>
  <si>
    <t>Arrêt</t>
  </si>
  <si>
    <t>FANOUT FOR 72FO JENOPTEC-CP3</t>
  </si>
  <si>
    <t>901-609-001-CP3</t>
  </si>
  <si>
    <t>AXE FEMELLE M8X55</t>
  </si>
  <si>
    <t>2018106-02-02</t>
  </si>
  <si>
    <t>0 - 4252 - 1</t>
  </si>
  <si>
    <t>Bague Galvanisée 12*20*38</t>
  </si>
  <si>
    <t>0-6281-1</t>
  </si>
  <si>
    <t>Bague Galvanisée 16*28*66</t>
  </si>
  <si>
    <t>FANOUT FOR 36FO JENOPTEC-CP1</t>
  </si>
  <si>
    <t>301-603-011-CP1</t>
  </si>
  <si>
    <t>BAGUE GALVANISEE 10*16*80</t>
  </si>
  <si>
    <t>AXE LISSE D8</t>
  </si>
  <si>
    <t>Tz36000005388</t>
  </si>
  <si>
    <t>BAGUE BOUGIE CULASSE</t>
  </si>
  <si>
    <t>Bague Galvaniée 12.2*20*50</t>
  </si>
  <si>
    <t>0-5191A</t>
  </si>
  <si>
    <t>FANOUT FOR 36FO JENOPTEC-CP3</t>
  </si>
  <si>
    <t>301-603-011-CP3</t>
  </si>
  <si>
    <t xml:space="preserve"> - </t>
  </si>
  <si>
    <t>BAGUE ACIER GALVANISEE 14*10*112</t>
  </si>
  <si>
    <t>AXE ETRIER SUP MITSUBISHI L200(536)</t>
  </si>
  <si>
    <t>MI029</t>
  </si>
  <si>
    <t>BAGUE INT SILENT BLOC RESSORT-CP2 PROD</t>
  </si>
  <si>
    <t>I043-CP2-PROD</t>
  </si>
  <si>
    <t>CAPSULE EN ACIER HEX 19</t>
  </si>
  <si>
    <t>BAGUE INT SILENT BLOC INF-CP2 PROD</t>
  </si>
  <si>
    <t>I044-CP2-PROD</t>
  </si>
  <si>
    <t>Bague Galvanisée 14*20*62</t>
  </si>
  <si>
    <t>AXE DIRECTION ISUZU</t>
  </si>
  <si>
    <t>I059</t>
  </si>
  <si>
    <t>AXE ETRIER MITSUBISHI D21.9 AVEC SOUFFLET-CP1 PROD</t>
  </si>
  <si>
    <t>MI030-CP1-PROD</t>
  </si>
  <si>
    <t>Bague Brute  10*16*5</t>
  </si>
  <si>
    <t>0-3737</t>
  </si>
  <si>
    <t>Bague aluminium 16*27*64</t>
  </si>
  <si>
    <t>CULOT BOUGIE GM EN ACIER PROD</t>
  </si>
  <si>
    <t>D002-AC-PROD</t>
  </si>
  <si>
    <t>Insert Zinguée 14.2*20*48.5</t>
  </si>
  <si>
    <t>14.2x20x48.5</t>
  </si>
  <si>
    <t>Bague Brute  14*20*75</t>
  </si>
  <si>
    <t>0-5615</t>
  </si>
  <si>
    <t>RONDELLE BOUCHON CARTER PROD</t>
  </si>
  <si>
    <t>SB16</t>
  </si>
  <si>
    <t>GOUJON TREMPETTE 404 PROD</t>
  </si>
  <si>
    <t>B003-PROD</t>
  </si>
  <si>
    <t>GOUPILLE TUBE D'EAU PUNTO 2-CP5 PROD</t>
  </si>
  <si>
    <t>F029-CP5</t>
  </si>
  <si>
    <t>AXE TRIANGLE SUSPENSION-CP1 PROD</t>
  </si>
  <si>
    <t>I094-CP1-PROD</t>
  </si>
  <si>
    <t>Bague Galvanisée 12*16*36</t>
  </si>
  <si>
    <t>0-3777-1</t>
  </si>
  <si>
    <t>RACCORD ISUZU PROD</t>
  </si>
  <si>
    <t>RAC-ISUZU</t>
  </si>
  <si>
    <t>BOULON AXE ETRIER MIT-CP2 PROD</t>
  </si>
  <si>
    <t>MI029-030-CP2-PROD</t>
  </si>
  <si>
    <t>VIS DE MOTORISATION FENTS</t>
  </si>
  <si>
    <t>0203-0015</t>
  </si>
  <si>
    <t>Bague Galvanisée 16*20*50</t>
  </si>
  <si>
    <t>0-4238-1</t>
  </si>
  <si>
    <t>Bague Galvanisée 16*22*40</t>
  </si>
  <si>
    <t>4-8449-1</t>
  </si>
  <si>
    <t>ECROU.ROUE TFR CHR-CP1 PRO</t>
  </si>
  <si>
    <t>I137-CP1-PROD</t>
  </si>
  <si>
    <t>AXE MALE L=100</t>
  </si>
  <si>
    <t xml:space="preserve">AXE FEMELLE </t>
  </si>
  <si>
    <t>BAGUE ACIER GALVANISEE 14*10*102</t>
  </si>
  <si>
    <t>14X10X102</t>
  </si>
  <si>
    <t>Bague Galvanisée 9.5*13*24</t>
  </si>
  <si>
    <t>0-3724-1</t>
  </si>
  <si>
    <t>ECROU BRIDE HEX 24 PROD</t>
  </si>
  <si>
    <t>ECROU-H24-PROD</t>
  </si>
  <si>
    <t>BAGUE TUBE DEAU FORD PROD</t>
  </si>
  <si>
    <t>FO012-CP1-PROD</t>
  </si>
  <si>
    <t>AXE MALE EN I</t>
  </si>
  <si>
    <t>2018146-02</t>
  </si>
  <si>
    <t>FUHRUNGSSAULE-D8-90-M4-i-i</t>
  </si>
  <si>
    <t>SAP NR 5-001-46857</t>
  </si>
  <si>
    <t>Bague Brute 16*28*62</t>
  </si>
  <si>
    <t>4-7863</t>
  </si>
  <si>
    <t>BAGUE ZINGUEE 36*40*28</t>
  </si>
  <si>
    <t>36X40X28</t>
  </si>
  <si>
    <t>2018051-01</t>
  </si>
  <si>
    <t>AXE MALE-001</t>
  </si>
  <si>
    <t>2018122-03</t>
  </si>
  <si>
    <t>AXE LAITON Ø10.2*41.3</t>
  </si>
  <si>
    <t>AXE-LAIT 10.2X41.3</t>
  </si>
  <si>
    <t>BAGUE INT SILENT BLOC MITSUBISHI PROD</t>
  </si>
  <si>
    <t>MI031-CP1-PROD</t>
  </si>
  <si>
    <t>Bague Galvanisée 16*22*38</t>
  </si>
  <si>
    <t>4-7494-1</t>
  </si>
  <si>
    <t>RACCORD F110 PROD</t>
  </si>
  <si>
    <t>RAC-F110</t>
  </si>
  <si>
    <t>Vis imperdable</t>
  </si>
  <si>
    <t>Vis-imperdable</t>
  </si>
  <si>
    <t>BAGUE ALU 18*27*43</t>
  </si>
  <si>
    <t>18X27X43</t>
  </si>
  <si>
    <t>Bague Galvanisée 14*20*36</t>
  </si>
  <si>
    <t>I110-01-004-PROD</t>
  </si>
  <si>
    <t>Bague Galvanisée 10*16*102</t>
  </si>
  <si>
    <t>0-3762-1</t>
  </si>
  <si>
    <t>GOUJON DE ROUE HYUNDAI H100</t>
  </si>
  <si>
    <t>INSERTO ESAG.M6 8*6</t>
  </si>
  <si>
    <t>PERNO DISINNESTO RULLO G16922290 laiton d7</t>
  </si>
  <si>
    <t>DECOUPAGE AXE 100 INOX D8 L60</t>
  </si>
  <si>
    <t>AXE-IN-D8-L60</t>
  </si>
  <si>
    <t>FAN OUT JENOPTEC 12FO</t>
  </si>
  <si>
    <t>301-603-009</t>
  </si>
  <si>
    <t>AXE 140 INOX D8 L66 140/76</t>
  </si>
  <si>
    <t>AXE-IN-D8-L66</t>
  </si>
  <si>
    <t>GOUJON M14*1.5 L=52 NON FRAISEE PROD</t>
  </si>
  <si>
    <t>G028-PROD</t>
  </si>
  <si>
    <t>INSERT LEVIER PROD charioté</t>
  </si>
  <si>
    <t>ECROU DE ROUE NISSAN PM</t>
  </si>
  <si>
    <t>NIS001</t>
  </si>
  <si>
    <t>BUTEE INTERNE METALLIQUE</t>
  </si>
  <si>
    <t>BAGUE EPAULEE 14*20*60</t>
  </si>
  <si>
    <t>RONDELLE INOX 304 D14</t>
  </si>
  <si>
    <t>ROND-IN-D14</t>
  </si>
  <si>
    <t>BAGUE DU FIXATION  D25 PROD</t>
  </si>
  <si>
    <t>895700-D25-PROD</t>
  </si>
  <si>
    <t>pignon simple etage fraisage</t>
  </si>
  <si>
    <t>chq 20 min / 40pcs</t>
  </si>
  <si>
    <t>ECROU 85-85B reprise</t>
  </si>
  <si>
    <t>020DECO0006</t>
  </si>
  <si>
    <t>BOULON D'ASSEMBLAGE PROD</t>
  </si>
  <si>
    <t>AXE DE FREIN OM40 PROD</t>
  </si>
  <si>
    <t>M030-PROD</t>
  </si>
  <si>
    <t>Bague Galvanisée 10*18*50</t>
  </si>
  <si>
    <t>0-5332-1</t>
  </si>
  <si>
    <t>BAGUE D32*22 L=21</t>
  </si>
  <si>
    <t>G011</t>
  </si>
  <si>
    <t>CHARNIERE DE PORTE ISUZU D/B NON COUPEE - 894155315</t>
  </si>
  <si>
    <t>I078</t>
  </si>
  <si>
    <t>RONDELLE INOX 304 D12</t>
  </si>
  <si>
    <t>ROND-IN-D12</t>
  </si>
  <si>
    <t>MI013-CP1</t>
  </si>
  <si>
    <t>AXE L=124mm JEMELLE FORD PROD</t>
  </si>
  <si>
    <t>FO021-CP2</t>
  </si>
  <si>
    <t xml:space="preserve">AXE GM JUMELLE MITSUBITCHI </t>
  </si>
  <si>
    <t>ECROU FUSEE OM40</t>
  </si>
  <si>
    <t>M023</t>
  </si>
  <si>
    <t>BAGUE 18*14.5*68</t>
  </si>
  <si>
    <t>BAG 18x14.5</t>
  </si>
  <si>
    <t>BAGUE ALU 14.5*27*42</t>
  </si>
  <si>
    <t>14.5x27x42</t>
  </si>
  <si>
    <t>BOSSAGE 3/8G D35 L40 COUDE A 90°</t>
  </si>
  <si>
    <t>ALBOS3/8D35L40C</t>
  </si>
  <si>
    <t xml:space="preserve">ECROU 85-85B reprise chanfrien </t>
  </si>
  <si>
    <t>020DECO0006- chanfrien</t>
  </si>
  <si>
    <t>GOUJON HILUX-PROD</t>
  </si>
  <si>
    <t>TO008-PROD</t>
  </si>
  <si>
    <t>AXE 90 INOX D7</t>
  </si>
  <si>
    <t>AXE-IN-D7</t>
  </si>
  <si>
    <t>Bague Galvanisée 16*22*41</t>
  </si>
  <si>
    <t>0-5899-1</t>
  </si>
  <si>
    <t>Bague Galvanisée 10*18*60</t>
  </si>
  <si>
    <t>4-7608-1</t>
  </si>
  <si>
    <t>GOUJON LONCLUSER AV ET AR-PROD</t>
  </si>
  <si>
    <t>TO009-PROD</t>
  </si>
  <si>
    <t>CHEMISE 440 DIN</t>
  </si>
  <si>
    <t>040DECO0032</t>
  </si>
  <si>
    <t>Bague aluminium 14.4*24*40 biglia</t>
  </si>
  <si>
    <t>Bague Galvanisée 10*16*45</t>
  </si>
  <si>
    <t>BAGUE BUTEE INTERNE 12</t>
  </si>
  <si>
    <t>4-7171</t>
  </si>
  <si>
    <t>RIVET TVRC 100</t>
  </si>
  <si>
    <t>FANOUT FOR 36FO JENOPTEC-CP3 Biglia</t>
  </si>
  <si>
    <t>Bague Galvanisée 10*16*36</t>
  </si>
  <si>
    <t>0-3746-1</t>
  </si>
  <si>
    <t>RIVET TVRC 100-Multibroche</t>
  </si>
  <si>
    <t>Bague Galvanisée 12*18*32</t>
  </si>
  <si>
    <t>4-7029-1</t>
  </si>
  <si>
    <t>Bague aluminium 14.4*27*42</t>
  </si>
  <si>
    <t>BAGUE ACIER NECESSAIRE-CP1 PROD</t>
  </si>
  <si>
    <t>m020-cp1</t>
  </si>
  <si>
    <t>QUADRO 10*60 AVP-AXE ACIER</t>
  </si>
  <si>
    <t>TIGE INOX</t>
  </si>
  <si>
    <t>TIGE-INOX</t>
  </si>
  <si>
    <t>INSERT POUR FOURCHETTE FORME D</t>
  </si>
  <si>
    <t>Bague Galvanisée 20*26*62</t>
  </si>
  <si>
    <t>4-7564-1</t>
  </si>
  <si>
    <t>BROCHE ACIER D13 ZINGUE L180</t>
  </si>
  <si>
    <t>BROCH L 180</t>
  </si>
  <si>
    <t>ECROU BIELLE DIRECTION DROITE</t>
  </si>
  <si>
    <t>I113</t>
  </si>
  <si>
    <t>BOUCHON ALUMINIUM D38</t>
  </si>
  <si>
    <t>BOUCH-ALU-D38</t>
  </si>
  <si>
    <t>ECROU HEX 17</t>
  </si>
  <si>
    <t>TIGE-D10-M8</t>
  </si>
  <si>
    <t>2018021-01-01</t>
  </si>
  <si>
    <t>TIGE M4 AVEC ECROU</t>
  </si>
  <si>
    <t>TIGE M4</t>
  </si>
  <si>
    <t>M024</t>
  </si>
  <si>
    <t>ECROU VIS PONT AR OM40 nakamurah</t>
  </si>
  <si>
    <t>TIGE M6 AVEC ECROU</t>
  </si>
  <si>
    <t>TIGE M6</t>
  </si>
  <si>
    <t>CORDGRIP M20 FOR PRIMARY FANOUT biglia</t>
  </si>
  <si>
    <t>CORDGRIP M20 FOR PRIMARY FANOUT L32</t>
  </si>
  <si>
    <t>301-601-002</t>
  </si>
  <si>
    <t>BAGUE ECHAPPEMENT ISUZU</t>
  </si>
  <si>
    <t>I056</t>
  </si>
  <si>
    <t>BAGUE HEXAGONE TARAUDEE M16*150</t>
  </si>
  <si>
    <t xml:space="preserve">ECROU M12x125 ROULEMENT CENTRE FASTER 10 CV </t>
  </si>
  <si>
    <t>I158-CP7</t>
  </si>
  <si>
    <t>FORME D 40</t>
  </si>
  <si>
    <t>2018021-01-40</t>
  </si>
  <si>
    <t>FORME D 30</t>
  </si>
  <si>
    <t>2018021-01-30</t>
  </si>
  <si>
    <t>BOUCHON DE VIDANGE 404</t>
  </si>
  <si>
    <t>B085</t>
  </si>
  <si>
    <t>A001</t>
  </si>
  <si>
    <t>TUBE PM TUBE D'EAU 404</t>
  </si>
  <si>
    <t>B070-CP2</t>
  </si>
  <si>
    <t>CHEMISE 840-450 DIN</t>
  </si>
  <si>
    <t xml:space="preserve">040DECO0015- nak </t>
  </si>
  <si>
    <t>TIGED8-M6</t>
  </si>
  <si>
    <t>2018069-01</t>
  </si>
  <si>
    <t>AXE FOURCHETTE</t>
  </si>
  <si>
    <t>19037-1</t>
  </si>
  <si>
    <t>fo014</t>
  </si>
  <si>
    <t xml:space="preserve">AXE D'ARTICULATION </t>
  </si>
  <si>
    <t>Bague Galvanisée 10*16*18</t>
  </si>
  <si>
    <t>0-6258-1</t>
  </si>
  <si>
    <t>ECROU DEMI CARTER ISUZU</t>
  </si>
  <si>
    <t>I096-CP2</t>
  </si>
  <si>
    <t>Anneau Brute 28*38*40</t>
  </si>
  <si>
    <t>0-3879</t>
  </si>
  <si>
    <t>4-7971</t>
  </si>
  <si>
    <t>armature intérieure-MULTI</t>
  </si>
  <si>
    <t>INSERT LAITON D9 à 90°</t>
  </si>
  <si>
    <t>INSERT D9 à 90°</t>
  </si>
  <si>
    <t>Bague Galvanisée  10*14*5</t>
  </si>
  <si>
    <t>0-6323-1</t>
  </si>
  <si>
    <t>Bague Galvanisée 25,2*32*40</t>
  </si>
  <si>
    <t>BAGUE EXT SILENT BLOC FORD BT50</t>
  </si>
  <si>
    <t>FO020-CP1</t>
  </si>
  <si>
    <t>VIS DE PLOMBAGE --D</t>
  </si>
  <si>
    <t>IN-304-D14</t>
  </si>
  <si>
    <t>253156702</t>
  </si>
  <si>
    <t>BAGUE INT SILENT BLOC FORD BT50</t>
  </si>
  <si>
    <t>FO020-CP2</t>
  </si>
  <si>
    <t>Bague Galvanisée 20*26*55</t>
  </si>
  <si>
    <t>4-7882-1</t>
  </si>
  <si>
    <t>Bague aluminium epaulee 14.4*27*55</t>
  </si>
  <si>
    <t>020DECO0004</t>
  </si>
  <si>
    <t xml:space="preserve">ECROU 430-440 DECOLLETE- nak </t>
  </si>
  <si>
    <t>BAGUE D12*D8.3*10.4</t>
  </si>
  <si>
    <t>T1201-1000-040</t>
  </si>
  <si>
    <t>BAGUE D12*D8.3*D3.6</t>
  </si>
  <si>
    <t>T1201-1000-030</t>
  </si>
  <si>
    <t>BAGUE RIVET COUVERCLE T80</t>
  </si>
  <si>
    <t>BAG-T80</t>
  </si>
  <si>
    <t>ECROU FUSEE 404 PROD</t>
  </si>
  <si>
    <t>B012-PROD</t>
  </si>
  <si>
    <t>INSERT LAITON D9  à120°</t>
  </si>
  <si>
    <t>INSERT D9 à120°</t>
  </si>
  <si>
    <t>CHEMISE 82US-43BUS PF01245B- biglia mjm</t>
  </si>
  <si>
    <t>040DECO0009</t>
  </si>
  <si>
    <t>Bague Galvanisée 12*20*45,5</t>
  </si>
  <si>
    <t>0-5940-1</t>
  </si>
  <si>
    <t>Bague Galvanisée 10*18*45</t>
  </si>
  <si>
    <t>0-6009-1</t>
  </si>
  <si>
    <t>BOUCHON INOX D8.1 140X76X3</t>
  </si>
  <si>
    <t>BCH-IN-D8.1</t>
  </si>
  <si>
    <t>BAGUE LAITON 13*8.5*12</t>
  </si>
  <si>
    <t>13x8.5x12</t>
  </si>
  <si>
    <t>BAGUE DE CENTRAGE D20</t>
  </si>
  <si>
    <t>AXE INOX 303</t>
  </si>
  <si>
    <t>500-1-46933</t>
  </si>
  <si>
    <t>BAGUE ACIER 12*9*11</t>
  </si>
  <si>
    <t>12x9x11</t>
  </si>
  <si>
    <t>Anneau FX 25.2*32*21</t>
  </si>
  <si>
    <t>0-4180</t>
  </si>
  <si>
    <t>SEAL RING STRAIN RELIEF</t>
  </si>
  <si>
    <t>DPA-00369114</t>
  </si>
  <si>
    <t>AXE 100x8-M4</t>
  </si>
  <si>
    <t>ECROU 430-440 DECOLLETE- nak PH2</t>
  </si>
  <si>
    <t>BAGUE  GALVANISEE 16X11X4</t>
  </si>
  <si>
    <t>G022-CP5</t>
  </si>
  <si>
    <t xml:space="preserve">FC FOURCHETTE </t>
  </si>
  <si>
    <t>19087-1-1</t>
  </si>
  <si>
    <t>INSERT  MOLETE LAITON D6-90-CP1</t>
  </si>
  <si>
    <t>INSERT D6-90-CP1</t>
  </si>
  <si>
    <t>SUPPORT VENTOUSE L75</t>
  </si>
  <si>
    <t>SUPPORT-VENT-L75</t>
  </si>
  <si>
    <t>ECROU HEX 19 LG16.4</t>
  </si>
  <si>
    <t>G022-CP4</t>
  </si>
  <si>
    <t>PIECE CARRE DE 7</t>
  </si>
  <si>
    <t>PIECE-CARRE-7</t>
  </si>
  <si>
    <t>Bague Galvanisée 16*20*38</t>
  </si>
  <si>
    <t>0-4236-1</t>
  </si>
  <si>
    <t>BOUCHON INOX D7.9 140X76X3</t>
  </si>
  <si>
    <t>BCH-IN-D7.9</t>
  </si>
  <si>
    <t>4-7135</t>
  </si>
  <si>
    <t>Bague Brute 25.2*32*24.8</t>
  </si>
  <si>
    <t>4-7575</t>
  </si>
  <si>
    <t>Bague Galvanisée 12*18*35</t>
  </si>
  <si>
    <t>Bague Brute  10*16*7</t>
  </si>
  <si>
    <t>INSERT LAITON D6-120-CP1</t>
  </si>
  <si>
    <t>INSERT D6-120-CP1</t>
  </si>
  <si>
    <t xml:space="preserve">PIECE IMPEREMERIE CAP BON </t>
  </si>
  <si>
    <t xml:space="preserve">PIECE INOX </t>
  </si>
  <si>
    <t>GOUJON COLLECTEUR 404</t>
  </si>
  <si>
    <t>B016</t>
  </si>
  <si>
    <t>sb16</t>
  </si>
  <si>
    <t>BAGUE EN ACIER AXE RESSORT NM+AM OM40</t>
  </si>
  <si>
    <t>M018-28-29-32-CP1</t>
  </si>
  <si>
    <t>Bague Brute 25.2*32*23</t>
  </si>
  <si>
    <t>4-7659</t>
  </si>
  <si>
    <t xml:space="preserve">pf42 ebauche </t>
  </si>
  <si>
    <t>4-7002-1</t>
  </si>
  <si>
    <t>Bague Galvanisée 16*28*100</t>
  </si>
  <si>
    <t>Bague Galvanisée 12*18*44</t>
  </si>
  <si>
    <t>0-6128-1</t>
  </si>
  <si>
    <t>Bague Galvanisée 14*20*38</t>
  </si>
  <si>
    <t>0-5524-1</t>
  </si>
  <si>
    <t>Bague Galvanisée 14*20*5</t>
  </si>
  <si>
    <t>4-8788-1</t>
  </si>
  <si>
    <t>Bague Galvanisée 10*16*35</t>
  </si>
  <si>
    <t>0-3745-1</t>
  </si>
  <si>
    <t>Bague Galvanisée 12*20*46</t>
  </si>
  <si>
    <t>4-7676-1</t>
  </si>
  <si>
    <t>Bague Galvanisée 10*12*31</t>
  </si>
  <si>
    <t>4-8776-1</t>
  </si>
  <si>
    <t xml:space="preserve">BAGUE INT SILENT BLOC MIT </t>
  </si>
  <si>
    <t>MI23-CP2</t>
  </si>
  <si>
    <t>Bague Galvanisée 16*28*62</t>
  </si>
  <si>
    <t>4-8591-1</t>
  </si>
  <si>
    <t>SPINA GRIGIA INOX</t>
  </si>
  <si>
    <t>PI50V0</t>
  </si>
  <si>
    <t xml:space="preserve">MAIN BODY PRIMARY FAN OUT  </t>
  </si>
  <si>
    <t xml:space="preserve">AXE TENDEUR DE 11 </t>
  </si>
  <si>
    <t>AXE-T- D11</t>
  </si>
  <si>
    <t xml:space="preserve">CRIMP BODY FOR SECONDARY FAN OUT </t>
  </si>
  <si>
    <t>Bague Galvanisée  10*16*25</t>
  </si>
  <si>
    <t>4-8809-1</t>
  </si>
  <si>
    <t>Bague Galvanisée 10*16*32</t>
  </si>
  <si>
    <t>Bague Galvanisée 10*18*6</t>
  </si>
  <si>
    <t>0-5454-1</t>
  </si>
  <si>
    <t>Bague Galvanisée  14*22.9*54.2</t>
  </si>
  <si>
    <t>0-5928A-1</t>
  </si>
  <si>
    <t>AXE D15-M11x100</t>
  </si>
  <si>
    <t>Bague Galvanisée 14*20*45</t>
  </si>
  <si>
    <t>ANNEAU 25.2*32*29</t>
  </si>
  <si>
    <t>4-7611</t>
  </si>
  <si>
    <t>ECROU DE ROUE TFR ISUZU -nak</t>
  </si>
  <si>
    <t>Anneau BN 25.2*32*31.5</t>
  </si>
  <si>
    <t>0-3863</t>
  </si>
  <si>
    <t>BOUCHON INOX D14</t>
  </si>
  <si>
    <t>BOUCH-IN-D14</t>
  </si>
  <si>
    <t>BAGUE 12*25*60.5</t>
  </si>
  <si>
    <t>BAGUE ACIER 8.5x6.5x10</t>
  </si>
  <si>
    <t>8.5x6.5x10</t>
  </si>
  <si>
    <t>BAGUE ACIER 8.5x6.5x5.8</t>
  </si>
  <si>
    <t>8.5x6.5x5.8</t>
  </si>
  <si>
    <t>l32</t>
  </si>
  <si>
    <t>ECROU SUSPENSION PROD</t>
  </si>
  <si>
    <t>I004-PROD</t>
  </si>
  <si>
    <t>CAL SUSPENSION PM ISUZU</t>
  </si>
  <si>
    <t>BAGUE 12*22*65</t>
  </si>
  <si>
    <t>12x22x65</t>
  </si>
  <si>
    <t>BAGUE 12*22*56.2</t>
  </si>
  <si>
    <t>12x22x56.2</t>
  </si>
  <si>
    <t xml:space="preserve">INSERT LEVIER </t>
  </si>
  <si>
    <t xml:space="preserve">sb 16 phase decoletage </t>
  </si>
  <si>
    <t>PIECE MOULEE V02</t>
  </si>
  <si>
    <t>19097-2-1</t>
  </si>
  <si>
    <t>EVACUATION 2/3G X-ONE</t>
  </si>
  <si>
    <t xml:space="preserve">EVACUATION 2/3G X-ONE carre l32 </t>
  </si>
  <si>
    <t>bague galvanisée 12x20x40-chutte nak</t>
  </si>
  <si>
    <t xml:space="preserve">A PARTIR DE D22 </t>
  </si>
  <si>
    <t xml:space="preserve">CHUTTE </t>
  </si>
  <si>
    <t>CHUTTE NAK</t>
  </si>
  <si>
    <t>Anneau Brute 30*38*33</t>
  </si>
  <si>
    <t>0-3864</t>
  </si>
  <si>
    <t>BAGUE L=62mm SUPPORT CABINE TFR</t>
  </si>
  <si>
    <t>TF62-CP4</t>
  </si>
  <si>
    <t>BAGUE L=78 SUPP CABINE D'MAX</t>
  </si>
  <si>
    <t>I164-CP6</t>
  </si>
  <si>
    <t>BOUCHON INOX D12-7.1</t>
  </si>
  <si>
    <t>BCH-IN-D12-7.1</t>
  </si>
  <si>
    <t>Anneau 30*38*23</t>
  </si>
  <si>
    <t>0-4599</t>
  </si>
  <si>
    <t>Bague Galvanisée 12*20*41</t>
  </si>
  <si>
    <t>0-5254-1</t>
  </si>
  <si>
    <t>chutte</t>
  </si>
  <si>
    <t>BUSS D13/20X18,2 AVP CARB-BAGUE ACIER D20</t>
  </si>
  <si>
    <t>VIS PM SUP MOTEUR FORD RANGER</t>
  </si>
  <si>
    <t xml:space="preserve">ECROU JUMELLE SIMLPE MIT AM </t>
  </si>
  <si>
    <t>MI11-CP3</t>
  </si>
  <si>
    <t>ECROU DE BLOC</t>
  </si>
  <si>
    <t>4-7326</t>
  </si>
  <si>
    <t>KITAMURA</t>
  </si>
  <si>
    <t>MORI SEIKI 3 axes</t>
  </si>
  <si>
    <t>TOUR WEILER</t>
  </si>
  <si>
    <t>MORI SEIKI 5 axes</t>
  </si>
  <si>
    <t>9/9/19</t>
  </si>
  <si>
    <t>Ø40</t>
  </si>
  <si>
    <t>Tableau de production journalière</t>
  </si>
  <si>
    <t>CODE: DAS-PRO-16</t>
  </si>
  <si>
    <t>DATE:30/08/2019</t>
  </si>
  <si>
    <t>VERSION:07</t>
  </si>
  <si>
    <t>PAGE:1</t>
  </si>
  <si>
    <t>Nombre des PIECES NC</t>
  </si>
  <si>
    <t>Nombre des pieces à retoucher</t>
  </si>
  <si>
    <t>Cause de la non-conformité</t>
  </si>
  <si>
    <t>Effet de la non-conformité</t>
  </si>
  <si>
    <t>Valeur de l'effet</t>
  </si>
  <si>
    <t>Fiche de contrôle qualité début de serie</t>
  </si>
  <si>
    <t xml:space="preserve">Affutage </t>
  </si>
  <si>
    <t>Gamme d'usingae</t>
  </si>
  <si>
    <t>SST16</t>
  </si>
  <si>
    <t>BIGLIA 42</t>
  </si>
  <si>
    <t>BIGLIA B 301 SN</t>
  </si>
  <si>
    <t>AXE ETRIER FORD RANGER-PROD</t>
  </si>
  <si>
    <t xml:space="preserve">INSERT LEVIER SURMOULEE 345833-01 - fraisage </t>
  </si>
  <si>
    <t xml:space="preserve">en arret </t>
  </si>
  <si>
    <t>Nakamura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</si>
</sst>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0.000"/>
    <numFmt numFmtId="165" formatCode="#,##0.000\ _€"/>
    <numFmt numFmtId="166" formatCode="0.0000"/>
    <numFmt numFmtId="167" formatCode="0.00000"/>
  </numFmts>
  <fonts count="29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9"/>
      <color theme="1"/>
      <name val="Perpetua Titling MT"/>
      <family val="1"/>
    </font>
    <font>
      <b/>
      <sz val="8"/>
      <color theme="1"/>
      <name val="Cambria"/>
      <family val="1"/>
      <scheme val="major"/>
    </font>
    <font>
      <sz val="16"/>
      <color theme="1"/>
      <name val="Calibri"/>
      <family val="2"/>
      <scheme val="minor"/>
    </font>
    <font>
      <sz val="16"/>
      <color theme="1"/>
      <name val="Arial"/>
      <family val="2"/>
    </font>
    <font>
      <sz val="16"/>
      <color rgb="FF000000"/>
      <name val="Arial"/>
      <family val="2"/>
    </font>
    <font>
      <b/>
      <sz val="16"/>
      <color theme="1"/>
      <name val="Arial"/>
      <family val="2"/>
    </font>
    <font>
      <b/>
      <u/>
      <sz val="22"/>
      <color rgb="FFFF0000"/>
      <name val="Arial"/>
      <family val="2"/>
    </font>
    <font>
      <b/>
      <sz val="16"/>
      <color rgb="FFFF0000"/>
      <name val="Arial"/>
      <family val="2"/>
    </font>
    <font>
      <sz val="16"/>
      <name val="Arial"/>
      <family val="2"/>
    </font>
    <font>
      <sz val="16"/>
      <color theme="9" tint="-0.249977111117893"/>
      <name val="Arial"/>
      <family val="2"/>
    </font>
    <font>
      <sz val="16"/>
      <color theme="5" tint="-0.249977111117893"/>
      <name val="Arial"/>
      <family val="2"/>
    </font>
    <font>
      <sz val="16"/>
      <color theme="5"/>
      <name val="Arial"/>
      <family val="2"/>
    </font>
    <font>
      <b/>
      <u/>
      <sz val="2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theme="1"/>
      <name val="Times New Roman"/>
      <family val="1"/>
    </font>
    <font>
      <sz val="16"/>
      <color theme="1"/>
      <name val="Times New Roman"/>
      <family val="1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sz val="8.25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6"/>
      <color rgb="FF00B050"/>
      <name val="Arial"/>
      <family val="2"/>
    </font>
    <font>
      <sz val="4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gray125">
        <bgColor theme="3" tint="0.39994506668294322"/>
      </patternFill>
    </fill>
    <fill>
      <patternFill patternType="gray125">
        <bgColor theme="3" tint="0.39997558519241921"/>
      </patternFill>
    </fill>
    <fill>
      <patternFill patternType="gray125">
        <bgColor theme="6" tint="0.39997558519241921"/>
      </patternFill>
    </fill>
    <fill>
      <patternFill patternType="solid">
        <fgColor theme="6" tint="-0.249977111117893"/>
        <bgColor indexed="64"/>
      </patternFill>
    </fill>
    <fill>
      <patternFill patternType="gray125">
        <bgColor theme="6" tint="-0.249977111117893"/>
      </patternFill>
    </fill>
    <fill>
      <patternFill patternType="solid">
        <fgColor rgb="FF92D05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0" fontId="16" fillId="0" borderId="0"/>
    <xf numFmtId="43" fontId="16" fillId="0" borderId="0" applyFont="0" applyFill="0" applyBorder="0" applyAlignment="0" applyProtection="0"/>
  </cellStyleXfs>
  <cellXfs count="494">
    <xf numFmtId="0" fontId="0" fillId="0" borderId="0" xfId="0"/>
    <xf numFmtId="0" fontId="0" fillId="0" borderId="0" xfId="0" applyBorder="1"/>
    <xf numFmtId="0" fontId="8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4" fontId="11" fillId="0" borderId="0" xfId="0" applyNumberFormat="1" applyFont="1" applyFill="1" applyBorder="1" applyAlignment="1">
      <alignment horizontal="center" vertical="center" wrapText="1"/>
    </xf>
    <xf numFmtId="0" fontId="0" fillId="0" borderId="0" xfId="0" applyFill="1"/>
    <xf numFmtId="4" fontId="12" fillId="0" borderId="1" xfId="0" applyNumberFormat="1" applyFont="1" applyFill="1" applyBorder="1" applyAlignment="1">
      <alignment horizontal="center" vertical="center" wrapText="1"/>
    </xf>
    <xf numFmtId="4" fontId="13" fillId="0" borderId="1" xfId="0" applyNumberFormat="1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4" fontId="10" fillId="0" borderId="1" xfId="0" applyNumberFormat="1" applyFont="1" applyFill="1" applyBorder="1" applyAlignment="1">
      <alignment horizontal="center" vertical="center" wrapText="1"/>
    </xf>
    <xf numFmtId="0" fontId="0" fillId="0" borderId="4" xfId="0" applyBorder="1"/>
    <xf numFmtId="0" fontId="0" fillId="0" borderId="0" xfId="0" applyFill="1" applyBorder="1"/>
    <xf numFmtId="0" fontId="4" fillId="0" borderId="0" xfId="0" applyFont="1" applyFill="1" applyBorder="1" applyAlignment="1">
      <alignment horizontal="center" vertical="center"/>
    </xf>
    <xf numFmtId="0" fontId="0" fillId="0" borderId="5" xfId="0" applyFill="1" applyBorder="1"/>
    <xf numFmtId="0" fontId="0" fillId="0" borderId="4" xfId="0" applyFill="1" applyBorder="1"/>
    <xf numFmtId="0" fontId="4" fillId="0" borderId="0" xfId="0" applyFont="1" applyFill="1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7" fillId="0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vertical="center" wrapText="1"/>
    </xf>
    <xf numFmtId="0" fontId="10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10" fillId="3" borderId="17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vertical="center"/>
    </xf>
    <xf numFmtId="2" fontId="5" fillId="0" borderId="7" xfId="0" applyNumberFormat="1" applyFont="1" applyFill="1" applyBorder="1" applyAlignment="1">
      <alignment vertical="center" wrapText="1"/>
    </xf>
    <xf numFmtId="2" fontId="5" fillId="0" borderId="0" xfId="0" applyNumberFormat="1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Border="1"/>
    <xf numFmtId="0" fontId="0" fillId="0" borderId="0" xfId="0"/>
    <xf numFmtId="0" fontId="0" fillId="0" borderId="0" xfId="0" applyBorder="1"/>
    <xf numFmtId="0" fontId="8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4" fontId="11" fillId="0" borderId="0" xfId="0" applyNumberFormat="1" applyFont="1" applyFill="1" applyBorder="1" applyAlignment="1">
      <alignment horizontal="center" vertical="center" wrapText="1"/>
    </xf>
    <xf numFmtId="0" fontId="0" fillId="0" borderId="0" xfId="0" applyFill="1"/>
    <xf numFmtId="4" fontId="12" fillId="0" borderId="1" xfId="0" applyNumberFormat="1" applyFont="1" applyFill="1" applyBorder="1" applyAlignment="1">
      <alignment horizontal="center" vertical="center" wrapText="1"/>
    </xf>
    <xf numFmtId="4" fontId="13" fillId="0" borderId="1" xfId="0" applyNumberFormat="1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4" fontId="10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4" fillId="0" borderId="0" xfId="0" applyFont="1" applyFill="1" applyBorder="1" applyAlignment="1">
      <alignment horizontal="center" vertical="center"/>
    </xf>
    <xf numFmtId="0" fontId="0" fillId="0" borderId="5" xfId="0" applyFill="1" applyBorder="1"/>
    <xf numFmtId="0" fontId="0" fillId="0" borderId="4" xfId="0" applyFill="1" applyBorder="1"/>
    <xf numFmtId="0" fontId="4" fillId="0" borderId="0" xfId="0" applyFont="1" applyFill="1" applyAlignment="1">
      <alignment vertical="center"/>
    </xf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10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/>
    </xf>
    <xf numFmtId="2" fontId="5" fillId="0" borderId="0" xfId="0" applyNumberFormat="1" applyFont="1" applyFill="1" applyBorder="1" applyAlignment="1">
      <alignment vertical="center" wrapText="1"/>
    </xf>
    <xf numFmtId="0" fontId="0" fillId="0" borderId="15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left"/>
    </xf>
    <xf numFmtId="0" fontId="0" fillId="0" borderId="1" xfId="0" applyFill="1" applyBorder="1" applyAlignment="1">
      <alignment horizontal="center" vertical="center"/>
    </xf>
    <xf numFmtId="0" fontId="22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textRotation="90"/>
    </xf>
    <xf numFmtId="0" fontId="0" fillId="8" borderId="1" xfId="0" applyFill="1" applyBorder="1" applyAlignment="1">
      <alignment horizontal="center" vertical="center"/>
    </xf>
    <xf numFmtId="0" fontId="22" fillId="8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 wrapText="1"/>
    </xf>
    <xf numFmtId="2" fontId="0" fillId="8" borderId="1" xfId="0" applyNumberFormat="1" applyFill="1" applyBorder="1" applyAlignment="1">
      <alignment horizontal="center" vertical="center" wrapText="1"/>
    </xf>
    <xf numFmtId="164" fontId="0" fillId="8" borderId="1" xfId="0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22" fillId="0" borderId="1" xfId="0" applyFont="1" applyFill="1" applyBorder="1" applyAlignment="1">
      <alignment horizontal="center" vertical="center" wrapText="1"/>
    </xf>
    <xf numFmtId="2" fontId="22" fillId="0" borderId="1" xfId="0" applyNumberFormat="1" applyFont="1" applyFill="1" applyBorder="1" applyAlignment="1">
      <alignment horizontal="center" vertical="center"/>
    </xf>
    <xf numFmtId="164" fontId="22" fillId="0" borderId="1" xfId="0" applyNumberFormat="1" applyFont="1" applyFill="1" applyBorder="1" applyAlignment="1">
      <alignment horizontal="center" vertical="center"/>
    </xf>
    <xf numFmtId="165" fontId="22" fillId="0" borderId="1" xfId="0" applyNumberFormat="1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 wrapText="1"/>
    </xf>
    <xf numFmtId="166" fontId="0" fillId="0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164" fontId="0" fillId="5" borderId="1" xfId="0" applyNumberForma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0" fontId="18" fillId="0" borderId="0" xfId="0" applyFont="1" applyFill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21" fillId="8" borderId="27" xfId="0" applyFont="1" applyFill="1" applyBorder="1" applyAlignment="1">
      <alignment horizontal="center" vertical="center"/>
    </xf>
    <xf numFmtId="0" fontId="21" fillId="8" borderId="28" xfId="0" applyFont="1" applyFill="1" applyBorder="1" applyAlignment="1">
      <alignment horizontal="center" vertical="center"/>
    </xf>
    <xf numFmtId="167" fontId="21" fillId="8" borderId="28" xfId="0" applyNumberFormat="1" applyFont="1" applyFill="1" applyBorder="1" applyAlignment="1">
      <alignment horizontal="center" vertical="center"/>
    </xf>
    <xf numFmtId="0" fontId="21" fillId="8" borderId="29" xfId="0" applyFont="1" applyFill="1" applyBorder="1" applyAlignment="1">
      <alignment horizontal="center" vertical="center"/>
    </xf>
    <xf numFmtId="0" fontId="21" fillId="8" borderId="28" xfId="0" applyFont="1" applyFill="1" applyBorder="1" applyAlignment="1">
      <alignment horizontal="center" vertical="center" wrapText="1"/>
    </xf>
    <xf numFmtId="164" fontId="21" fillId="8" borderId="28" xfId="0" applyNumberFormat="1" applyFont="1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18" fillId="8" borderId="28" xfId="0" applyFont="1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167" fontId="0" fillId="8" borderId="28" xfId="0" applyNumberFormat="1" applyFill="1" applyBorder="1" applyAlignment="1">
      <alignment horizontal="center" vertical="center"/>
    </xf>
    <xf numFmtId="0" fontId="0" fillId="8" borderId="29" xfId="0" applyFill="1" applyBorder="1" applyAlignment="1">
      <alignment horizontal="center" vertical="center"/>
    </xf>
    <xf numFmtId="0" fontId="22" fillId="8" borderId="28" xfId="0" applyFont="1" applyFill="1" applyBorder="1" applyAlignment="1">
      <alignment horizontal="center" vertical="center"/>
    </xf>
    <xf numFmtId="0" fontId="18" fillId="8" borderId="27" xfId="0" applyFont="1" applyFill="1" applyBorder="1" applyAlignment="1">
      <alignment horizontal="center" vertical="center"/>
    </xf>
    <xf numFmtId="167" fontId="18" fillId="8" borderId="28" xfId="0" applyNumberFormat="1" applyFont="1" applyFill="1" applyBorder="1" applyAlignment="1">
      <alignment horizontal="center" vertical="center"/>
    </xf>
    <xf numFmtId="0" fontId="18" fillId="8" borderId="29" xfId="0" applyFont="1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8" borderId="28" xfId="0" applyFont="1" applyFill="1" applyBorder="1" applyAlignment="1">
      <alignment horizontal="center" vertical="center"/>
    </xf>
    <xf numFmtId="0" fontId="0" fillId="11" borderId="28" xfId="0" applyFill="1" applyBorder="1" applyAlignment="1">
      <alignment horizontal="center" vertical="center"/>
    </xf>
    <xf numFmtId="167" fontId="0" fillId="11" borderId="28" xfId="0" applyNumberFormat="1" applyFill="1" applyBorder="1" applyAlignment="1">
      <alignment horizontal="center" vertical="center"/>
    </xf>
    <xf numFmtId="0" fontId="0" fillId="11" borderId="29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1" borderId="1" xfId="0" applyFont="1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 wrapText="1"/>
    </xf>
    <xf numFmtId="164" fontId="0" fillId="8" borderId="28" xfId="0" applyNumberFormat="1" applyFont="1" applyFill="1" applyBorder="1" applyAlignment="1">
      <alignment horizontal="center" vertical="center"/>
    </xf>
    <xf numFmtId="164" fontId="0" fillId="11" borderId="28" xfId="0" applyNumberFormat="1" applyFont="1" applyFill="1" applyBorder="1" applyAlignment="1">
      <alignment horizontal="center" vertical="center"/>
    </xf>
    <xf numFmtId="0" fontId="18" fillId="8" borderId="24" xfId="0" applyFont="1" applyFill="1" applyBorder="1" applyAlignment="1">
      <alignment horizontal="center" vertical="center"/>
    </xf>
    <xf numFmtId="0" fontId="0" fillId="11" borderId="18" xfId="0" applyFill="1" applyBorder="1" applyAlignment="1">
      <alignment horizontal="center" vertical="center"/>
    </xf>
    <xf numFmtId="0" fontId="22" fillId="11" borderId="18" xfId="0" applyFont="1" applyFill="1" applyBorder="1" applyAlignment="1">
      <alignment horizontal="center" vertical="center"/>
    </xf>
    <xf numFmtId="0" fontId="18" fillId="11" borderId="18" xfId="0" applyFont="1" applyFill="1" applyBorder="1" applyAlignment="1">
      <alignment horizontal="center" vertical="center"/>
    </xf>
    <xf numFmtId="164" fontId="22" fillId="11" borderId="18" xfId="0" applyNumberFormat="1" applyFont="1" applyFill="1" applyBorder="1" applyAlignment="1">
      <alignment horizontal="center" vertical="center"/>
    </xf>
    <xf numFmtId="0" fontId="18" fillId="12" borderId="27" xfId="0" applyFont="1" applyFill="1" applyBorder="1" applyAlignment="1">
      <alignment horizontal="center" vertical="center"/>
    </xf>
    <xf numFmtId="0" fontId="0" fillId="12" borderId="28" xfId="0" applyFill="1" applyBorder="1" applyAlignment="1">
      <alignment horizontal="center" vertical="center"/>
    </xf>
    <xf numFmtId="0" fontId="22" fillId="12" borderId="28" xfId="0" applyFont="1" applyFill="1" applyBorder="1" applyAlignment="1">
      <alignment horizontal="center" vertical="center"/>
    </xf>
    <xf numFmtId="0" fontId="0" fillId="12" borderId="28" xfId="0" applyFill="1" applyBorder="1" applyAlignment="1">
      <alignment horizontal="center" vertical="center" wrapText="1"/>
    </xf>
    <xf numFmtId="0" fontId="18" fillId="12" borderId="28" xfId="0" applyFont="1" applyFill="1" applyBorder="1" applyAlignment="1">
      <alignment horizontal="center" vertical="center"/>
    </xf>
    <xf numFmtId="0" fontId="0" fillId="12" borderId="29" xfId="0" applyFill="1" applyBorder="1" applyAlignment="1">
      <alignment horizontal="center" vertical="center"/>
    </xf>
    <xf numFmtId="0" fontId="22" fillId="12" borderId="28" xfId="0" applyFont="1" applyFill="1" applyBorder="1" applyAlignment="1">
      <alignment horizontal="center" vertical="center" wrapText="1"/>
    </xf>
    <xf numFmtId="0" fontId="18" fillId="12" borderId="28" xfId="0" applyFont="1" applyFill="1" applyBorder="1" applyAlignment="1">
      <alignment horizontal="center" vertical="center" wrapText="1"/>
    </xf>
    <xf numFmtId="166" fontId="18" fillId="12" borderId="28" xfId="0" applyNumberFormat="1" applyFont="1" applyFill="1" applyBorder="1" applyAlignment="1">
      <alignment horizontal="center" vertical="center"/>
    </xf>
    <xf numFmtId="0" fontId="0" fillId="10" borderId="30" xfId="0" applyFill="1" applyBorder="1" applyAlignment="1">
      <alignment horizontal="center" vertical="center" wrapText="1"/>
    </xf>
    <xf numFmtId="0" fontId="0" fillId="10" borderId="33" xfId="0" applyFill="1" applyBorder="1" applyAlignment="1">
      <alignment horizontal="center" vertical="center" wrapText="1"/>
    </xf>
    <xf numFmtId="164" fontId="0" fillId="12" borderId="28" xfId="0" applyNumberForma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 wrapText="1"/>
    </xf>
    <xf numFmtId="0" fontId="0" fillId="12" borderId="34" xfId="0" applyFill="1" applyBorder="1" applyAlignment="1">
      <alignment horizontal="center" vertical="center"/>
    </xf>
    <xf numFmtId="164" fontId="18" fillId="12" borderId="28" xfId="0" applyNumberFormat="1" applyFont="1" applyFill="1" applyBorder="1" applyAlignment="1">
      <alignment horizontal="center" vertical="center"/>
    </xf>
    <xf numFmtId="1" fontId="18" fillId="12" borderId="28" xfId="0" applyNumberFormat="1" applyFont="1" applyFill="1" applyBorder="1" applyAlignment="1">
      <alignment horizontal="center" vertical="center"/>
    </xf>
    <xf numFmtId="0" fontId="18" fillId="12" borderId="32" xfId="0" applyFont="1" applyFill="1" applyBorder="1" applyAlignment="1">
      <alignment horizontal="center" vertical="center" wrapText="1"/>
    </xf>
    <xf numFmtId="0" fontId="22" fillId="12" borderId="35" xfId="0" applyFont="1" applyFill="1" applyBorder="1" applyAlignment="1">
      <alignment horizontal="center" vertical="center"/>
    </xf>
    <xf numFmtId="0" fontId="0" fillId="12" borderId="22" xfId="0" applyFill="1" applyBorder="1" applyAlignment="1">
      <alignment horizontal="center" vertical="center"/>
    </xf>
    <xf numFmtId="0" fontId="0" fillId="12" borderId="22" xfId="0" applyFill="1" applyBorder="1" applyAlignment="1">
      <alignment horizontal="center" vertical="center" wrapText="1"/>
    </xf>
    <xf numFmtId="0" fontId="0" fillId="12" borderId="36" xfId="0" applyFill="1" applyBorder="1" applyAlignment="1">
      <alignment horizontal="center" vertical="center"/>
    </xf>
    <xf numFmtId="0" fontId="18" fillId="12" borderId="35" xfId="0" applyFont="1" applyFill="1" applyBorder="1" applyAlignment="1">
      <alignment horizontal="center" vertical="center"/>
    </xf>
    <xf numFmtId="0" fontId="0" fillId="12" borderId="23" xfId="0" applyFill="1" applyBorder="1" applyAlignment="1">
      <alignment horizontal="center" vertical="center"/>
    </xf>
    <xf numFmtId="0" fontId="18" fillId="12" borderId="22" xfId="0" applyFont="1" applyFill="1" applyBorder="1" applyAlignment="1">
      <alignment horizontal="center" vertical="center" wrapText="1"/>
    </xf>
    <xf numFmtId="166" fontId="18" fillId="12" borderId="22" xfId="0" applyNumberFormat="1" applyFont="1" applyFill="1" applyBorder="1" applyAlignment="1">
      <alignment horizontal="center" vertical="center"/>
    </xf>
    <xf numFmtId="0" fontId="0" fillId="13" borderId="28" xfId="0" applyFill="1" applyBorder="1" applyAlignment="1">
      <alignment horizontal="center" vertical="center"/>
    </xf>
    <xf numFmtId="167" fontId="0" fillId="12" borderId="28" xfId="0" applyNumberFormat="1" applyFill="1" applyBorder="1" applyAlignment="1">
      <alignment horizontal="center" vertical="center"/>
    </xf>
    <xf numFmtId="164" fontId="0" fillId="12" borderId="28" xfId="0" applyNumberFormat="1" applyFill="1" applyBorder="1" applyAlignment="1">
      <alignment horizontal="center" vertical="center" wrapText="1"/>
    </xf>
    <xf numFmtId="17" fontId="22" fillId="12" borderId="37" xfId="0" applyNumberFormat="1" applyFont="1" applyFill="1" applyBorder="1" applyAlignment="1">
      <alignment horizontal="center" vertical="center"/>
    </xf>
    <xf numFmtId="0" fontId="0" fillId="12" borderId="37" xfId="0" applyFill="1" applyBorder="1" applyAlignment="1">
      <alignment horizontal="center" vertical="center" wrapText="1"/>
    </xf>
    <xf numFmtId="0" fontId="22" fillId="12" borderId="37" xfId="0" applyFont="1" applyFill="1" applyBorder="1" applyAlignment="1">
      <alignment horizontal="center" vertical="center"/>
    </xf>
    <xf numFmtId="0" fontId="0" fillId="13" borderId="37" xfId="0" applyFill="1" applyBorder="1" applyAlignment="1">
      <alignment horizontal="center" vertical="center"/>
    </xf>
    <xf numFmtId="0" fontId="0" fillId="12" borderId="38" xfId="0" applyFill="1" applyBorder="1" applyAlignment="1">
      <alignment horizontal="center" vertical="center"/>
    </xf>
    <xf numFmtId="17" fontId="22" fillId="12" borderId="28" xfId="0" applyNumberFormat="1" applyFont="1" applyFill="1" applyBorder="1" applyAlignment="1">
      <alignment horizontal="center" vertical="center"/>
    </xf>
    <xf numFmtId="0" fontId="18" fillId="12" borderId="24" xfId="0" applyFont="1" applyFill="1" applyBorder="1" applyAlignment="1">
      <alignment horizontal="center" vertical="center"/>
    </xf>
    <xf numFmtId="0" fontId="0" fillId="12" borderId="7" xfId="0" applyFill="1" applyBorder="1" applyAlignment="1">
      <alignment horizontal="center" vertical="center"/>
    </xf>
    <xf numFmtId="17" fontId="22" fillId="12" borderId="18" xfId="0" applyNumberFormat="1" applyFont="1" applyFill="1" applyBorder="1" applyAlignment="1">
      <alignment horizontal="center" vertical="center"/>
    </xf>
    <xf numFmtId="0" fontId="0" fillId="12" borderId="18" xfId="0" applyFill="1" applyBorder="1" applyAlignment="1">
      <alignment horizontal="center" vertical="center" wrapText="1"/>
    </xf>
    <xf numFmtId="0" fontId="0" fillId="12" borderId="18" xfId="0" applyFill="1" applyBorder="1" applyAlignment="1">
      <alignment horizontal="center" vertical="center"/>
    </xf>
    <xf numFmtId="0" fontId="0" fillId="13" borderId="18" xfId="0" applyFill="1" applyBorder="1" applyAlignment="1">
      <alignment horizontal="center" vertical="center"/>
    </xf>
    <xf numFmtId="164" fontId="0" fillId="12" borderId="18" xfId="0" applyNumberFormat="1" applyFill="1" applyBorder="1" applyAlignment="1">
      <alignment horizontal="center" vertical="center"/>
    </xf>
    <xf numFmtId="0" fontId="0" fillId="12" borderId="39" xfId="0" applyFill="1" applyBorder="1" applyAlignment="1">
      <alignment horizontal="center" vertical="center"/>
    </xf>
    <xf numFmtId="0" fontId="0" fillId="10" borderId="17" xfId="0" applyFill="1" applyBorder="1" applyAlignment="1">
      <alignment horizontal="center" vertical="center" wrapText="1"/>
    </xf>
    <xf numFmtId="43" fontId="0" fillId="13" borderId="28" xfId="2" applyFont="1" applyFill="1" applyBorder="1" applyAlignment="1">
      <alignment horizontal="center" vertical="center"/>
    </xf>
    <xf numFmtId="0" fontId="18" fillId="12" borderId="40" xfId="0" applyFont="1" applyFill="1" applyBorder="1" applyAlignment="1">
      <alignment horizontal="center" vertical="center"/>
    </xf>
    <xf numFmtId="0" fontId="0" fillId="14" borderId="28" xfId="0" applyFill="1" applyBorder="1" applyAlignment="1">
      <alignment horizontal="center" vertical="center"/>
    </xf>
    <xf numFmtId="43" fontId="0" fillId="14" borderId="28" xfId="2" applyFont="1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 wrapText="1"/>
    </xf>
    <xf numFmtId="0" fontId="15" fillId="14" borderId="28" xfId="0" applyFont="1" applyFill="1" applyBorder="1" applyAlignment="1">
      <alignment horizontal="center" vertical="center"/>
    </xf>
    <xf numFmtId="0" fontId="18" fillId="12" borderId="29" xfId="0" applyFont="1" applyFill="1" applyBorder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166" fontId="0" fillId="12" borderId="22" xfId="0" applyNumberFormat="1" applyFill="1" applyBorder="1" applyAlignment="1">
      <alignment horizontal="center" vertical="center"/>
    </xf>
    <xf numFmtId="0" fontId="15" fillId="14" borderId="22" xfId="0" applyFont="1" applyFill="1" applyBorder="1" applyAlignment="1">
      <alignment horizontal="center" vertical="center"/>
    </xf>
    <xf numFmtId="0" fontId="0" fillId="12" borderId="17" xfId="0" applyFill="1" applyBorder="1" applyAlignment="1">
      <alignment horizontal="center" vertical="center" wrapText="1"/>
    </xf>
    <xf numFmtId="0" fontId="0" fillId="12" borderId="33" xfId="0" applyFill="1" applyBorder="1" applyAlignment="1">
      <alignment horizontal="center" vertical="center"/>
    </xf>
    <xf numFmtId="0" fontId="0" fillId="12" borderId="41" xfId="0" applyFill="1" applyBorder="1" applyAlignment="1">
      <alignment horizontal="center" vertical="center"/>
    </xf>
    <xf numFmtId="0" fontId="0" fillId="12" borderId="37" xfId="0" applyFill="1" applyBorder="1" applyAlignment="1">
      <alignment horizontal="center" vertical="center"/>
    </xf>
    <xf numFmtId="0" fontId="0" fillId="12" borderId="42" xfId="0" applyFill="1" applyBorder="1" applyAlignment="1">
      <alignment horizontal="center" vertical="center"/>
    </xf>
    <xf numFmtId="164" fontId="0" fillId="12" borderId="37" xfId="0" applyNumberFormat="1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2" borderId="19" xfId="0" applyFill="1" applyBorder="1" applyAlignment="1">
      <alignment horizontal="center" vertical="center"/>
    </xf>
    <xf numFmtId="0" fontId="0" fillId="12" borderId="41" xfId="0" applyFill="1" applyBorder="1" applyAlignment="1">
      <alignment horizontal="center" vertical="center" wrapText="1"/>
    </xf>
    <xf numFmtId="0" fontId="0" fillId="12" borderId="26" xfId="0" applyFill="1" applyBorder="1" applyAlignment="1">
      <alignment horizontal="center" vertical="center"/>
    </xf>
    <xf numFmtId="49" fontId="0" fillId="12" borderId="37" xfId="0" applyNumberFormat="1" applyFill="1" applyBorder="1" applyAlignment="1">
      <alignment horizontal="center" vertical="center" wrapText="1"/>
    </xf>
    <xf numFmtId="0" fontId="0" fillId="14" borderId="37" xfId="0" applyFill="1" applyBorder="1" applyAlignment="1">
      <alignment horizontal="center" vertical="center"/>
    </xf>
    <xf numFmtId="2" fontId="0" fillId="12" borderId="37" xfId="0" applyNumberFormat="1" applyFill="1" applyBorder="1" applyAlignment="1">
      <alignment horizontal="center" vertical="center" wrapText="1"/>
    </xf>
    <xf numFmtId="49" fontId="25" fillId="12" borderId="37" xfId="0" applyNumberFormat="1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 wrapText="1"/>
    </xf>
    <xf numFmtId="49" fontId="0" fillId="12" borderId="18" xfId="0" applyNumberFormat="1" applyFill="1" applyBorder="1" applyAlignment="1">
      <alignment horizontal="center" vertical="center" wrapText="1"/>
    </xf>
    <xf numFmtId="49" fontId="25" fillId="12" borderId="18" xfId="0" applyNumberFormat="1" applyFont="1" applyFill="1" applyBorder="1" applyAlignment="1">
      <alignment horizontal="center" vertical="center" wrapText="1"/>
    </xf>
    <xf numFmtId="0" fontId="0" fillId="14" borderId="18" xfId="0" applyFill="1" applyBorder="1" applyAlignment="1">
      <alignment horizontal="center" vertical="center"/>
    </xf>
    <xf numFmtId="2" fontId="0" fillId="12" borderId="18" xfId="0" applyNumberFormat="1" applyFill="1" applyBorder="1" applyAlignment="1">
      <alignment horizontal="center" vertical="center" wrapText="1"/>
    </xf>
    <xf numFmtId="0" fontId="0" fillId="12" borderId="7" xfId="0" applyFill="1" applyBorder="1" applyAlignment="1">
      <alignment horizontal="center" vertical="center" wrapText="1"/>
    </xf>
    <xf numFmtId="0" fontId="0" fillId="12" borderId="43" xfId="0" applyFill="1" applyBorder="1" applyAlignment="1">
      <alignment horizontal="center" vertical="center"/>
    </xf>
    <xf numFmtId="0" fontId="22" fillId="12" borderId="1" xfId="0" applyFont="1" applyFill="1" applyBorder="1" applyAlignment="1">
      <alignment horizontal="center" vertical="center"/>
    </xf>
    <xf numFmtId="49" fontId="0" fillId="12" borderId="25" xfId="0" applyNumberFormat="1" applyFill="1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/>
    </xf>
    <xf numFmtId="0" fontId="22" fillId="12" borderId="2" xfId="0" applyFont="1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49" fontId="0" fillId="12" borderId="2" xfId="0" applyNumberFormat="1" applyFill="1" applyBorder="1" applyAlignment="1">
      <alignment horizontal="center" vertical="center" wrapText="1"/>
    </xf>
    <xf numFmtId="0" fontId="0" fillId="14" borderId="2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 wrapText="1"/>
    </xf>
    <xf numFmtId="0" fontId="0" fillId="12" borderId="11" xfId="0" applyFill="1" applyBorder="1" applyAlignment="1">
      <alignment horizontal="center" vertical="center"/>
    </xf>
    <xf numFmtId="49" fontId="0" fillId="12" borderId="1" xfId="0" applyNumberFormat="1" applyFill="1" applyBorder="1" applyAlignment="1">
      <alignment horizontal="center" vertical="center" wrapText="1"/>
    </xf>
    <xf numFmtId="49" fontId="22" fillId="12" borderId="1" xfId="0" applyNumberFormat="1" applyFont="1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49" fontId="22" fillId="12" borderId="6" xfId="0" applyNumberFormat="1" applyFont="1" applyFill="1" applyBorder="1" applyAlignment="1">
      <alignment horizontal="center" vertical="center"/>
    </xf>
    <xf numFmtId="49" fontId="0" fillId="12" borderId="6" xfId="0" applyNumberFormat="1" applyFill="1" applyBorder="1" applyAlignment="1">
      <alignment horizontal="center" vertical="center" wrapText="1"/>
    </xf>
    <xf numFmtId="0" fontId="0" fillId="14" borderId="6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 wrapText="1"/>
    </xf>
    <xf numFmtId="0" fontId="0" fillId="12" borderId="9" xfId="0" applyFill="1" applyBorder="1" applyAlignment="1">
      <alignment horizontal="center" vertical="center"/>
    </xf>
    <xf numFmtId="49" fontId="22" fillId="12" borderId="18" xfId="0" applyNumberFormat="1" applyFont="1" applyFill="1" applyBorder="1" applyAlignment="1">
      <alignment horizontal="center" vertical="center"/>
    </xf>
    <xf numFmtId="0" fontId="0" fillId="12" borderId="14" xfId="0" applyFill="1" applyBorder="1" applyAlignment="1">
      <alignment horizontal="center" vertical="center"/>
    </xf>
    <xf numFmtId="0" fontId="0" fillId="12" borderId="15" xfId="0" applyFill="1" applyBorder="1" applyAlignment="1">
      <alignment horizontal="center" vertical="center"/>
    </xf>
    <xf numFmtId="49" fontId="22" fillId="12" borderId="18" xfId="0" applyNumberFormat="1" applyFont="1" applyFill="1" applyBorder="1" applyAlignment="1">
      <alignment horizontal="center" vertical="center" wrapText="1"/>
    </xf>
    <xf numFmtId="49" fontId="22" fillId="12" borderId="1" xfId="0" applyNumberFormat="1" applyFont="1" applyFill="1" applyBorder="1" applyAlignment="1">
      <alignment horizontal="center" vertical="center" wrapText="1"/>
    </xf>
    <xf numFmtId="0" fontId="18" fillId="10" borderId="40" xfId="0" applyFont="1" applyFill="1" applyBorder="1" applyAlignment="1">
      <alignment horizontal="center" vertical="center"/>
    </xf>
    <xf numFmtId="0" fontId="0" fillId="10" borderId="37" xfId="0" applyFill="1" applyBorder="1" applyAlignment="1">
      <alignment horizontal="center" vertical="center"/>
    </xf>
    <xf numFmtId="17" fontId="22" fillId="10" borderId="37" xfId="0" applyNumberFormat="1" applyFont="1" applyFill="1" applyBorder="1" applyAlignment="1">
      <alignment horizontal="center" vertical="center"/>
    </xf>
    <xf numFmtId="0" fontId="0" fillId="10" borderId="37" xfId="0" applyFill="1" applyBorder="1" applyAlignment="1">
      <alignment horizontal="center" vertical="center" wrapText="1"/>
    </xf>
    <xf numFmtId="0" fontId="18" fillId="10" borderId="37" xfId="0" applyFont="1" applyFill="1" applyBorder="1" applyAlignment="1">
      <alignment horizontal="center" vertical="center"/>
    </xf>
    <xf numFmtId="0" fontId="18" fillId="10" borderId="37" xfId="0" applyFont="1" applyFill="1" applyBorder="1" applyAlignment="1">
      <alignment horizontal="center" vertical="center" wrapText="1"/>
    </xf>
    <xf numFmtId="164" fontId="18" fillId="10" borderId="37" xfId="0" applyNumberFormat="1" applyFont="1" applyFill="1" applyBorder="1" applyAlignment="1">
      <alignment horizontal="center" vertical="center"/>
    </xf>
    <xf numFmtId="0" fontId="18" fillId="10" borderId="38" xfId="0" applyFont="1" applyFill="1" applyBorder="1" applyAlignment="1">
      <alignment horizontal="center" vertical="center"/>
    </xf>
    <xf numFmtId="0" fontId="0" fillId="10" borderId="42" xfId="0" applyFill="1" applyBorder="1" applyAlignment="1">
      <alignment horizontal="center" vertical="center" wrapText="1"/>
    </xf>
    <xf numFmtId="0" fontId="0" fillId="15" borderId="28" xfId="0" applyFill="1" applyBorder="1" applyAlignment="1">
      <alignment horizontal="center" vertical="center"/>
    </xf>
    <xf numFmtId="0" fontId="0" fillId="10" borderId="28" xfId="0" applyFill="1" applyBorder="1" applyAlignment="1">
      <alignment horizontal="center" vertical="center"/>
    </xf>
    <xf numFmtId="43" fontId="0" fillId="15" borderId="28" xfId="2" applyFont="1" applyFill="1" applyBorder="1" applyAlignment="1">
      <alignment horizontal="center" vertical="center"/>
    </xf>
    <xf numFmtId="164" fontId="0" fillId="10" borderId="28" xfId="0" applyNumberFormat="1" applyFill="1" applyBorder="1" applyAlignment="1">
      <alignment horizontal="center" vertical="center"/>
    </xf>
    <xf numFmtId="0" fontId="0" fillId="10" borderId="29" xfId="0" applyFill="1" applyBorder="1" applyAlignment="1">
      <alignment horizontal="center" vertical="center"/>
    </xf>
    <xf numFmtId="17" fontId="22" fillId="10" borderId="37" xfId="0" applyNumberFormat="1" applyFont="1" applyFill="1" applyBorder="1" applyAlignment="1">
      <alignment horizontal="center" vertical="center" wrapText="1"/>
    </xf>
    <xf numFmtId="0" fontId="18" fillId="10" borderId="28" xfId="0" applyFont="1" applyFill="1" applyBorder="1" applyAlignment="1">
      <alignment horizontal="center" vertical="center"/>
    </xf>
    <xf numFmtId="0" fontId="18" fillId="10" borderId="28" xfId="0" applyFont="1" applyFill="1" applyBorder="1" applyAlignment="1">
      <alignment horizontal="center" vertical="center" wrapText="1"/>
    </xf>
    <xf numFmtId="164" fontId="18" fillId="10" borderId="28" xfId="0" applyNumberFormat="1" applyFont="1" applyFill="1" applyBorder="1" applyAlignment="1">
      <alignment horizontal="center" vertical="center"/>
    </xf>
    <xf numFmtId="0" fontId="18" fillId="10" borderId="29" xfId="0" applyFont="1" applyFill="1" applyBorder="1" applyAlignment="1">
      <alignment horizontal="center" vertical="center"/>
    </xf>
    <xf numFmtId="0" fontId="0" fillId="15" borderId="37" xfId="0" applyFill="1" applyBorder="1" applyAlignment="1">
      <alignment horizontal="center" vertical="center"/>
    </xf>
    <xf numFmtId="164" fontId="0" fillId="10" borderId="37" xfId="0" applyNumberFormat="1" applyFill="1" applyBorder="1" applyAlignment="1">
      <alignment horizontal="center" vertical="center"/>
    </xf>
    <xf numFmtId="0" fontId="0" fillId="10" borderId="38" xfId="0" applyFill="1" applyBorder="1" applyAlignment="1">
      <alignment horizontal="center" vertical="center"/>
    </xf>
    <xf numFmtId="0" fontId="22" fillId="10" borderId="18" xfId="0" applyFont="1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 wrapText="1"/>
    </xf>
    <xf numFmtId="0" fontId="0" fillId="10" borderId="18" xfId="0" applyFill="1" applyBorder="1" applyAlignment="1">
      <alignment horizontal="center" vertical="center"/>
    </xf>
    <xf numFmtId="164" fontId="0" fillId="10" borderId="18" xfId="0" applyNumberFormat="1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22" fillId="10" borderId="28" xfId="0" applyFont="1" applyFill="1" applyBorder="1" applyAlignment="1">
      <alignment horizontal="center" vertical="center"/>
    </xf>
    <xf numFmtId="0" fontId="0" fillId="10" borderId="28" xfId="0" applyFill="1" applyBorder="1" applyAlignment="1">
      <alignment horizontal="center" vertical="center" wrapText="1"/>
    </xf>
    <xf numFmtId="0" fontId="22" fillId="10" borderId="37" xfId="0" applyFont="1" applyFill="1" applyBorder="1" applyAlignment="1">
      <alignment horizontal="center" vertical="center"/>
    </xf>
    <xf numFmtId="167" fontId="0" fillId="10" borderId="37" xfId="0" applyNumberFormat="1" applyFill="1" applyBorder="1" applyAlignment="1">
      <alignment horizontal="center" vertical="center"/>
    </xf>
    <xf numFmtId="166" fontId="0" fillId="10" borderId="37" xfId="0" applyNumberFormat="1" applyFill="1" applyBorder="1" applyAlignment="1">
      <alignment horizontal="center" vertical="center"/>
    </xf>
    <xf numFmtId="167" fontId="0" fillId="10" borderId="28" xfId="0" applyNumberFormat="1" applyFill="1" applyBorder="1" applyAlignment="1">
      <alignment horizontal="center" vertical="center"/>
    </xf>
    <xf numFmtId="0" fontId="18" fillId="10" borderId="18" xfId="0" applyFont="1" applyFill="1" applyBorder="1" applyAlignment="1">
      <alignment horizontal="center" vertical="center"/>
    </xf>
    <xf numFmtId="0" fontId="18" fillId="10" borderId="18" xfId="0" applyFont="1" applyFill="1" applyBorder="1" applyAlignment="1">
      <alignment horizontal="center" vertical="center" wrapText="1"/>
    </xf>
    <xf numFmtId="164" fontId="18" fillId="10" borderId="18" xfId="0" applyNumberFormat="1" applyFont="1" applyFill="1" applyBorder="1" applyAlignment="1">
      <alignment horizontal="center" vertical="center"/>
    </xf>
    <xf numFmtId="0" fontId="18" fillId="10" borderId="22" xfId="0" applyFont="1" applyFill="1" applyBorder="1" applyAlignment="1">
      <alignment horizontal="center" vertical="center"/>
    </xf>
    <xf numFmtId="0" fontId="18" fillId="10" borderId="22" xfId="0" applyFont="1" applyFill="1" applyBorder="1" applyAlignment="1">
      <alignment horizontal="center" vertical="center" wrapText="1"/>
    </xf>
    <xf numFmtId="167" fontId="18" fillId="10" borderId="22" xfId="0" applyNumberFormat="1" applyFont="1" applyFill="1" applyBorder="1" applyAlignment="1">
      <alignment horizontal="center" vertical="center"/>
    </xf>
    <xf numFmtId="0" fontId="18" fillId="10" borderId="36" xfId="0" applyFont="1" applyFill="1" applyBorder="1" applyAlignment="1">
      <alignment horizontal="center" vertical="center"/>
    </xf>
    <xf numFmtId="167" fontId="0" fillId="10" borderId="28" xfId="0" applyNumberFormat="1" applyFill="1" applyBorder="1" applyAlignment="1">
      <alignment horizontal="center" vertical="center" wrapText="1"/>
    </xf>
    <xf numFmtId="167" fontId="22" fillId="10" borderId="28" xfId="0" applyNumberFormat="1" applyFont="1" applyFill="1" applyBorder="1" applyAlignment="1">
      <alignment horizontal="center" vertical="center"/>
    </xf>
    <xf numFmtId="0" fontId="22" fillId="16" borderId="28" xfId="0" applyFont="1" applyFill="1" applyBorder="1" applyAlignment="1">
      <alignment horizontal="center" vertical="center" wrapText="1"/>
    </xf>
    <xf numFmtId="0" fontId="0" fillId="16" borderId="28" xfId="0" applyFill="1" applyBorder="1" applyAlignment="1">
      <alignment horizontal="center" vertical="center" wrapText="1"/>
    </xf>
    <xf numFmtId="0" fontId="0" fillId="16" borderId="28" xfId="0" applyFill="1" applyBorder="1" applyAlignment="1">
      <alignment horizontal="center" vertical="center"/>
    </xf>
    <xf numFmtId="167" fontId="0" fillId="16" borderId="28" xfId="0" applyNumberFormat="1" applyFill="1" applyBorder="1" applyAlignment="1">
      <alignment horizontal="center" vertical="center"/>
    </xf>
    <xf numFmtId="0" fontId="0" fillId="16" borderId="29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 wrapText="1"/>
    </xf>
    <xf numFmtId="0" fontId="0" fillId="10" borderId="33" xfId="0" applyFill="1" applyBorder="1" applyAlignment="1">
      <alignment horizontal="center" vertical="center"/>
    </xf>
    <xf numFmtId="0" fontId="22" fillId="10" borderId="22" xfId="0" applyFont="1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 wrapText="1"/>
    </xf>
    <xf numFmtId="164" fontId="0" fillId="10" borderId="22" xfId="0" applyNumberFormat="1" applyFill="1" applyBorder="1" applyAlignment="1">
      <alignment horizontal="center" vertical="center"/>
    </xf>
    <xf numFmtId="0" fontId="0" fillId="10" borderId="36" xfId="0" applyFill="1" applyBorder="1" applyAlignment="1">
      <alignment horizontal="center" vertical="center"/>
    </xf>
    <xf numFmtId="0" fontId="25" fillId="10" borderId="28" xfId="0" applyFont="1" applyFill="1" applyBorder="1" applyAlignment="1">
      <alignment horizontal="center" vertical="center"/>
    </xf>
    <xf numFmtId="0" fontId="22" fillId="10" borderId="2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2" fillId="10" borderId="44" xfId="0" applyFont="1" applyFill="1" applyBorder="1" applyAlignment="1">
      <alignment horizontal="center" vertical="center"/>
    </xf>
    <xf numFmtId="0" fontId="22" fillId="16" borderId="45" xfId="0" applyFont="1" applyFill="1" applyBorder="1" applyAlignment="1">
      <alignment horizontal="center" vertical="center"/>
    </xf>
    <xf numFmtId="0" fontId="0" fillId="16" borderId="22" xfId="0" applyFill="1" applyBorder="1" applyAlignment="1">
      <alignment horizontal="center" vertical="center"/>
    </xf>
    <xf numFmtId="0" fontId="18" fillId="16" borderId="22" xfId="0" applyFont="1" applyFill="1" applyBorder="1" applyAlignment="1">
      <alignment horizontal="center" vertical="center" wrapText="1"/>
    </xf>
    <xf numFmtId="0" fontId="0" fillId="16" borderId="22" xfId="0" applyFill="1" applyBorder="1" applyAlignment="1">
      <alignment horizontal="center" vertical="center" wrapText="1"/>
    </xf>
    <xf numFmtId="164" fontId="0" fillId="16" borderId="22" xfId="0" applyNumberFormat="1" applyFill="1" applyBorder="1" applyAlignment="1">
      <alignment horizontal="center" vertical="center"/>
    </xf>
    <xf numFmtId="0" fontId="0" fillId="16" borderId="36" xfId="0" applyFill="1" applyBorder="1" applyAlignment="1">
      <alignment horizontal="center" vertical="center"/>
    </xf>
    <xf numFmtId="0" fontId="22" fillId="16" borderId="45" xfId="0" applyFont="1" applyFill="1" applyBorder="1" applyAlignment="1">
      <alignment horizontal="center" vertical="center" wrapText="1"/>
    </xf>
    <xf numFmtId="0" fontId="18" fillId="16" borderId="28" xfId="0" applyFont="1" applyFill="1" applyBorder="1" applyAlignment="1">
      <alignment horizontal="center" vertical="center"/>
    </xf>
    <xf numFmtId="166" fontId="0" fillId="16" borderId="28" xfId="0" applyNumberFormat="1" applyFill="1" applyBorder="1" applyAlignment="1">
      <alignment horizontal="center" vertical="center"/>
    </xf>
    <xf numFmtId="166" fontId="21" fillId="16" borderId="28" xfId="0" applyNumberFormat="1" applyFont="1" applyFill="1" applyBorder="1" applyAlignment="1">
      <alignment horizontal="center" vertical="center"/>
    </xf>
    <xf numFmtId="0" fontId="18" fillId="16" borderId="29" xfId="0" applyFont="1" applyFill="1" applyBorder="1" applyAlignment="1">
      <alignment horizontal="center" vertical="center"/>
    </xf>
    <xf numFmtId="0" fontId="18" fillId="16" borderId="28" xfId="0" applyFont="1" applyFill="1" applyBorder="1" applyAlignment="1">
      <alignment horizontal="center" vertical="center" wrapText="1"/>
    </xf>
    <xf numFmtId="167" fontId="18" fillId="16" borderId="28" xfId="0" applyNumberFormat="1" applyFont="1" applyFill="1" applyBorder="1" applyAlignment="1">
      <alignment horizontal="center" vertical="center"/>
    </xf>
    <xf numFmtId="0" fontId="18" fillId="16" borderId="37" xfId="0" applyFont="1" applyFill="1" applyBorder="1" applyAlignment="1">
      <alignment horizontal="center" vertical="center"/>
    </xf>
    <xf numFmtId="0" fontId="18" fillId="16" borderId="38" xfId="0" applyFont="1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166" fontId="0" fillId="10" borderId="28" xfId="0" applyNumberFormat="1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164" fontId="22" fillId="10" borderId="28" xfId="0" applyNumberFormat="1" applyFont="1" applyFill="1" applyBorder="1" applyAlignment="1">
      <alignment horizontal="center" vertical="center"/>
    </xf>
    <xf numFmtId="0" fontId="22" fillId="16" borderId="28" xfId="0" applyFont="1" applyFill="1" applyBorder="1" applyAlignment="1">
      <alignment horizontal="center" vertical="center"/>
    </xf>
    <xf numFmtId="164" fontId="0" fillId="16" borderId="28" xfId="0" applyNumberFormat="1" applyFill="1" applyBorder="1" applyAlignment="1">
      <alignment horizontal="center" vertical="center"/>
    </xf>
    <xf numFmtId="0" fontId="0" fillId="16" borderId="33" xfId="0" applyFill="1" applyBorder="1" applyAlignment="1">
      <alignment horizontal="center" vertical="center"/>
    </xf>
    <xf numFmtId="164" fontId="0" fillId="16" borderId="22" xfId="0" applyNumberFormat="1" applyFill="1" applyBorder="1" applyAlignment="1">
      <alignment horizontal="center" vertical="center" wrapText="1"/>
    </xf>
    <xf numFmtId="0" fontId="22" fillId="16" borderId="22" xfId="0" applyFont="1" applyFill="1" applyBorder="1" applyAlignment="1">
      <alignment horizontal="center" vertical="center"/>
    </xf>
    <xf numFmtId="164" fontId="0" fillId="16" borderId="28" xfId="0" applyNumberFormat="1" applyFill="1" applyBorder="1" applyAlignment="1">
      <alignment horizontal="center" vertical="center" wrapText="1"/>
    </xf>
    <xf numFmtId="0" fontId="0" fillId="16" borderId="37" xfId="0" applyFill="1" applyBorder="1" applyAlignment="1">
      <alignment horizontal="center" vertical="center"/>
    </xf>
    <xf numFmtId="164" fontId="0" fillId="16" borderId="37" xfId="0" applyNumberFormat="1" applyFill="1" applyBorder="1" applyAlignment="1">
      <alignment horizontal="center" vertical="center" wrapText="1"/>
    </xf>
    <xf numFmtId="0" fontId="0" fillId="16" borderId="38" xfId="0" applyFill="1" applyBorder="1" applyAlignment="1">
      <alignment horizontal="center" vertical="center"/>
    </xf>
    <xf numFmtId="0" fontId="0" fillId="17" borderId="28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 wrapText="1"/>
    </xf>
    <xf numFmtId="0" fontId="18" fillId="10" borderId="24" xfId="0" applyFont="1" applyFill="1" applyBorder="1" applyAlignment="1">
      <alignment horizontal="center" vertical="center"/>
    </xf>
    <xf numFmtId="0" fontId="18" fillId="10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 wrapText="1"/>
    </xf>
    <xf numFmtId="164" fontId="0" fillId="16" borderId="1" xfId="0" applyNumberFormat="1" applyFill="1" applyBorder="1" applyAlignment="1">
      <alignment horizontal="center" vertical="center"/>
    </xf>
    <xf numFmtId="0" fontId="22" fillId="0" borderId="18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22" fillId="10" borderId="28" xfId="0" applyFont="1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/>
    </xf>
    <xf numFmtId="164" fontId="0" fillId="0" borderId="22" xfId="0" applyNumberFormat="1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22" fillId="0" borderId="28" xfId="0" applyFont="1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 wrapText="1"/>
    </xf>
    <xf numFmtId="2" fontId="0" fillId="0" borderId="28" xfId="0" applyNumberFormat="1" applyFill="1" applyBorder="1" applyAlignment="1">
      <alignment horizontal="center" vertical="center" wrapText="1"/>
    </xf>
    <xf numFmtId="164" fontId="0" fillId="0" borderId="28" xfId="0" applyNumberFormat="1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 wrapText="1"/>
    </xf>
    <xf numFmtId="164" fontId="0" fillId="0" borderId="6" xfId="0" applyNumberFormat="1" applyFill="1" applyBorder="1" applyAlignment="1">
      <alignment horizontal="center" vertical="center"/>
    </xf>
    <xf numFmtId="164" fontId="22" fillId="16" borderId="28" xfId="0" applyNumberFormat="1" applyFont="1" applyFill="1" applyBorder="1" applyAlignment="1">
      <alignment horizontal="center" vertical="center"/>
    </xf>
    <xf numFmtId="164" fontId="22" fillId="0" borderId="28" xfId="0" applyNumberFormat="1" applyFont="1" applyFill="1" applyBorder="1" applyAlignment="1">
      <alignment horizontal="center" vertical="center"/>
    </xf>
    <xf numFmtId="0" fontId="22" fillId="5" borderId="28" xfId="0" applyFont="1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164" fontId="22" fillId="5" borderId="28" xfId="0" applyNumberFormat="1" applyFont="1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22" fillId="0" borderId="28" xfId="0" applyFont="1" applyFill="1" applyBorder="1" applyAlignment="1">
      <alignment horizontal="center" vertical="center" wrapText="1"/>
    </xf>
    <xf numFmtId="166" fontId="22" fillId="0" borderId="28" xfId="0" applyNumberFormat="1" applyFon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 wrapText="1"/>
    </xf>
    <xf numFmtId="164" fontId="0" fillId="0" borderId="21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22" fillId="0" borderId="22" xfId="0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horizontal="center" vertical="center"/>
    </xf>
    <xf numFmtId="0" fontId="22" fillId="5" borderId="1" xfId="0" applyFont="1" applyFill="1" applyBorder="1" applyAlignment="1">
      <alignment horizontal="center" vertical="center"/>
    </xf>
    <xf numFmtId="17" fontId="22" fillId="5" borderId="1" xfId="0" applyNumberFormat="1" applyFont="1" applyFill="1" applyBorder="1" applyAlignment="1">
      <alignment horizontal="center" vertical="center"/>
    </xf>
    <xf numFmtId="49" fontId="22" fillId="5" borderId="1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1" xfId="0" applyFont="1" applyBorder="1"/>
    <xf numFmtId="0" fontId="18" fillId="0" borderId="1" xfId="0" applyFont="1" applyBorder="1" applyAlignment="1">
      <alignment horizontal="center" vertical="center"/>
    </xf>
    <xf numFmtId="0" fontId="26" fillId="0" borderId="1" xfId="0" applyFont="1" applyFill="1" applyBorder="1" applyAlignment="1">
      <alignment horizontal="center" vertical="center" wrapText="1"/>
    </xf>
    <xf numFmtId="0" fontId="26" fillId="0" borderId="14" xfId="0" applyFont="1" applyFill="1" applyBorder="1" applyAlignment="1">
      <alignment horizontal="center" vertical="center" wrapText="1"/>
    </xf>
    <xf numFmtId="0" fontId="26" fillId="6" borderId="14" xfId="0" applyFont="1" applyFill="1" applyBorder="1" applyAlignment="1">
      <alignment horizontal="center" vertical="center" wrapText="1"/>
    </xf>
    <xf numFmtId="0" fontId="26" fillId="6" borderId="8" xfId="0" applyFont="1" applyFill="1" applyBorder="1" applyAlignment="1">
      <alignment horizontal="center" vertical="center" wrapText="1"/>
    </xf>
    <xf numFmtId="0" fontId="26" fillId="7" borderId="14" xfId="0" applyFont="1" applyFill="1" applyBorder="1" applyAlignment="1">
      <alignment horizontal="center" vertical="center" wrapText="1"/>
    </xf>
    <xf numFmtId="0" fontId="26" fillId="7" borderId="11" xfId="0" applyFont="1" applyFill="1" applyBorder="1" applyAlignment="1">
      <alignment horizontal="center" vertical="center" wrapText="1"/>
    </xf>
    <xf numFmtId="0" fontId="21" fillId="0" borderId="1" xfId="0" applyFont="1" applyBorder="1"/>
    <xf numFmtId="0" fontId="0" fillId="0" borderId="1" xfId="0" applyFont="1" applyBorder="1" applyAlignment="1">
      <alignment wrapText="1"/>
    </xf>
    <xf numFmtId="0" fontId="0" fillId="0" borderId="1" xfId="0" applyFont="1" applyFill="1" applyBorder="1" applyAlignment="1">
      <alignment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/>
    </xf>
    <xf numFmtId="17" fontId="0" fillId="0" borderId="1" xfId="0" applyNumberFormat="1" applyFont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5" fillId="4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14" fillId="0" borderId="5" xfId="0" applyNumberFormat="1" applyFont="1" applyBorder="1" applyAlignment="1">
      <alignment horizontal="right" wrapText="1"/>
    </xf>
    <xf numFmtId="14" fontId="14" fillId="0" borderId="4" xfId="0" applyNumberFormat="1" applyFont="1" applyBorder="1" applyAlignment="1">
      <alignment horizontal="right" wrapText="1"/>
    </xf>
    <xf numFmtId="14" fontId="14" fillId="0" borderId="3" xfId="0" applyNumberFormat="1" applyFont="1" applyBorder="1" applyAlignment="1">
      <alignment horizontal="right" wrapText="1"/>
    </xf>
    <xf numFmtId="0" fontId="7" fillId="0" borderId="0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2" fontId="5" fillId="0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5" fillId="4" borderId="11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5" fillId="0" borderId="14" xfId="0" applyFont="1" applyFill="1" applyBorder="1" applyAlignment="1">
      <alignment horizontal="center" vertical="center" wrapText="1"/>
    </xf>
    <xf numFmtId="0" fontId="5" fillId="0" borderId="16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5" fillId="0" borderId="14" xfId="0" applyFont="1" applyFill="1" applyBorder="1" applyAlignment="1">
      <alignment horizontal="left" vertical="center" wrapText="1"/>
    </xf>
    <xf numFmtId="0" fontId="5" fillId="0" borderId="16" xfId="0" applyFont="1" applyFill="1" applyBorder="1" applyAlignment="1">
      <alignment horizontal="left" vertical="center" wrapText="1"/>
    </xf>
    <xf numFmtId="0" fontId="5" fillId="0" borderId="15" xfId="0" applyFont="1" applyFill="1" applyBorder="1" applyAlignment="1">
      <alignment horizontal="left" vertical="center" wrapText="1"/>
    </xf>
    <xf numFmtId="0" fontId="15" fillId="9" borderId="30" xfId="0" applyFont="1" applyFill="1" applyBorder="1" applyAlignment="1">
      <alignment horizontal="center" vertical="center"/>
    </xf>
    <xf numFmtId="0" fontId="15" fillId="9" borderId="31" xfId="0" applyFont="1" applyFill="1" applyBorder="1" applyAlignment="1">
      <alignment horizontal="center" vertical="center"/>
    </xf>
    <xf numFmtId="0" fontId="15" fillId="9" borderId="32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20" fillId="0" borderId="8" xfId="0" applyFont="1" applyBorder="1" applyAlignment="1">
      <alignment horizontal="center" vertical="center"/>
    </xf>
    <xf numFmtId="0" fontId="20" fillId="0" borderId="10" xfId="0" applyFont="1" applyBorder="1" applyAlignment="1">
      <alignment horizontal="center" vertical="center"/>
    </xf>
    <xf numFmtId="0" fontId="20" fillId="0" borderId="9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0" fillId="0" borderId="20" xfId="0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0" fontId="20" fillId="0" borderId="13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49" fontId="0" fillId="0" borderId="14" xfId="0" applyNumberFormat="1" applyBorder="1" applyAlignment="1">
      <alignment horizontal="left"/>
    </xf>
    <xf numFmtId="49" fontId="0" fillId="0" borderId="15" xfId="0" applyNumberFormat="1" applyBorder="1" applyAlignment="1">
      <alignment horizontal="left"/>
    </xf>
    <xf numFmtId="0" fontId="0" fillId="0" borderId="1" xfId="0" applyBorder="1" applyAlignment="1">
      <alignment horizontal="center"/>
    </xf>
    <xf numFmtId="0" fontId="27" fillId="0" borderId="15" xfId="0" applyFont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0" fillId="0" borderId="14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27" fillId="0" borderId="0" xfId="0" applyFont="1" applyBorder="1" applyAlignment="1">
      <alignment horizontal="center" vertical="center"/>
    </xf>
    <xf numFmtId="0" fontId="0" fillId="0" borderId="46" xfId="0" applyFill="1" applyBorder="1"/>
    <xf numFmtId="14" fontId="28" fillId="0" borderId="0" xfId="0" applyNumberFormat="1" applyFont="1" applyBorder="1"/>
    <xf numFmtId="14" fontId="14" fillId="0" borderId="0" xfId="0" applyNumberFormat="1" applyFont="1" applyBorder="1" applyAlignment="1">
      <alignment horizontal="right" wrapText="1"/>
    </xf>
    <xf numFmtId="0" fontId="7" fillId="2" borderId="14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4" fontId="13" fillId="0" borderId="2" xfId="0" applyNumberFormat="1" applyFont="1" applyFill="1" applyBorder="1" applyAlignment="1">
      <alignment horizontal="center" vertical="center" wrapText="1"/>
    </xf>
    <xf numFmtId="4" fontId="12" fillId="0" borderId="2" xfId="0" applyNumberFormat="1" applyFont="1" applyFill="1" applyBorder="1" applyAlignment="1">
      <alignment horizontal="center" vertical="center" wrapText="1"/>
    </xf>
    <xf numFmtId="4" fontId="10" fillId="0" borderId="2" xfId="0" applyNumberFormat="1" applyFont="1" applyFill="1" applyBorder="1" applyAlignment="1">
      <alignment horizontal="center" vertical="center" wrapText="1"/>
    </xf>
    <xf numFmtId="0" fontId="26" fillId="6" borderId="1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5" fillId="18" borderId="1" xfId="0" applyFont="1" applyFill="1" applyBorder="1" applyAlignment="1">
      <alignment horizontal="center" vertical="center" wrapText="1"/>
    </xf>
    <xf numFmtId="0" fontId="10" fillId="18" borderId="1" xfId="0" applyFont="1" applyFill="1" applyBorder="1" applyAlignment="1">
      <alignment horizontal="center" vertical="center" wrapText="1"/>
    </xf>
    <xf numFmtId="0" fontId="5" fillId="18" borderId="1" xfId="0" applyFont="1" applyFill="1" applyBorder="1" applyAlignment="1">
      <alignment horizontal="center"/>
    </xf>
    <xf numFmtId="0" fontId="7" fillId="18" borderId="1" xfId="0" applyFont="1" applyFill="1" applyBorder="1" applyAlignment="1">
      <alignment horizontal="center" vertical="center" wrapText="1"/>
    </xf>
  </cellXfs>
  <cellStyles count="3">
    <cellStyle name="Milliers" xfId="2" builtinId="3"/>
    <cellStyle name="Normal" xfId="0" builtinId="0"/>
    <cellStyle name="Normal 2" xfId="1"/>
  </cellStyles>
  <dxfs count="2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ill>
        <patternFill patternType="solid">
          <bgColor rgb="FFFFCCC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B50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57149</xdr:colOff>
      <xdr:row>0</xdr:row>
      <xdr:rowOff>9526</xdr:rowOff>
    </xdr:from>
    <xdr:to>
      <xdr:col>1</xdr:col>
      <xdr:colOff>229616</xdr:colOff>
      <xdr:row>6</xdr:row>
      <xdr:rowOff>20574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149" y="9526"/>
          <a:ext cx="601092" cy="205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38100</xdr:colOff>
      <xdr:row>0</xdr:row>
      <xdr:rowOff>50800</xdr:rowOff>
    </xdr:from>
    <xdr:to>
      <xdr:col>1</xdr:col>
      <xdr:colOff>495300</xdr:colOff>
      <xdr:row>3</xdr:row>
      <xdr:rowOff>127000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8100" y="50800"/>
          <a:ext cx="885825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20455</xdr:colOff>
      <xdr:row>0</xdr:row>
      <xdr:rowOff>212669</xdr:rowOff>
    </xdr:from>
    <xdr:to>
      <xdr:col>1</xdr:col>
      <xdr:colOff>1657565</xdr:colOff>
      <xdr:row>3</xdr:row>
      <xdr:rowOff>272202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455" y="212669"/>
          <a:ext cx="2580085" cy="12025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shiba/Desktop/product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LE"/>
      <sheetName val="Pieces"/>
      <sheetName val="BDD"/>
      <sheetName val="02-09-19"/>
    </sheetNames>
    <sheetDataSet>
      <sheetData sheetId="0"/>
      <sheetData sheetId="1">
        <row r="1">
          <cell r="C1" t="str">
            <v>Cadence réelle</v>
          </cell>
        </row>
        <row r="2">
          <cell r="A2" t="str">
            <v xml:space="preserve"> BUSS. DIS. 14-3003 1320X28.7 AVP CARB </v>
          </cell>
          <cell r="B2">
            <v>510081</v>
          </cell>
        </row>
        <row r="3">
          <cell r="A3" t="str">
            <v>ANNEAU 25.2*32*29</v>
          </cell>
          <cell r="B3" t="str">
            <v>4-7611</v>
          </cell>
          <cell r="C3">
            <v>120</v>
          </cell>
        </row>
        <row r="4">
          <cell r="A4" t="str">
            <v>Anneau 30*38*23</v>
          </cell>
          <cell r="B4" t="str">
            <v>0-4599</v>
          </cell>
          <cell r="C4">
            <v>120</v>
          </cell>
        </row>
        <row r="5">
          <cell r="A5" t="str">
            <v>Anneau BN 25.2*32*31.5</v>
          </cell>
          <cell r="B5" t="str">
            <v>0-3863</v>
          </cell>
          <cell r="C5">
            <v>90</v>
          </cell>
        </row>
        <row r="6">
          <cell r="A6" t="str">
            <v>Anneau brut 30*28*27</v>
          </cell>
          <cell r="B6" t="str">
            <v>0-4965</v>
          </cell>
          <cell r="C6">
            <v>120</v>
          </cell>
        </row>
        <row r="7">
          <cell r="A7" t="str">
            <v>Anneau Brute 28*38*40</v>
          </cell>
          <cell r="B7" t="str">
            <v>0-3879</v>
          </cell>
          <cell r="C7">
            <v>45</v>
          </cell>
        </row>
        <row r="8">
          <cell r="A8" t="str">
            <v>anneau brute 30*38*21</v>
          </cell>
          <cell r="B8" t="str">
            <v>0-4457</v>
          </cell>
          <cell r="C8">
            <v>120</v>
          </cell>
        </row>
        <row r="9">
          <cell r="A9" t="str">
            <v>Anneau Brute 30*38*25</v>
          </cell>
          <cell r="B9" t="str">
            <v>0-3883</v>
          </cell>
          <cell r="C9">
            <v>120</v>
          </cell>
        </row>
        <row r="10">
          <cell r="A10" t="str">
            <v>Anneau Brute 30*38*27</v>
          </cell>
          <cell r="B10" t="str">
            <v>0-4965</v>
          </cell>
          <cell r="C10">
            <v>120</v>
          </cell>
        </row>
        <row r="11">
          <cell r="A11" t="str">
            <v>Anneau Brute 30*38*33</v>
          </cell>
          <cell r="B11" t="str">
            <v>0-3864</v>
          </cell>
          <cell r="C11">
            <v>120</v>
          </cell>
        </row>
        <row r="12">
          <cell r="A12" t="str">
            <v>Anneau FX 25.2*32*21</v>
          </cell>
          <cell r="B12" t="str">
            <v>0-4180</v>
          </cell>
          <cell r="C12">
            <v>120</v>
          </cell>
        </row>
        <row r="13">
          <cell r="A13" t="str">
            <v>armature intérieure-MULTI</v>
          </cell>
          <cell r="B13" t="str">
            <v>E355306</v>
          </cell>
          <cell r="C13">
            <v>400</v>
          </cell>
        </row>
        <row r="14">
          <cell r="A14" t="str">
            <v>Arrêt</v>
          </cell>
          <cell r="B14" t="str">
            <v xml:space="preserve"> - </v>
          </cell>
          <cell r="C14">
            <v>1</v>
          </cell>
        </row>
        <row r="15">
          <cell r="A15" t="str">
            <v>AXE</v>
          </cell>
          <cell r="B15" t="str">
            <v>2018012-01</v>
          </cell>
          <cell r="C15">
            <v>120</v>
          </cell>
        </row>
        <row r="16">
          <cell r="A16" t="str">
            <v>AXE 100x8-M4</v>
          </cell>
          <cell r="B16" t="str">
            <v>AXE 100x8-M4</v>
          </cell>
          <cell r="C16">
            <v>28</v>
          </cell>
        </row>
        <row r="17">
          <cell r="A17" t="str">
            <v>AXE 140 INOX D8 L66 140/76</v>
          </cell>
          <cell r="B17" t="str">
            <v>AXE-IN-D8-L66</v>
          </cell>
          <cell r="C17">
            <v>100</v>
          </cell>
        </row>
        <row r="18">
          <cell r="A18" t="str">
            <v>AXE 90 INOX D7</v>
          </cell>
          <cell r="B18" t="str">
            <v>AXE-IN-D7</v>
          </cell>
          <cell r="C18">
            <v>80</v>
          </cell>
        </row>
        <row r="19">
          <cell r="A19" t="str">
            <v>AXE AVEC INSERT INTEGRES</v>
          </cell>
          <cell r="B19" t="str">
            <v>2018110-01</v>
          </cell>
          <cell r="C19">
            <v>12</v>
          </cell>
        </row>
        <row r="20">
          <cell r="A20" t="str">
            <v>AXE D15-M11x100</v>
          </cell>
          <cell r="B20" t="str">
            <v>G022-CP1</v>
          </cell>
          <cell r="C20">
            <v>30</v>
          </cell>
        </row>
        <row r="21">
          <cell r="A21" t="str">
            <v xml:space="preserve">AXE D'ARTICULATION </v>
          </cell>
          <cell r="B21">
            <v>200101</v>
          </cell>
          <cell r="C21">
            <v>130</v>
          </cell>
        </row>
        <row r="22">
          <cell r="A22" t="str">
            <v>AXE DE FREIN OM40 PROD</v>
          </cell>
          <cell r="B22" t="str">
            <v>M030-PROD</v>
          </cell>
          <cell r="C22">
            <v>90</v>
          </cell>
        </row>
        <row r="23">
          <cell r="A23" t="str">
            <v>AXE DIRECTION ISUZU</v>
          </cell>
          <cell r="B23" t="str">
            <v>I059</v>
          </cell>
          <cell r="C23">
            <v>70</v>
          </cell>
        </row>
        <row r="24">
          <cell r="A24" t="str">
            <v>AXE ETRIER FORD RANGER-PROD</v>
          </cell>
          <cell r="B24" t="str">
            <v>FO011-PROD</v>
          </cell>
          <cell r="C24">
            <v>45</v>
          </cell>
        </row>
        <row r="25">
          <cell r="A25" t="str">
            <v>AXE ETRIER MITSUBISHI D21.9 AVEC SOUFFLET-CP1 PROD</v>
          </cell>
          <cell r="B25" t="str">
            <v>MI030-CP1-PROD</v>
          </cell>
          <cell r="C25">
            <v>30</v>
          </cell>
        </row>
        <row r="26">
          <cell r="A26" t="str">
            <v>AXE ETRIER SUP MITSUBISHI L200(536)</v>
          </cell>
          <cell r="B26" t="str">
            <v>MI029</v>
          </cell>
          <cell r="C26">
            <v>30</v>
          </cell>
        </row>
        <row r="27">
          <cell r="A27" t="str">
            <v>AXE FEMELLE</v>
          </cell>
          <cell r="B27" t="str">
            <v>AXE FEMELLE-D16</v>
          </cell>
          <cell r="C27">
            <v>30</v>
          </cell>
        </row>
        <row r="28">
          <cell r="A28" t="str">
            <v xml:space="preserve">AXE FEMELLE </v>
          </cell>
          <cell r="B28" t="str">
            <v>2018051-01</v>
          </cell>
          <cell r="C28">
            <v>30</v>
          </cell>
        </row>
        <row r="29">
          <cell r="A29" t="str">
            <v>AXE FEMELLE M8X55</v>
          </cell>
          <cell r="B29" t="str">
            <v>2018106-02-02</v>
          </cell>
          <cell r="C29">
            <v>30</v>
          </cell>
        </row>
        <row r="30">
          <cell r="A30" t="str">
            <v>AXE FOURCHETTE</v>
          </cell>
          <cell r="B30" t="str">
            <v>19037-1</v>
          </cell>
          <cell r="C30">
            <v>70</v>
          </cell>
        </row>
        <row r="31">
          <cell r="A31" t="str">
            <v>AXE FOURCHETTE SIMPLE</v>
          </cell>
          <cell r="B31" t="str">
            <v>2018013-01</v>
          </cell>
          <cell r="C31">
            <v>120</v>
          </cell>
        </row>
        <row r="32">
          <cell r="A32" t="str">
            <v xml:space="preserve">AXE GM JUMELLE MITSUBITCHI </v>
          </cell>
          <cell r="B32" t="str">
            <v>MI013-CP1</v>
          </cell>
          <cell r="C32">
            <v>50</v>
          </cell>
        </row>
        <row r="33">
          <cell r="A33" t="str">
            <v>AXE INOX 303</v>
          </cell>
          <cell r="B33" t="str">
            <v>500-1-46933</v>
          </cell>
          <cell r="C33">
            <v>28</v>
          </cell>
        </row>
        <row r="34">
          <cell r="A34" t="str">
            <v>axe jumelle ISUZU</v>
          </cell>
          <cell r="B34" t="str">
            <v>TF57-CP2</v>
          </cell>
          <cell r="C34">
            <v>60</v>
          </cell>
        </row>
        <row r="35">
          <cell r="A35" t="str">
            <v>AXE L=124mm JEMELLE FORD PROD</v>
          </cell>
          <cell r="B35" t="str">
            <v>FO021-CP2</v>
          </cell>
          <cell r="C35">
            <v>50</v>
          </cell>
        </row>
        <row r="36">
          <cell r="A36" t="str">
            <v>AXE LAITON Ø10.2*41.3</v>
          </cell>
          <cell r="B36" t="str">
            <v>AXE-LAIT 10.2X41.3</v>
          </cell>
          <cell r="C36">
            <v>100</v>
          </cell>
        </row>
        <row r="37">
          <cell r="A37" t="str">
            <v xml:space="preserve">AXE LEVIER PORTE </v>
          </cell>
          <cell r="B37" t="str">
            <v>P210203</v>
          </cell>
          <cell r="C37">
            <v>110</v>
          </cell>
        </row>
        <row r="38">
          <cell r="A38" t="str">
            <v>AXE LISSE D8</v>
          </cell>
          <cell r="B38" t="str">
            <v>Tz36000005388</v>
          </cell>
          <cell r="C38">
            <v>110</v>
          </cell>
        </row>
        <row r="39">
          <cell r="A39" t="str">
            <v>AXE MALE AVEC TROU</v>
          </cell>
          <cell r="B39" t="str">
            <v>AXE MALE A-T D16</v>
          </cell>
          <cell r="C39">
            <v>30</v>
          </cell>
        </row>
        <row r="40">
          <cell r="A40" t="str">
            <v>AXE MALE EN I</v>
          </cell>
          <cell r="B40" t="str">
            <v>2018146-02</v>
          </cell>
          <cell r="C40">
            <v>30</v>
          </cell>
        </row>
        <row r="41">
          <cell r="A41" t="str">
            <v>AXE MALE L=100</v>
          </cell>
          <cell r="B41">
            <v>2018130</v>
          </cell>
          <cell r="C41">
            <v>30</v>
          </cell>
        </row>
        <row r="42">
          <cell r="A42" t="str">
            <v>AXE MALE SANS TROU</v>
          </cell>
          <cell r="B42" t="str">
            <v>AXE MALE S-T D16</v>
          </cell>
        </row>
        <row r="43">
          <cell r="A43" t="str">
            <v>AXE MALE V02</v>
          </cell>
          <cell r="B43" t="str">
            <v>2018106-02-01</v>
          </cell>
          <cell r="C43">
            <v>12</v>
          </cell>
        </row>
        <row r="44">
          <cell r="A44" t="str">
            <v>AXE MALE-001</v>
          </cell>
          <cell r="B44" t="str">
            <v>2018122-03</v>
          </cell>
          <cell r="C44">
            <v>60</v>
          </cell>
        </row>
        <row r="45">
          <cell r="A45" t="str">
            <v>AXE PORTE TURBINE D10</v>
          </cell>
          <cell r="B45" t="str">
            <v>A001</v>
          </cell>
          <cell r="C45">
            <v>36</v>
          </cell>
        </row>
        <row r="46">
          <cell r="A46" t="str">
            <v>Axe tendeur de 10</v>
          </cell>
          <cell r="B46" t="str">
            <v>AXE - T - D10</v>
          </cell>
          <cell r="C46">
            <v>360</v>
          </cell>
        </row>
        <row r="47">
          <cell r="A47" t="str">
            <v xml:space="preserve">AXE TENDEUR DE 11 </v>
          </cell>
          <cell r="B47" t="str">
            <v>AXE-T- D11</v>
          </cell>
          <cell r="C47">
            <v>90</v>
          </cell>
        </row>
        <row r="48">
          <cell r="A48" t="str">
            <v>AXE TRIANGLE SUSPENSION-CP1 PROD</v>
          </cell>
          <cell r="B48" t="str">
            <v>I094-CP1-PROD</v>
          </cell>
          <cell r="C48">
            <v>100</v>
          </cell>
        </row>
        <row r="49">
          <cell r="A49" t="str">
            <v>BAGUE  GALVANISEE 16X11X4</v>
          </cell>
          <cell r="B49" t="str">
            <v>G022-CP5</v>
          </cell>
          <cell r="C49">
            <v>120</v>
          </cell>
        </row>
        <row r="50">
          <cell r="A50" t="str">
            <v>Bague 10.5x25x75</v>
          </cell>
          <cell r="B50">
            <v>181075</v>
          </cell>
          <cell r="C50">
            <v>30</v>
          </cell>
        </row>
        <row r="51">
          <cell r="A51" t="str">
            <v>BAGUE 12*22*56.2</v>
          </cell>
          <cell r="B51" t="str">
            <v>12x22x56.2</v>
          </cell>
          <cell r="C51">
            <v>45</v>
          </cell>
        </row>
        <row r="52">
          <cell r="A52" t="str">
            <v>BAGUE 12*22*65</v>
          </cell>
          <cell r="B52" t="str">
            <v>12x22x65</v>
          </cell>
          <cell r="C52">
            <v>50</v>
          </cell>
        </row>
        <row r="53">
          <cell r="A53" t="str">
            <v>BAGUE 12*25*60.5</v>
          </cell>
          <cell r="B53">
            <v>181270</v>
          </cell>
          <cell r="C53">
            <v>37</v>
          </cell>
        </row>
        <row r="54">
          <cell r="A54" t="str">
            <v>BAGUE 18*14.5*68</v>
          </cell>
          <cell r="B54" t="str">
            <v>BAG 18x14.5</v>
          </cell>
          <cell r="C54">
            <v>120</v>
          </cell>
        </row>
        <row r="55">
          <cell r="A55" t="str">
            <v>Bague acier 10x14x102</v>
          </cell>
          <cell r="B55" t="str">
            <v>10x14x102</v>
          </cell>
          <cell r="C55">
            <v>120</v>
          </cell>
        </row>
        <row r="56">
          <cell r="A56" t="str">
            <v>BAGUE ACIER 12*9*11</v>
          </cell>
          <cell r="B56" t="str">
            <v>12x9x11</v>
          </cell>
          <cell r="C56">
            <v>120</v>
          </cell>
        </row>
        <row r="57">
          <cell r="A57" t="str">
            <v>Bague acier 12x11x9.5(4g)</v>
          </cell>
          <cell r="B57" t="str">
            <v>12*11*9,5</v>
          </cell>
          <cell r="C57">
            <v>120</v>
          </cell>
        </row>
        <row r="58">
          <cell r="A58" t="str">
            <v>bague acier 14*20*48</v>
          </cell>
          <cell r="B58" t="str">
            <v>14*20*48</v>
          </cell>
          <cell r="C58">
            <v>120</v>
          </cell>
        </row>
        <row r="59">
          <cell r="A59" t="str">
            <v>BAGUE ACIER 8.5x6.5x10</v>
          </cell>
          <cell r="B59" t="str">
            <v>8.5x6.5x10</v>
          </cell>
          <cell r="C59">
            <v>120</v>
          </cell>
        </row>
        <row r="60">
          <cell r="A60" t="str">
            <v>BAGUE ACIER 8.5x6.5x5.8</v>
          </cell>
          <cell r="B60" t="str">
            <v>8.5x6.5x5.8</v>
          </cell>
          <cell r="C60">
            <v>120</v>
          </cell>
        </row>
        <row r="61">
          <cell r="A61" t="str">
            <v>bague acier galvanisée 10x14x112</v>
          </cell>
          <cell r="B61" t="str">
            <v>10x14x112</v>
          </cell>
          <cell r="C61">
            <v>80</v>
          </cell>
        </row>
        <row r="62">
          <cell r="A62" t="str">
            <v>BAGUE ACIER GALVANISEE 14*10*102</v>
          </cell>
          <cell r="B62" t="str">
            <v>14X10X102</v>
          </cell>
          <cell r="C62">
            <v>70</v>
          </cell>
        </row>
        <row r="63">
          <cell r="A63" t="str">
            <v>BAGUE ACIER GALVANISEE 14*10*112</v>
          </cell>
          <cell r="B63" t="str">
            <v>10x14x112</v>
          </cell>
          <cell r="C63">
            <v>70</v>
          </cell>
        </row>
        <row r="64">
          <cell r="A64" t="str">
            <v>Bague acier nécessaire OM40</v>
          </cell>
          <cell r="B64" t="str">
            <v>M018-CP1</v>
          </cell>
        </row>
        <row r="65">
          <cell r="A65" t="str">
            <v>BAGUE ACIER NECESSAIRE-CP1 PROD</v>
          </cell>
          <cell r="B65" t="str">
            <v>m020-cp1</v>
          </cell>
          <cell r="C65">
            <v>120</v>
          </cell>
        </row>
        <row r="66">
          <cell r="A66" t="str">
            <v>Bague acier Ø13</v>
          </cell>
          <cell r="B66" t="str">
            <v>12.75x28.2x8.5</v>
          </cell>
          <cell r="C66">
            <v>120</v>
          </cell>
        </row>
        <row r="67">
          <cell r="A67" t="str">
            <v>bague allu 27*14.5*55</v>
          </cell>
          <cell r="B67" t="str">
            <v>14,5x27x55</v>
          </cell>
          <cell r="C67">
            <v>120</v>
          </cell>
        </row>
        <row r="68">
          <cell r="A68" t="str">
            <v>BAGUE ALU 14.5*27*42</v>
          </cell>
          <cell r="B68" t="str">
            <v>14.5x27x42</v>
          </cell>
          <cell r="C68">
            <v>90</v>
          </cell>
        </row>
        <row r="69">
          <cell r="A69" t="str">
            <v>BAGUE ALU 18*27*43</v>
          </cell>
          <cell r="B69" t="str">
            <v>18X27X43</v>
          </cell>
          <cell r="C69">
            <v>90</v>
          </cell>
        </row>
        <row r="70">
          <cell r="A70" t="str">
            <v>bague aluminium 14,5x27x45</v>
          </cell>
          <cell r="B70" t="str">
            <v>4 - 78 36</v>
          </cell>
          <cell r="C70">
            <v>120</v>
          </cell>
        </row>
        <row r="71">
          <cell r="A71" t="str">
            <v>Bague aluminium 14.4*24*40</v>
          </cell>
          <cell r="B71" t="str">
            <v>4-7828</v>
          </cell>
          <cell r="C71">
            <v>90</v>
          </cell>
        </row>
        <row r="72">
          <cell r="A72" t="str">
            <v>Bague aluminium 14.4*24*40 biglia</v>
          </cell>
          <cell r="B72" t="str">
            <v>4-7828</v>
          </cell>
          <cell r="C72">
            <v>60</v>
          </cell>
        </row>
        <row r="73">
          <cell r="A73" t="str">
            <v>Bague aluminium 14.4*27*42</v>
          </cell>
          <cell r="B73" t="str">
            <v>4-7971</v>
          </cell>
          <cell r="C73">
            <v>90</v>
          </cell>
        </row>
        <row r="74">
          <cell r="A74" t="str">
            <v>Bague aluminium 14.4*27*54</v>
          </cell>
          <cell r="B74" t="str">
            <v>4-8407</v>
          </cell>
          <cell r="C74">
            <v>90</v>
          </cell>
        </row>
        <row r="75">
          <cell r="A75" t="str">
            <v>Bague aluminium 14.4*27*58.6</v>
          </cell>
          <cell r="B75" t="str">
            <v>4-8109</v>
          </cell>
          <cell r="C75">
            <v>90</v>
          </cell>
        </row>
        <row r="76">
          <cell r="A76" t="str">
            <v>Bague aluminium 14.4x25x40</v>
          </cell>
          <cell r="B76" t="str">
            <v>4-7989</v>
          </cell>
          <cell r="C76">
            <v>120</v>
          </cell>
        </row>
        <row r="77">
          <cell r="A77" t="str">
            <v>Bague aluminium 14.4x27x54</v>
          </cell>
          <cell r="B77" t="str">
            <v>4-8407</v>
          </cell>
          <cell r="C77">
            <v>120</v>
          </cell>
        </row>
        <row r="78">
          <cell r="A78" t="str">
            <v>Bague aluminium 16*27*64</v>
          </cell>
          <cell r="B78" t="str">
            <v>4-7135</v>
          </cell>
          <cell r="C78">
            <v>120</v>
          </cell>
        </row>
        <row r="79">
          <cell r="A79" t="str">
            <v>Bague Aluminium 16x27x43</v>
          </cell>
          <cell r="B79" t="str">
            <v>4-84 05</v>
          </cell>
          <cell r="C79">
            <v>120</v>
          </cell>
        </row>
        <row r="80">
          <cell r="A80" t="str">
            <v>Bague aluminium epaulee 14.4*27*55</v>
          </cell>
          <cell r="B80" t="str">
            <v>4-7329A</v>
          </cell>
          <cell r="C80">
            <v>60</v>
          </cell>
        </row>
        <row r="81">
          <cell r="A81" t="str">
            <v>bague aluminum lg30</v>
          </cell>
          <cell r="B81" t="str">
            <v>-</v>
          </cell>
        </row>
        <row r="82">
          <cell r="A82" t="str">
            <v>BAGUE BOUGIE CULASSE</v>
          </cell>
          <cell r="B82" t="str">
            <v>D001</v>
          </cell>
          <cell r="C82">
            <v>90</v>
          </cell>
        </row>
        <row r="83">
          <cell r="A83" t="str">
            <v>Bague Brute  10*16*5</v>
          </cell>
          <cell r="B83" t="str">
            <v>0-3737</v>
          </cell>
          <cell r="C83">
            <v>120</v>
          </cell>
        </row>
        <row r="84">
          <cell r="A84" t="str">
            <v>Bague Brute  10*16*7</v>
          </cell>
          <cell r="B84" t="str">
            <v>0-3738</v>
          </cell>
          <cell r="C84">
            <v>120</v>
          </cell>
        </row>
        <row r="85">
          <cell r="A85" t="str">
            <v>Bague Brute  14*20*75</v>
          </cell>
          <cell r="B85" t="str">
            <v>0-5615</v>
          </cell>
          <cell r="C85">
            <v>120</v>
          </cell>
        </row>
        <row r="86">
          <cell r="A86" t="str">
            <v>Bague brute 10x14x10</v>
          </cell>
          <cell r="B86" t="str">
            <v>0-5579</v>
          </cell>
          <cell r="C86">
            <v>60</v>
          </cell>
        </row>
        <row r="87">
          <cell r="A87" t="str">
            <v>BAGUE BRUTE 12x20x14,5</v>
          </cell>
          <cell r="B87" t="str">
            <v>4-8661</v>
          </cell>
          <cell r="C87">
            <v>80</v>
          </cell>
        </row>
        <row r="88">
          <cell r="A88" t="str">
            <v>bague brute 14x20x8</v>
          </cell>
          <cell r="B88" t="str">
            <v>4-7862</v>
          </cell>
        </row>
        <row r="89">
          <cell r="A89" t="str">
            <v>Bague Brute 16*28*62</v>
          </cell>
          <cell r="B89" t="str">
            <v>4-7863</v>
          </cell>
          <cell r="C89">
            <v>60</v>
          </cell>
        </row>
        <row r="90">
          <cell r="A90" t="str">
            <v>Bague brute 20x28x43</v>
          </cell>
          <cell r="B90" t="str">
            <v>4-76 86</v>
          </cell>
          <cell r="C90">
            <v>60</v>
          </cell>
        </row>
        <row r="91">
          <cell r="A91" t="str">
            <v>Bague Brute 25.2*32*23</v>
          </cell>
          <cell r="B91" t="str">
            <v>4-7659</v>
          </cell>
          <cell r="C91">
            <v>120</v>
          </cell>
        </row>
        <row r="92">
          <cell r="A92" t="str">
            <v>Bague Brute 25.2*32*24.8</v>
          </cell>
          <cell r="B92" t="str">
            <v>4-7575</v>
          </cell>
          <cell r="C92">
            <v>120</v>
          </cell>
        </row>
        <row r="93">
          <cell r="A93" t="str">
            <v>bague butée</v>
          </cell>
          <cell r="B93" t="str">
            <v>7171-N</v>
          </cell>
          <cell r="C93">
            <v>120</v>
          </cell>
        </row>
        <row r="94">
          <cell r="A94" t="str">
            <v>BAGUE BUTEE INTERNE 12</v>
          </cell>
          <cell r="B94" t="str">
            <v>4-7171</v>
          </cell>
          <cell r="C94">
            <v>120</v>
          </cell>
        </row>
        <row r="95">
          <cell r="A95" t="str">
            <v>bague butée interne Ø25</v>
          </cell>
          <cell r="B95">
            <v>7159</v>
          </cell>
          <cell r="C95">
            <v>120</v>
          </cell>
        </row>
        <row r="96">
          <cell r="A96" t="str">
            <v>BAGUE D12*D8.3*10.4</v>
          </cell>
          <cell r="B96" t="str">
            <v>T1201-1000-040</v>
          </cell>
          <cell r="C96">
            <v>120</v>
          </cell>
        </row>
        <row r="97">
          <cell r="A97" t="str">
            <v>BAGUE D12*D8.3*D3.6</v>
          </cell>
          <cell r="B97" t="str">
            <v>T1201-1000-030</v>
          </cell>
          <cell r="C97">
            <v>120</v>
          </cell>
        </row>
        <row r="98">
          <cell r="A98" t="str">
            <v>BAGUE D32*22 L=21</v>
          </cell>
          <cell r="B98" t="str">
            <v>G011</v>
          </cell>
          <cell r="C98">
            <v>45</v>
          </cell>
        </row>
        <row r="99">
          <cell r="A99" t="str">
            <v>BAGUE DE CENTRAGE D20</v>
          </cell>
          <cell r="B99">
            <v>890625</v>
          </cell>
          <cell r="C99">
            <v>70</v>
          </cell>
        </row>
        <row r="100">
          <cell r="A100" t="str">
            <v>bague decolletée 7009</v>
          </cell>
          <cell r="B100">
            <v>7009</v>
          </cell>
        </row>
        <row r="101">
          <cell r="A101" t="str">
            <v>BAGUE DU FIXATION  D25 PROD</v>
          </cell>
          <cell r="B101" t="str">
            <v>895700-D25-PROD</v>
          </cell>
          <cell r="C101">
            <v>60</v>
          </cell>
        </row>
        <row r="102">
          <cell r="A102" t="str">
            <v>BAGUE ECHAPPEMENT ISUZU</v>
          </cell>
          <cell r="B102" t="str">
            <v>I056</v>
          </cell>
          <cell r="C102">
            <v>20</v>
          </cell>
        </row>
        <row r="103">
          <cell r="A103" t="str">
            <v>BAGUE EN ACIER AXE RESSORT NM+AM OM40</v>
          </cell>
          <cell r="B103" t="str">
            <v>M018-28-29-32-CP1</v>
          </cell>
          <cell r="C103">
            <v>15</v>
          </cell>
        </row>
        <row r="104">
          <cell r="A104" t="str">
            <v>bague épaulée 12*25*41</v>
          </cell>
          <cell r="B104">
            <v>181241</v>
          </cell>
          <cell r="C104">
            <v>60</v>
          </cell>
        </row>
        <row r="105">
          <cell r="A105" t="str">
            <v>BAGUE EPAULEE 14*20*60</v>
          </cell>
          <cell r="B105">
            <v>18126100</v>
          </cell>
          <cell r="C105">
            <v>60</v>
          </cell>
        </row>
        <row r="106">
          <cell r="A106" t="str">
            <v>bague epaulee 14*30*66,5</v>
          </cell>
          <cell r="B106" t="str">
            <v>4-8209</v>
          </cell>
          <cell r="C106">
            <v>20</v>
          </cell>
        </row>
        <row r="107">
          <cell r="A107" t="str">
            <v>BAGUE EXT SILENT BLOC FORD BT50</v>
          </cell>
          <cell r="B107" t="str">
            <v>FO020-CP1</v>
          </cell>
          <cell r="C107">
            <v>90</v>
          </cell>
        </row>
        <row r="108">
          <cell r="A108" t="str">
            <v>bague galnanisee 10*14*10</v>
          </cell>
          <cell r="B108" t="str">
            <v>0-5579-1</v>
          </cell>
          <cell r="C108">
            <v>120</v>
          </cell>
        </row>
        <row r="109">
          <cell r="A109" t="str">
            <v>bague galnanisee 16*12*32</v>
          </cell>
          <cell r="B109" t="str">
            <v>0-3773-1-R</v>
          </cell>
        </row>
        <row r="110">
          <cell r="A110" t="str">
            <v>Bague Galvaniée 12.2*20*50</v>
          </cell>
          <cell r="B110" t="str">
            <v>0-5191A</v>
          </cell>
          <cell r="C110">
            <v>120</v>
          </cell>
        </row>
        <row r="111">
          <cell r="A111" t="str">
            <v>bague galvanisé 12*18*38</v>
          </cell>
          <cell r="B111" t="str">
            <v>0-5255-1</v>
          </cell>
          <cell r="C111">
            <v>120</v>
          </cell>
        </row>
        <row r="112">
          <cell r="A112" t="str">
            <v>bague galvanise 12*20*50</v>
          </cell>
          <cell r="B112" t="str">
            <v>0-5191-1</v>
          </cell>
          <cell r="C112">
            <v>80</v>
          </cell>
        </row>
        <row r="113">
          <cell r="A113" t="str">
            <v>bague galvanise 14*18*32</v>
          </cell>
          <cell r="B113" t="str">
            <v>14*18*32</v>
          </cell>
        </row>
        <row r="114">
          <cell r="A114" t="str">
            <v>Bague Galvanisée  10*14*5</v>
          </cell>
          <cell r="B114" t="str">
            <v>0-6323-1</v>
          </cell>
          <cell r="C114">
            <v>120</v>
          </cell>
        </row>
        <row r="115">
          <cell r="A115" t="str">
            <v>Bague Galvanisée  10*16*25</v>
          </cell>
          <cell r="B115" t="str">
            <v>4-8809-1</v>
          </cell>
          <cell r="C115">
            <v>120</v>
          </cell>
        </row>
        <row r="116">
          <cell r="A116" t="str">
            <v>Bague Galvanisée  14*22.9*54.2</v>
          </cell>
          <cell r="B116" t="str">
            <v>0-5928A-1</v>
          </cell>
          <cell r="C116">
            <v>30</v>
          </cell>
        </row>
        <row r="117">
          <cell r="A117" t="str">
            <v>Bague Galvanisée 10*12*31</v>
          </cell>
          <cell r="B117" t="str">
            <v>4-8776-1</v>
          </cell>
          <cell r="C117">
            <v>120</v>
          </cell>
        </row>
        <row r="118">
          <cell r="A118" t="str">
            <v>bague galvanisée 10*14*10</v>
          </cell>
          <cell r="B118" t="str">
            <v>0-5579-1</v>
          </cell>
          <cell r="C118">
            <v>120</v>
          </cell>
        </row>
        <row r="119">
          <cell r="A119" t="str">
            <v>Bague Galvanisée 10*16*102</v>
          </cell>
          <cell r="B119" t="str">
            <v>0-3762-1</v>
          </cell>
          <cell r="C119">
            <v>90</v>
          </cell>
        </row>
        <row r="120">
          <cell r="A120" t="str">
            <v>Bague Galvanisée 10*16*18</v>
          </cell>
          <cell r="B120" t="str">
            <v>0-6258-1</v>
          </cell>
          <cell r="C120">
            <v>120</v>
          </cell>
        </row>
        <row r="121">
          <cell r="A121" t="str">
            <v>Bague Galvanisée 10*16*32</v>
          </cell>
          <cell r="B121" t="str">
            <v>0-3743-1</v>
          </cell>
          <cell r="C121">
            <v>120</v>
          </cell>
        </row>
        <row r="122">
          <cell r="A122" t="str">
            <v>Bague Galvanisée 10*16*35</v>
          </cell>
          <cell r="B122" t="str">
            <v>0-3745-1</v>
          </cell>
          <cell r="C122">
            <v>120</v>
          </cell>
        </row>
        <row r="123">
          <cell r="A123" t="str">
            <v>Bague Galvanisée 10*16*36</v>
          </cell>
          <cell r="B123" t="str">
            <v>0-3746-1</v>
          </cell>
          <cell r="C123">
            <v>120</v>
          </cell>
        </row>
        <row r="124">
          <cell r="A124" t="str">
            <v>Bague Galvanisée 10*16*45</v>
          </cell>
          <cell r="B124" t="str">
            <v>0-5557-1</v>
          </cell>
          <cell r="C124">
            <v>120</v>
          </cell>
        </row>
        <row r="125">
          <cell r="A125" t="str">
            <v>BAGUE GALVANISEE 10*16*80</v>
          </cell>
          <cell r="B125" t="str">
            <v>0-3738</v>
          </cell>
          <cell r="C125">
            <v>120</v>
          </cell>
        </row>
        <row r="126">
          <cell r="A126" t="str">
            <v>Bague Galvanisée 10*18*45</v>
          </cell>
          <cell r="B126" t="str">
            <v>0-6009-1</v>
          </cell>
          <cell r="C126">
            <v>120</v>
          </cell>
        </row>
        <row r="127">
          <cell r="A127" t="str">
            <v>Bague Galvanisée 10*18*50</v>
          </cell>
          <cell r="B127" t="str">
            <v>0-5177-1</v>
          </cell>
          <cell r="C127">
            <v>70</v>
          </cell>
        </row>
        <row r="128">
          <cell r="A128" t="str">
            <v>Bague Galvanisée 10*18*6</v>
          </cell>
          <cell r="B128" t="str">
            <v>0-5454-1</v>
          </cell>
          <cell r="C128">
            <v>120</v>
          </cell>
        </row>
        <row r="129">
          <cell r="A129" t="str">
            <v>Bague Galvanisée 10*18*60</v>
          </cell>
          <cell r="B129" t="str">
            <v>0-5332-1</v>
          </cell>
          <cell r="C129">
            <v>120</v>
          </cell>
        </row>
        <row r="130">
          <cell r="A130" t="str">
            <v>bague galvanisée 10x12x50</v>
          </cell>
          <cell r="B130" t="str">
            <v>4-7608-1</v>
          </cell>
          <cell r="C130">
            <v>120</v>
          </cell>
        </row>
        <row r="131">
          <cell r="A131" t="str">
            <v>Bague galvanisée 10x16x32</v>
          </cell>
          <cell r="B131" t="str">
            <v>0-3735-1</v>
          </cell>
          <cell r="C131">
            <v>120</v>
          </cell>
        </row>
        <row r="132">
          <cell r="A132" t="str">
            <v>Bague galvanisée 10x16x50</v>
          </cell>
          <cell r="B132" t="str">
            <v>0-3748-1</v>
          </cell>
          <cell r="C132">
            <v>120</v>
          </cell>
        </row>
        <row r="133">
          <cell r="A133" t="str">
            <v>Bague galvanisée 10x16x80</v>
          </cell>
          <cell r="B133" t="str">
            <v>0-4258-1</v>
          </cell>
          <cell r="C133">
            <v>60</v>
          </cell>
        </row>
        <row r="134">
          <cell r="A134" t="str">
            <v>Bague galvanisée 10x18x38</v>
          </cell>
          <cell r="B134" t="str">
            <v>0-5177</v>
          </cell>
          <cell r="C134">
            <v>60</v>
          </cell>
        </row>
        <row r="135">
          <cell r="A135" t="str">
            <v>Bague galvanisée 10x18x40</v>
          </cell>
          <cell r="B135" t="str">
            <v>4-8052-1</v>
          </cell>
          <cell r="C135">
            <v>120</v>
          </cell>
        </row>
        <row r="136">
          <cell r="A136" t="str">
            <v>Bague galvanisée 10x18x55</v>
          </cell>
          <cell r="B136" t="str">
            <v>0-5329-1</v>
          </cell>
          <cell r="C136">
            <v>120</v>
          </cell>
        </row>
        <row r="137">
          <cell r="A137" t="str">
            <v>Bague Galvanisée 12*16*36</v>
          </cell>
          <cell r="B137" t="str">
            <v>4-7935-1</v>
          </cell>
          <cell r="C137">
            <v>120</v>
          </cell>
        </row>
        <row r="138">
          <cell r="A138" t="str">
            <v>Bague Galvanisée 12*18*32</v>
          </cell>
          <cell r="B138" t="str">
            <v>0-3777-1</v>
          </cell>
          <cell r="C138">
            <v>120</v>
          </cell>
        </row>
        <row r="139">
          <cell r="A139" t="str">
            <v>Bague Galvanisée 12*18*35</v>
          </cell>
          <cell r="B139" t="str">
            <v>0-4252-1</v>
          </cell>
          <cell r="C139">
            <v>120</v>
          </cell>
        </row>
        <row r="140">
          <cell r="A140" t="str">
            <v>Bague Galvanisée 12*18*44</v>
          </cell>
          <cell r="B140" t="str">
            <v>0-6128-1</v>
          </cell>
          <cell r="C140">
            <v>120</v>
          </cell>
        </row>
        <row r="141">
          <cell r="A141" t="str">
            <v>Bague Galvanisée 12*20*38</v>
          </cell>
          <cell r="B141" t="str">
            <v>4-7029-1</v>
          </cell>
          <cell r="C141">
            <v>120</v>
          </cell>
        </row>
        <row r="142">
          <cell r="A142" t="str">
            <v>Bague Galvanisée 12*20*41</v>
          </cell>
          <cell r="B142" t="str">
            <v>0-5254-1</v>
          </cell>
          <cell r="C142">
            <v>80</v>
          </cell>
        </row>
        <row r="143">
          <cell r="A143" t="str">
            <v>Bague Galvanisée 12*20*45,5</v>
          </cell>
          <cell r="B143" t="str">
            <v>0-5940-1</v>
          </cell>
          <cell r="C143">
            <v>120</v>
          </cell>
        </row>
        <row r="144">
          <cell r="A144" t="str">
            <v>Bague Galvanisée 12*20*46</v>
          </cell>
          <cell r="B144" t="str">
            <v>4-7676-1</v>
          </cell>
          <cell r="C144">
            <v>120</v>
          </cell>
        </row>
        <row r="145">
          <cell r="A145" t="str">
            <v>bague galvanisee 12*20*48</v>
          </cell>
          <cell r="B145" t="str">
            <v>0-6281-1</v>
          </cell>
          <cell r="C145">
            <v>80</v>
          </cell>
        </row>
        <row r="146">
          <cell r="A146" t="str">
            <v>bague galvanisee 12*20*50</v>
          </cell>
          <cell r="B146" t="str">
            <v>4-7219-1</v>
          </cell>
          <cell r="C146">
            <v>120</v>
          </cell>
        </row>
        <row r="147">
          <cell r="A147" t="str">
            <v>bague galvanisee 12*20*52</v>
          </cell>
          <cell r="B147" t="str">
            <v>0-5192-1</v>
          </cell>
          <cell r="C147">
            <v>80</v>
          </cell>
        </row>
        <row r="148">
          <cell r="A148" t="str">
            <v>bague galvanisee 12*22*60.5</v>
          </cell>
          <cell r="B148" t="str">
            <v>0-5191-1</v>
          </cell>
          <cell r="C148">
            <v>120</v>
          </cell>
        </row>
        <row r="149">
          <cell r="A149" t="str">
            <v>Bague galvanisée 12x16x32</v>
          </cell>
          <cell r="B149" t="str">
            <v>4-7002</v>
          </cell>
          <cell r="C149">
            <v>120</v>
          </cell>
        </row>
        <row r="150">
          <cell r="A150" t="str">
            <v>Bague Galvanisée 12x16x34</v>
          </cell>
          <cell r="B150" t="str">
            <v>0-3773-1</v>
          </cell>
          <cell r="C150">
            <v>120</v>
          </cell>
        </row>
        <row r="151">
          <cell r="A151" t="str">
            <v>Bague galvanisée 12x16x38</v>
          </cell>
          <cell r="B151" t="str">
            <v>0-3775-1</v>
          </cell>
          <cell r="C151">
            <v>120</v>
          </cell>
        </row>
        <row r="152">
          <cell r="A152" t="str">
            <v>Bague galvanisée 12x16x39</v>
          </cell>
          <cell r="B152" t="str">
            <v>0-5173-1</v>
          </cell>
          <cell r="C152">
            <v>120</v>
          </cell>
        </row>
        <row r="153">
          <cell r="A153" t="str">
            <v>Bague galvanisée 12x16x40</v>
          </cell>
          <cell r="B153" t="str">
            <v>4-7697-1</v>
          </cell>
          <cell r="C153">
            <v>120</v>
          </cell>
        </row>
        <row r="154">
          <cell r="A154" t="str">
            <v>bague galvanisée 12x16x73.5</v>
          </cell>
          <cell r="B154" t="str">
            <v>0-3779-1</v>
          </cell>
          <cell r="C154">
            <v>120</v>
          </cell>
        </row>
        <row r="155">
          <cell r="A155" t="str">
            <v>Bague galvanisée 12x18x34</v>
          </cell>
          <cell r="B155" t="str">
            <v>0-3791-1</v>
          </cell>
          <cell r="C155">
            <v>120</v>
          </cell>
        </row>
        <row r="156">
          <cell r="A156" t="str">
            <v>bague galvanisée 12x18x35</v>
          </cell>
          <cell r="B156" t="str">
            <v>0-5423-1</v>
          </cell>
          <cell r="C156">
            <v>120</v>
          </cell>
        </row>
        <row r="157">
          <cell r="A157" t="str">
            <v>bague galvanisée 12x18x36</v>
          </cell>
          <cell r="B157" t="str">
            <v>0 - 4252 - 1</v>
          </cell>
          <cell r="C157">
            <v>120</v>
          </cell>
        </row>
        <row r="158">
          <cell r="A158" t="str">
            <v>Bague galvanisée 12x18x38</v>
          </cell>
          <cell r="B158" t="str">
            <v>0 - 50 44 - 1</v>
          </cell>
          <cell r="C158">
            <v>120</v>
          </cell>
        </row>
        <row r="159">
          <cell r="A159" t="str">
            <v>bague galvanisée 12x18x40</v>
          </cell>
          <cell r="B159" t="str">
            <v>0-5255-1</v>
          </cell>
          <cell r="C159">
            <v>120</v>
          </cell>
        </row>
        <row r="160">
          <cell r="A160" t="str">
            <v>bague galvanisée 12x18x47.5</v>
          </cell>
          <cell r="B160" t="str">
            <v>0-3795-1</v>
          </cell>
          <cell r="C160">
            <v>120</v>
          </cell>
        </row>
        <row r="161">
          <cell r="A161" t="str">
            <v>Bague galvanisée 12x18x69,5</v>
          </cell>
          <cell r="B161" t="str">
            <v>0-5799-1</v>
          </cell>
          <cell r="C161">
            <v>120</v>
          </cell>
        </row>
        <row r="162">
          <cell r="A162" t="str">
            <v>bague galvanisée 12x18x7</v>
          </cell>
          <cell r="B162" t="str">
            <v>0-5790-1</v>
          </cell>
          <cell r="C162">
            <v>120</v>
          </cell>
        </row>
        <row r="163">
          <cell r="A163" t="str">
            <v>Bague galvanisée 12x20x34</v>
          </cell>
          <cell r="B163" t="str">
            <v>0-7016</v>
          </cell>
          <cell r="C163">
            <v>120</v>
          </cell>
        </row>
        <row r="164">
          <cell r="A164" t="str">
            <v>bague galvanisée 12x20x40</v>
          </cell>
          <cell r="B164" t="str">
            <v>4-7634-1</v>
          </cell>
          <cell r="C164">
            <v>120</v>
          </cell>
        </row>
        <row r="165">
          <cell r="A165" t="str">
            <v>bague galvanisée 12x20x40-chutte nak</v>
          </cell>
          <cell r="B165" t="str">
            <v>4-7634-1</v>
          </cell>
          <cell r="C165">
            <v>60</v>
          </cell>
        </row>
        <row r="166">
          <cell r="A166" t="str">
            <v>bague galvanisée 12X20X45</v>
          </cell>
          <cell r="B166" t="str">
            <v>0-5280-1</v>
          </cell>
          <cell r="C166">
            <v>120</v>
          </cell>
        </row>
        <row r="167">
          <cell r="A167" t="str">
            <v>Bague galvanisée 12x20x52</v>
          </cell>
          <cell r="B167" t="str">
            <v>0-5213-1</v>
          </cell>
          <cell r="C167">
            <v>120</v>
          </cell>
        </row>
        <row r="168">
          <cell r="A168" t="str">
            <v>Bague galvanisée 12x22x42</v>
          </cell>
          <cell r="B168" t="str">
            <v>0-5192-1</v>
          </cell>
          <cell r="C168">
            <v>120</v>
          </cell>
        </row>
        <row r="169">
          <cell r="A169" t="str">
            <v>Bague galvanisée 12x22x65</v>
          </cell>
          <cell r="B169" t="str">
            <v>12*22*42</v>
          </cell>
          <cell r="C169">
            <v>120</v>
          </cell>
        </row>
        <row r="170">
          <cell r="A170" t="str">
            <v>Bague Galvanisée 14*20*36</v>
          </cell>
          <cell r="B170" t="str">
            <v>4-7070-1</v>
          </cell>
          <cell r="C170">
            <v>120</v>
          </cell>
        </row>
        <row r="171">
          <cell r="A171" t="str">
            <v>Bague Galvanisée 14*20*38</v>
          </cell>
          <cell r="B171" t="str">
            <v>0-5524-1</v>
          </cell>
          <cell r="C171">
            <v>120</v>
          </cell>
        </row>
        <row r="172">
          <cell r="A172" t="str">
            <v>Bague Galvanisée 14*20*45</v>
          </cell>
          <cell r="B172" t="str">
            <v>0-5223-1</v>
          </cell>
          <cell r="C172">
            <v>120</v>
          </cell>
        </row>
        <row r="173">
          <cell r="A173" t="str">
            <v>Bague Galvanisée 14*20*5</v>
          </cell>
          <cell r="B173" t="str">
            <v>4-8788-1</v>
          </cell>
          <cell r="C173">
            <v>120</v>
          </cell>
        </row>
        <row r="174">
          <cell r="A174" t="str">
            <v>Bague Galvanisée 14*20*62</v>
          </cell>
          <cell r="B174" t="str">
            <v>0-5594-1</v>
          </cell>
          <cell r="C174">
            <v>120</v>
          </cell>
        </row>
        <row r="175">
          <cell r="A175" t="str">
            <v>bague galvanisée 14x16x30</v>
          </cell>
          <cell r="B175" t="str">
            <v>0-5734-1</v>
          </cell>
          <cell r="C175">
            <v>120</v>
          </cell>
        </row>
        <row r="176">
          <cell r="A176" t="str">
            <v>bague galvanisée 14x16x32</v>
          </cell>
          <cell r="B176" t="str">
            <v>0-4225-1</v>
          </cell>
          <cell r="C176">
            <v>120</v>
          </cell>
        </row>
        <row r="177">
          <cell r="A177" t="str">
            <v>bague galvanisée 14x16x36</v>
          </cell>
          <cell r="B177" t="str">
            <v>0-4226-1</v>
          </cell>
          <cell r="C177">
            <v>120</v>
          </cell>
        </row>
        <row r="178">
          <cell r="A178" t="str">
            <v>bague galvanisée 14x16x40</v>
          </cell>
          <cell r="B178" t="str">
            <v>0-4227-1</v>
          </cell>
          <cell r="C178">
            <v>120</v>
          </cell>
        </row>
        <row r="179">
          <cell r="A179" t="str">
            <v>bague galvanisée 14x16x45</v>
          </cell>
          <cell r="B179" t="str">
            <v>0-4228-1</v>
          </cell>
          <cell r="C179">
            <v>120</v>
          </cell>
        </row>
        <row r="180">
          <cell r="A180" t="str">
            <v>bague galvanisée 14x18x40</v>
          </cell>
          <cell r="B180" t="str">
            <v>4-7082-1</v>
          </cell>
          <cell r="C180">
            <v>120</v>
          </cell>
        </row>
        <row r="181">
          <cell r="A181" t="str">
            <v>bague galvanisée 14x18x44</v>
          </cell>
          <cell r="B181" t="str">
            <v>0-4229-1</v>
          </cell>
          <cell r="C181">
            <v>120</v>
          </cell>
        </row>
        <row r="182">
          <cell r="A182" t="str">
            <v>Bague galvanisée 14x18x45</v>
          </cell>
          <cell r="B182" t="str">
            <v>0-4230-1</v>
          </cell>
          <cell r="C182">
            <v>120</v>
          </cell>
        </row>
        <row r="183">
          <cell r="A183" t="str">
            <v>Bague galvanisée 14x18x50</v>
          </cell>
          <cell r="B183" t="str">
            <v>0-4231-1</v>
          </cell>
          <cell r="C183">
            <v>120</v>
          </cell>
        </row>
        <row r="184">
          <cell r="A184" t="str">
            <v>bague galvanisée 14x20x40</v>
          </cell>
          <cell r="B184" t="str">
            <v>0-4232-1</v>
          </cell>
          <cell r="C184">
            <v>120</v>
          </cell>
        </row>
        <row r="185">
          <cell r="A185" t="str">
            <v>bague galvanisée 14x20x42</v>
          </cell>
          <cell r="B185" t="str">
            <v>0-5202-1</v>
          </cell>
          <cell r="C185">
            <v>120</v>
          </cell>
        </row>
        <row r="186">
          <cell r="A186" t="str">
            <v>bague galvanisée 14x20x45</v>
          </cell>
          <cell r="B186" t="str">
            <v>0-5442-1</v>
          </cell>
          <cell r="C186">
            <v>120</v>
          </cell>
        </row>
        <row r="187">
          <cell r="A187" t="str">
            <v>bague galvanisée 14x20x48</v>
          </cell>
          <cell r="B187" t="str">
            <v>0-5223-1</v>
          </cell>
          <cell r="C187">
            <v>120</v>
          </cell>
        </row>
        <row r="188">
          <cell r="A188" t="str">
            <v>bague galvanisée 14x20x50</v>
          </cell>
          <cell r="B188" t="str">
            <v>4-7613-1</v>
          </cell>
          <cell r="C188">
            <v>120</v>
          </cell>
        </row>
        <row r="189">
          <cell r="A189" t="str">
            <v>bague galvanisée 14x20x52</v>
          </cell>
          <cell r="B189" t="str">
            <v xml:space="preserve">4- 72 83 </v>
          </cell>
          <cell r="C189">
            <v>120</v>
          </cell>
        </row>
        <row r="190">
          <cell r="A190" t="str">
            <v>bague galvanisée 14x20x62</v>
          </cell>
          <cell r="B190" t="str">
            <v>0 - 57 40 - 1</v>
          </cell>
          <cell r="C190">
            <v>120</v>
          </cell>
        </row>
        <row r="191">
          <cell r="A191" t="str">
            <v>bague galvanisée 14x22x40</v>
          </cell>
          <cell r="B191" t="str">
            <v>0-5734-1</v>
          </cell>
          <cell r="C191">
            <v>120</v>
          </cell>
        </row>
        <row r="192">
          <cell r="A192" t="str">
            <v>Bague Galvanisée 16*20*38</v>
          </cell>
          <cell r="B192" t="str">
            <v>0-4236-1</v>
          </cell>
          <cell r="C192">
            <v>120</v>
          </cell>
        </row>
        <row r="193">
          <cell r="A193" t="str">
            <v>Bague Galvanisée 16*20*50</v>
          </cell>
          <cell r="B193" t="str">
            <v>4-8142-1</v>
          </cell>
          <cell r="C193">
            <v>120</v>
          </cell>
        </row>
        <row r="194">
          <cell r="A194" t="str">
            <v>Bague Galvanisée 16*22*38</v>
          </cell>
          <cell r="B194" t="str">
            <v>0-4238-1</v>
          </cell>
          <cell r="C194">
            <v>120</v>
          </cell>
        </row>
        <row r="195">
          <cell r="A195" t="str">
            <v>Bague Galvanisée 16*22*40</v>
          </cell>
          <cell r="B195" t="str">
            <v>4-7494-1</v>
          </cell>
          <cell r="C195">
            <v>120</v>
          </cell>
        </row>
        <row r="196">
          <cell r="A196" t="str">
            <v>Bague Galvanisée 16*22*41</v>
          </cell>
          <cell r="B196" t="str">
            <v>4-8449-1</v>
          </cell>
          <cell r="C196">
            <v>120</v>
          </cell>
        </row>
        <row r="197">
          <cell r="A197" t="str">
            <v>Bague Galvanisée 16*22*44</v>
          </cell>
          <cell r="B197" t="str">
            <v>0-5899-1</v>
          </cell>
          <cell r="C197">
            <v>120</v>
          </cell>
        </row>
        <row r="198">
          <cell r="A198" t="str">
            <v>Bague Galvanisée 16*28*100</v>
          </cell>
          <cell r="B198" t="str">
            <v>4-7002-1</v>
          </cell>
          <cell r="C198">
            <v>25</v>
          </cell>
        </row>
        <row r="199">
          <cell r="A199" t="str">
            <v>Bague Galvanisée 16*28*62</v>
          </cell>
          <cell r="B199" t="str">
            <v>4-8591-1</v>
          </cell>
          <cell r="C199">
            <v>30</v>
          </cell>
        </row>
        <row r="200">
          <cell r="A200" t="str">
            <v>Bague Galvanisée 16*28*66</v>
          </cell>
          <cell r="B200" t="str">
            <v>4-7348-1</v>
          </cell>
          <cell r="C200">
            <v>30</v>
          </cell>
        </row>
        <row r="201">
          <cell r="A201" t="str">
            <v>bague galvanisée 16x20x45</v>
          </cell>
          <cell r="B201" t="str">
            <v>4-7003</v>
          </cell>
          <cell r="C201">
            <v>120</v>
          </cell>
        </row>
        <row r="202">
          <cell r="A202" t="str">
            <v>bague galvanisée 16x22x50</v>
          </cell>
          <cell r="B202" t="str">
            <v>0-4998-1</v>
          </cell>
          <cell r="C202">
            <v>120</v>
          </cell>
        </row>
        <row r="203">
          <cell r="A203" t="str">
            <v>Bague galvanisée 16x28x100</v>
          </cell>
          <cell r="B203" t="str">
            <v>0-5477-1</v>
          </cell>
          <cell r="C203">
            <v>120</v>
          </cell>
        </row>
        <row r="204">
          <cell r="A204" t="str">
            <v>bague galvanisee 18*12*40</v>
          </cell>
          <cell r="B204" t="str">
            <v>4-7002</v>
          </cell>
          <cell r="C204">
            <v>120</v>
          </cell>
        </row>
        <row r="205">
          <cell r="A205" t="str">
            <v>bague galvanisée 18x22x33</v>
          </cell>
          <cell r="B205" t="str">
            <v>0-3795-1</v>
          </cell>
          <cell r="C205">
            <v>120</v>
          </cell>
        </row>
        <row r="206">
          <cell r="A206" t="str">
            <v>Bague galvanisée 18x22x42</v>
          </cell>
          <cell r="B206" t="str">
            <v>4-7235-1</v>
          </cell>
          <cell r="C206">
            <v>120</v>
          </cell>
        </row>
        <row r="207">
          <cell r="A207" t="str">
            <v>bague galvanisée 20*26*45</v>
          </cell>
          <cell r="B207" t="str">
            <v>0-4989-1</v>
          </cell>
          <cell r="C207">
            <v>90</v>
          </cell>
        </row>
        <row r="208">
          <cell r="A208" t="str">
            <v>Bague Galvanisée 20*26*55</v>
          </cell>
          <cell r="B208" t="str">
            <v>4-7882-1</v>
          </cell>
          <cell r="C208">
            <v>90</v>
          </cell>
        </row>
        <row r="209">
          <cell r="A209" t="str">
            <v>Bague Galvanisée 20*26*62</v>
          </cell>
          <cell r="B209" t="str">
            <v>0-4894-1</v>
          </cell>
          <cell r="C209">
            <v>90</v>
          </cell>
        </row>
        <row r="210">
          <cell r="A210" t="str">
            <v>Bague Galvanisée 20*28*105</v>
          </cell>
          <cell r="B210" t="str">
            <v>4-7564-1</v>
          </cell>
          <cell r="C210">
            <v>90</v>
          </cell>
        </row>
        <row r="211">
          <cell r="A211" t="str">
            <v>bague galvanisée 20x26x150</v>
          </cell>
          <cell r="B211" t="str">
            <v>4-8483-1</v>
          </cell>
          <cell r="C211">
            <v>90</v>
          </cell>
        </row>
        <row r="212">
          <cell r="A212" t="str">
            <v>Bague galvanisée 20x26x46</v>
          </cell>
          <cell r="B212" t="str">
            <v>4-8489-1</v>
          </cell>
          <cell r="C212">
            <v>120</v>
          </cell>
        </row>
        <row r="213">
          <cell r="A213" t="str">
            <v>bague galvanisée 20x26x50</v>
          </cell>
          <cell r="B213" t="str">
            <v>0-5023-1</v>
          </cell>
          <cell r="C213">
            <v>90</v>
          </cell>
        </row>
        <row r="214">
          <cell r="A214" t="str">
            <v>Bague Galvanisée 20x26x7</v>
          </cell>
          <cell r="B214" t="str">
            <v>4- 8362-1</v>
          </cell>
          <cell r="C214">
            <v>120</v>
          </cell>
        </row>
        <row r="215">
          <cell r="A215" t="str">
            <v>Bague Galvanisée 24*30*55</v>
          </cell>
          <cell r="B215" t="str">
            <v>0-6249-1</v>
          </cell>
        </row>
        <row r="216">
          <cell r="A216" t="str">
            <v>Bague Galvanisée 24*30*55</v>
          </cell>
          <cell r="B216" t="str">
            <v>4-7561-1</v>
          </cell>
          <cell r="C216">
            <v>100</v>
          </cell>
        </row>
        <row r="217">
          <cell r="A217" t="str">
            <v>Bague Galvanisée 25,2*32*40</v>
          </cell>
          <cell r="B217" t="str">
            <v>4-7791-1</v>
          </cell>
          <cell r="C217">
            <v>90</v>
          </cell>
        </row>
        <row r="218">
          <cell r="A218" t="str">
            <v>bague galvanisée 9x12x30.5</v>
          </cell>
          <cell r="B218" t="str">
            <v>0-3724-1</v>
          </cell>
          <cell r="C218">
            <v>120</v>
          </cell>
        </row>
        <row r="219">
          <cell r="A219" t="str">
            <v>BAGUE HEXAGONE TARAUDEE M16*150</v>
          </cell>
          <cell r="B219" t="str">
            <v>4-7986-1</v>
          </cell>
        </row>
        <row r="220">
          <cell r="A220" t="str">
            <v>bague int silent bloc 18-14-68.8</v>
          </cell>
          <cell r="B220">
            <v>90162000</v>
          </cell>
          <cell r="C220">
            <v>90</v>
          </cell>
        </row>
        <row r="221">
          <cell r="A221" t="str">
            <v>Bague Int silent bloc canter</v>
          </cell>
          <cell r="B221" t="str">
            <v>I043</v>
          </cell>
        </row>
        <row r="222">
          <cell r="A222" t="str">
            <v>BAGUE INT SILENT BLOC FORD BT50</v>
          </cell>
          <cell r="B222" t="str">
            <v>FO020-CP2</v>
          </cell>
          <cell r="C222">
            <v>120</v>
          </cell>
        </row>
        <row r="223">
          <cell r="A223" t="str">
            <v>BAGUE INT SILENT BLOC INF-CP2 PROD</v>
          </cell>
          <cell r="B223" t="str">
            <v>I016-CP1-PROD</v>
          </cell>
        </row>
        <row r="224">
          <cell r="A224" t="str">
            <v xml:space="preserve">BAGUE INT SILENT BLOC MIT </v>
          </cell>
          <cell r="B224" t="str">
            <v>MI23-CP2</v>
          </cell>
          <cell r="C224">
            <v>120</v>
          </cell>
        </row>
        <row r="225">
          <cell r="A225" t="str">
            <v>BAGUE INT SILENT BLOC MITSUBISHI PROD</v>
          </cell>
          <cell r="B225" t="str">
            <v>I044-CP2-PROD</v>
          </cell>
          <cell r="C225">
            <v>120</v>
          </cell>
        </row>
        <row r="226">
          <cell r="A226" t="str">
            <v>BAGUE INT SILENT BLOC RESSORT-CP2 PROD</v>
          </cell>
          <cell r="B226" t="str">
            <v>MI031-CP1-PROD</v>
          </cell>
          <cell r="C226">
            <v>120</v>
          </cell>
        </row>
        <row r="227">
          <cell r="A227" t="str">
            <v>BAGUE L=62mm SUPPORT CABINE TFR</v>
          </cell>
          <cell r="B227" t="str">
            <v>TF62-CP4</v>
          </cell>
          <cell r="C227">
            <v>120</v>
          </cell>
        </row>
        <row r="228">
          <cell r="A228" t="str">
            <v>BAGUE L=78 SUPP CABINE D'MAX</v>
          </cell>
          <cell r="B228" t="str">
            <v>I164-CP6</v>
          </cell>
          <cell r="C228">
            <v>120</v>
          </cell>
        </row>
        <row r="229">
          <cell r="A229" t="str">
            <v>BAGUE LAITON 10,2*12,7</v>
          </cell>
          <cell r="B229" t="str">
            <v>I043-CP2-PROD</v>
          </cell>
          <cell r="C229">
            <v>90</v>
          </cell>
        </row>
        <row r="230">
          <cell r="A230" t="str">
            <v>BAGUE LAITON 13*8.5*12</v>
          </cell>
          <cell r="B230" t="str">
            <v>13x8.5x12</v>
          </cell>
          <cell r="C230">
            <v>120</v>
          </cell>
        </row>
        <row r="231">
          <cell r="A231" t="str">
            <v>Bague laiton necessaire axe ressort</v>
          </cell>
          <cell r="B231" t="str">
            <v>12.7x7.3x10.4</v>
          </cell>
          <cell r="C231">
            <v>90</v>
          </cell>
        </row>
        <row r="232">
          <cell r="A232" t="str">
            <v>BAGUE RIVET COUVERCLE T80</v>
          </cell>
          <cell r="B232" t="str">
            <v>BAG-T80</v>
          </cell>
          <cell r="C232">
            <v>400</v>
          </cell>
        </row>
        <row r="233">
          <cell r="A233" t="str">
            <v>Bague tarraudée</v>
          </cell>
          <cell r="B233">
            <v>5016</v>
          </cell>
          <cell r="C233">
            <v>120</v>
          </cell>
        </row>
        <row r="234">
          <cell r="A234" t="str">
            <v>BAGUE TUBE DEAU FORD PROD</v>
          </cell>
          <cell r="B234" t="str">
            <v>FO012-CP1-PROD</v>
          </cell>
          <cell r="C234">
            <v>30</v>
          </cell>
        </row>
        <row r="235">
          <cell r="A235" t="str">
            <v>bielle direction</v>
          </cell>
          <cell r="B235" t="str">
            <v>36X40X28</v>
          </cell>
          <cell r="C235">
            <v>120</v>
          </cell>
        </row>
        <row r="236">
          <cell r="A236" t="str">
            <v>bossage purge M6</v>
          </cell>
          <cell r="B236" t="str">
            <v>ALBS06100L08</v>
          </cell>
          <cell r="C236">
            <v>50</v>
          </cell>
        </row>
        <row r="237">
          <cell r="A237" t="str">
            <v>BOUCHON ALUMINIUM D38</v>
          </cell>
          <cell r="B237" t="str">
            <v>BOUCH-ALU-D38</v>
          </cell>
          <cell r="C237">
            <v>25</v>
          </cell>
        </row>
        <row r="238">
          <cell r="A238" t="str">
            <v>Bouchon carter</v>
          </cell>
          <cell r="B238" t="str">
            <v>I009</v>
          </cell>
          <cell r="C238">
            <v>25</v>
          </cell>
        </row>
        <row r="239">
          <cell r="A239" t="str">
            <v>bouchon Fan out 72</v>
          </cell>
          <cell r="B239" t="str">
            <v>Part C</v>
          </cell>
          <cell r="C239">
            <v>90</v>
          </cell>
        </row>
        <row r="240">
          <cell r="A240" t="str">
            <v>BOUCHON INOX D12-7.1</v>
          </cell>
          <cell r="B240" t="str">
            <v>BCH-IN-D12-7.1</v>
          </cell>
          <cell r="C240">
            <v>60</v>
          </cell>
        </row>
        <row r="241">
          <cell r="A241" t="str">
            <v>BOUCHON INOX D14</v>
          </cell>
          <cell r="B241" t="str">
            <v>BOUCH-IN-D14</v>
          </cell>
          <cell r="C241">
            <v>60</v>
          </cell>
        </row>
        <row r="242">
          <cell r="A242" t="str">
            <v>BOUCHON INOX D7.9 140X76X3</v>
          </cell>
          <cell r="B242" t="str">
            <v>BCH-IN-D7.9</v>
          </cell>
          <cell r="C242">
            <v>60</v>
          </cell>
        </row>
        <row r="243">
          <cell r="A243" t="str">
            <v>BOUCHON INOX D8.1 140X76X3</v>
          </cell>
          <cell r="B243" t="str">
            <v>BCH-IN-D8.1</v>
          </cell>
          <cell r="C243">
            <v>60</v>
          </cell>
        </row>
        <row r="244">
          <cell r="A244" t="str">
            <v>BOULON D'ASSEMBLAGE PROD</v>
          </cell>
          <cell r="B244" t="str">
            <v>B001-CP1</v>
          </cell>
          <cell r="C244">
            <v>120</v>
          </cell>
        </row>
        <row r="245">
          <cell r="A245" t="str">
            <v>Boulon support moteur Ford</v>
          </cell>
          <cell r="B245" t="str">
            <v>FO008-cp3</v>
          </cell>
          <cell r="C245">
            <v>120</v>
          </cell>
        </row>
        <row r="246">
          <cell r="A246" t="str">
            <v>Boulon support moteur Ford GM</v>
          </cell>
          <cell r="B246" t="str">
            <v>FO008-cp3</v>
          </cell>
          <cell r="C246">
            <v>120</v>
          </cell>
        </row>
        <row r="247">
          <cell r="A247" t="str">
            <v>BRIDE TDW200</v>
          </cell>
          <cell r="B247" t="str">
            <v>99MATBRIDE200</v>
          </cell>
        </row>
        <row r="248">
          <cell r="A248" t="str">
            <v>BROCHE ACIER D13 ZINGUE L180</v>
          </cell>
          <cell r="B248" t="str">
            <v>BROCH L 180</v>
          </cell>
          <cell r="C248">
            <v>120</v>
          </cell>
        </row>
        <row r="249">
          <cell r="A249" t="str">
            <v>BROCHE ACIER D13 ZINGUE L230</v>
          </cell>
          <cell r="B249" t="str">
            <v>BROCH L 230</v>
          </cell>
          <cell r="C249">
            <v>120</v>
          </cell>
        </row>
        <row r="250">
          <cell r="A250" t="str">
            <v>Bronzina 16/18*10.3</v>
          </cell>
          <cell r="B250">
            <v>511040</v>
          </cell>
          <cell r="C250">
            <v>100</v>
          </cell>
        </row>
        <row r="251">
          <cell r="A251" t="str">
            <v>BUSS D13/20X18,2 AVP CARB-BAGUE ACIER D20</v>
          </cell>
          <cell r="B251">
            <v>510087</v>
          </cell>
          <cell r="C251">
            <v>70</v>
          </cell>
        </row>
        <row r="252">
          <cell r="A252" t="str">
            <v xml:space="preserve">BUSS DIS 14-3003 1320x28.7 AVP CARB </v>
          </cell>
          <cell r="B252">
            <v>510081</v>
          </cell>
          <cell r="C252">
            <v>70</v>
          </cell>
        </row>
        <row r="253">
          <cell r="A253" t="str">
            <v>BUTEE INTERNE METALLIQUE</v>
          </cell>
          <cell r="B253">
            <v>651525</v>
          </cell>
          <cell r="C253">
            <v>70</v>
          </cell>
        </row>
        <row r="254">
          <cell r="A254" t="str">
            <v>Butée interne métallique</v>
          </cell>
          <cell r="B254">
            <v>651525</v>
          </cell>
          <cell r="C254">
            <v>90</v>
          </cell>
        </row>
        <row r="255">
          <cell r="A255" t="str">
            <v>CAL ACIER SUSPENSION TOYOTA</v>
          </cell>
          <cell r="B255" t="str">
            <v>I090-CP3</v>
          </cell>
        </row>
        <row r="256">
          <cell r="A256" t="str">
            <v>CAL SUSPENSION PM ISUZU</v>
          </cell>
          <cell r="B256" t="str">
            <v>I006</v>
          </cell>
          <cell r="C256">
            <v>60</v>
          </cell>
        </row>
        <row r="257">
          <cell r="A257" t="str">
            <v>CHARNIERE DE PORTE ISUZU D/B NON COUPEE - 894155315</v>
          </cell>
          <cell r="B257" t="str">
            <v>I078</v>
          </cell>
          <cell r="C257">
            <v>90</v>
          </cell>
        </row>
        <row r="258">
          <cell r="A258" t="str">
            <v>CHEMISE 440 DIN</v>
          </cell>
          <cell r="B258" t="str">
            <v>040DECO0032</v>
          </cell>
          <cell r="C258">
            <v>120</v>
          </cell>
        </row>
        <row r="259">
          <cell r="A259" t="str">
            <v>CHEMISE 82US-43BUS PF01245B- biglia mjm</v>
          </cell>
          <cell r="B259" t="str">
            <v>040DECO0009</v>
          </cell>
          <cell r="C259">
            <v>25</v>
          </cell>
        </row>
        <row r="260">
          <cell r="A260" t="str">
            <v>CHEMISE 840-450 DIN</v>
          </cell>
          <cell r="B260" t="str">
            <v xml:space="preserve">040DECO0015- nak </v>
          </cell>
          <cell r="C260">
            <v>15</v>
          </cell>
        </row>
        <row r="261">
          <cell r="A261" t="str">
            <v>Chemise Fan out 72</v>
          </cell>
          <cell r="B261" t="str">
            <v>-</v>
          </cell>
          <cell r="C261">
            <v>15</v>
          </cell>
        </row>
        <row r="262">
          <cell r="A262" t="str">
            <v xml:space="preserve">Clamping ring 240Fo </v>
          </cell>
          <cell r="B262" t="str">
            <v>OTT-171-TSUGAMI</v>
          </cell>
          <cell r="C262">
            <v>200</v>
          </cell>
        </row>
        <row r="263">
          <cell r="A263" t="str">
            <v xml:space="preserve">clamping ring 240fo </v>
          </cell>
          <cell r="B263" t="str">
            <v>OTT-171-L32</v>
          </cell>
          <cell r="C263">
            <v>350</v>
          </cell>
        </row>
        <row r="264">
          <cell r="A264" t="str">
            <v>Clamping ring 360FO</v>
          </cell>
          <cell r="B264" t="str">
            <v>OTT-172-TSUGAMI</v>
          </cell>
        </row>
        <row r="265">
          <cell r="A265" t="str">
            <v>CORDGRIP M20 FOR PRIMARY FANOUT biglia</v>
          </cell>
          <cell r="B265" t="str">
            <v>301-601-002</v>
          </cell>
          <cell r="C265">
            <v>45</v>
          </cell>
        </row>
        <row r="266">
          <cell r="A266" t="str">
            <v>CORDGRIP M20 FOR PRIMARY FANOUT L32</v>
          </cell>
          <cell r="B266" t="str">
            <v>301-601-002</v>
          </cell>
          <cell r="C266">
            <v>30</v>
          </cell>
        </row>
        <row r="267">
          <cell r="A267" t="str">
            <v xml:space="preserve">CRIMP BODY FOR SECONDARY FAN OUT </v>
          </cell>
          <cell r="B267" t="str">
            <v>OPE-047</v>
          </cell>
          <cell r="C267">
            <v>120</v>
          </cell>
        </row>
        <row r="268">
          <cell r="A268" t="str">
            <v>Culot bougie GM Culasse</v>
          </cell>
          <cell r="B268" t="str">
            <v>D002</v>
          </cell>
        </row>
        <row r="269">
          <cell r="A269" t="str">
            <v>CULOT BOUGIE GM EN ACIER PROD</v>
          </cell>
          <cell r="B269" t="str">
            <v>D002-AC-PROD</v>
          </cell>
          <cell r="C269">
            <v>90</v>
          </cell>
        </row>
        <row r="270">
          <cell r="A270" t="str">
            <v>Culot Bougie PM Culasse</v>
          </cell>
          <cell r="B270" t="str">
            <v>D003</v>
          </cell>
        </row>
        <row r="271">
          <cell r="A271" t="str">
            <v>DECOUPAGE AXE 100 INOX D8 L60</v>
          </cell>
          <cell r="B271" t="str">
            <v>AXE-IN-D8-L60</v>
          </cell>
        </row>
        <row r="272">
          <cell r="A272" t="str">
            <v>douille carre 24</v>
          </cell>
          <cell r="B272">
            <v>215215011</v>
          </cell>
          <cell r="C272">
            <v>100</v>
          </cell>
        </row>
        <row r="273">
          <cell r="A273" t="str">
            <v>douille Ø4</v>
          </cell>
          <cell r="B273" t="str">
            <v>15-0795</v>
          </cell>
        </row>
        <row r="274">
          <cell r="A274" t="str">
            <v xml:space="preserve">ECROU 430-440 DECOLLETE- nak </v>
          </cell>
          <cell r="B274" t="str">
            <v>020DECO0004</v>
          </cell>
          <cell r="C274">
            <v>30</v>
          </cell>
        </row>
        <row r="275">
          <cell r="A275" t="str">
            <v>ECROU 430-440 DECOLLETE- nak PH2</v>
          </cell>
          <cell r="B275" t="str">
            <v>020DECO0004</v>
          </cell>
          <cell r="C275">
            <v>45</v>
          </cell>
        </row>
        <row r="276">
          <cell r="A276" t="str">
            <v>ECROU 85-85B reprise</v>
          </cell>
          <cell r="B276" t="str">
            <v>020DECO0006</v>
          </cell>
          <cell r="C276">
            <v>30</v>
          </cell>
        </row>
        <row r="277">
          <cell r="A277" t="str">
            <v xml:space="preserve">ECROU 85-85B reprise chanfrien </v>
          </cell>
          <cell r="B277" t="str">
            <v>020DECO0006- chanfrien</v>
          </cell>
          <cell r="C277">
            <v>30</v>
          </cell>
        </row>
        <row r="278">
          <cell r="A278" t="str">
            <v>ecrou acier hex 10</v>
          </cell>
          <cell r="B278" t="str">
            <v>ECROU h10</v>
          </cell>
          <cell r="C278">
            <v>120</v>
          </cell>
        </row>
        <row r="279">
          <cell r="A279" t="str">
            <v>Ecrou alu D38-JAMEL</v>
          </cell>
          <cell r="B279" t="str">
            <v>Ecrou M27</v>
          </cell>
        </row>
        <row r="280">
          <cell r="A280" t="str">
            <v>ECROU BIELLE DIRECTION DROITE</v>
          </cell>
          <cell r="B280" t="str">
            <v>I113</v>
          </cell>
        </row>
        <row r="281">
          <cell r="A281" t="str">
            <v>ECROU BIELLE DROITE</v>
          </cell>
          <cell r="B281" t="str">
            <v>I113-CP1</v>
          </cell>
          <cell r="C281">
            <v>90</v>
          </cell>
        </row>
        <row r="282">
          <cell r="A282" t="str">
            <v xml:space="preserve">ECROU BRIDE HEX 22 M14*1.5 </v>
          </cell>
          <cell r="B282" t="str">
            <v>ECR BRIDE HEX 22</v>
          </cell>
          <cell r="C282">
            <v>120</v>
          </cell>
        </row>
        <row r="283">
          <cell r="A283" t="str">
            <v>ECROU BRIDE HEX 24 PROD</v>
          </cell>
          <cell r="B283" t="str">
            <v>ECROU-H24-PROD</v>
          </cell>
          <cell r="C283">
            <v>90</v>
          </cell>
        </row>
        <row r="284">
          <cell r="A284" t="str">
            <v>Ecrou bride M14*1.5</v>
          </cell>
          <cell r="B284" t="str">
            <v>-</v>
          </cell>
          <cell r="C284">
            <v>90</v>
          </cell>
        </row>
        <row r="285">
          <cell r="A285" t="str">
            <v>Ecrou collier ISUZU TFR</v>
          </cell>
          <cell r="B285" t="str">
            <v>I138-cp</v>
          </cell>
        </row>
        <row r="286">
          <cell r="A286" t="str">
            <v>ECROU DE BLOC</v>
          </cell>
          <cell r="B286" t="str">
            <v>4-7326</v>
          </cell>
          <cell r="C286">
            <v>90</v>
          </cell>
        </row>
        <row r="287">
          <cell r="A287" t="str">
            <v>ecrou de fusée</v>
          </cell>
          <cell r="B287" t="str">
            <v>601130-NAK</v>
          </cell>
          <cell r="C287">
            <v>45</v>
          </cell>
        </row>
        <row r="288">
          <cell r="A288" t="str">
            <v>Ecrou de roue Mitsubitchi PM</v>
          </cell>
          <cell r="B288" t="str">
            <v>MI08-cp1</v>
          </cell>
          <cell r="C288">
            <v>120</v>
          </cell>
        </row>
        <row r="289">
          <cell r="A289" t="str">
            <v>ECROU DE ROUE NISSAN PM</v>
          </cell>
          <cell r="B289" t="str">
            <v>NIS001</v>
          </cell>
        </row>
        <row r="290">
          <cell r="A290" t="str">
            <v>Ecrou de roue origine</v>
          </cell>
          <cell r="B290" t="str">
            <v>I143</v>
          </cell>
          <cell r="C290">
            <v>90</v>
          </cell>
        </row>
        <row r="291">
          <cell r="A291" t="str">
            <v>Ecrou de roue TFR ISUZU</v>
          </cell>
          <cell r="B291" t="str">
            <v>I025</v>
          </cell>
          <cell r="C291">
            <v>80</v>
          </cell>
        </row>
        <row r="292">
          <cell r="A292" t="str">
            <v>ECROU DE ROUE TFR ISUZU -nak</v>
          </cell>
          <cell r="B292" t="str">
            <v>I143-CP1</v>
          </cell>
          <cell r="C292">
            <v>50</v>
          </cell>
        </row>
        <row r="293">
          <cell r="A293" t="str">
            <v>ECROU DEMI CARTER ISUZU</v>
          </cell>
          <cell r="B293" t="str">
            <v>I096-CP2</v>
          </cell>
          <cell r="C293">
            <v>60</v>
          </cell>
        </row>
        <row r="294">
          <cell r="A294" t="str">
            <v>ecrou frein</v>
          </cell>
          <cell r="B294">
            <v>551275</v>
          </cell>
          <cell r="C294">
            <v>60</v>
          </cell>
        </row>
        <row r="295">
          <cell r="A295" t="str">
            <v>ecrou frein M12x150</v>
          </cell>
          <cell r="B295">
            <v>551275</v>
          </cell>
        </row>
        <row r="296">
          <cell r="A296" t="str">
            <v>ECROU FUSEE 404 PROD</v>
          </cell>
          <cell r="B296" t="str">
            <v>B012-PROD</v>
          </cell>
          <cell r="C296">
            <v>90</v>
          </cell>
        </row>
        <row r="297">
          <cell r="A297" t="str">
            <v>ECROU FUSEE OM40</v>
          </cell>
          <cell r="B297" t="str">
            <v>M023</v>
          </cell>
        </row>
        <row r="298">
          <cell r="A298" t="str">
            <v>Ecrou goujon de 14 NM</v>
          </cell>
          <cell r="B298" t="str">
            <v>G002-CP2</v>
          </cell>
          <cell r="C298">
            <v>90</v>
          </cell>
        </row>
        <row r="299">
          <cell r="A299" t="str">
            <v>ECROU HEX 17</v>
          </cell>
          <cell r="B299">
            <v>551435</v>
          </cell>
          <cell r="C299">
            <v>120</v>
          </cell>
        </row>
        <row r="300">
          <cell r="A300" t="str">
            <v>ECROU HEX 19 LG16.4</v>
          </cell>
          <cell r="B300" t="str">
            <v>G022-CP4</v>
          </cell>
          <cell r="C300">
            <v>80</v>
          </cell>
        </row>
        <row r="301">
          <cell r="A301" t="str">
            <v>ecrou hex 8 Acier</v>
          </cell>
          <cell r="B301" t="str">
            <v>ECROU HEXAGON</v>
          </cell>
          <cell r="C301">
            <v>120</v>
          </cell>
        </row>
        <row r="302">
          <cell r="A302" t="str">
            <v>Ecrou hex8</v>
          </cell>
          <cell r="B302" t="str">
            <v>ECROU HEXAGON+MULTI</v>
          </cell>
        </row>
        <row r="303">
          <cell r="A303" t="str">
            <v xml:space="preserve">ECROU JUMELLE SIMLPE MIT AM </v>
          </cell>
          <cell r="B303" t="str">
            <v>MI11-CP3</v>
          </cell>
          <cell r="C303">
            <v>90</v>
          </cell>
        </row>
        <row r="304">
          <cell r="A304" t="str">
            <v>ECROU M12x1,25</v>
          </cell>
          <cell r="B304" t="str">
            <v>I066-I098-CP5</v>
          </cell>
        </row>
        <row r="305">
          <cell r="A305" t="str">
            <v xml:space="preserve">ECROU M12x125 ROULEMENT CENTRE FASTER 10 CV </v>
          </cell>
          <cell r="B305" t="str">
            <v>I158-CP7</v>
          </cell>
        </row>
        <row r="306">
          <cell r="A306" t="str">
            <v>Ecrou M16x1.50 lg18 HEX19</v>
          </cell>
          <cell r="B306" t="str">
            <v>ECM16L18HEX19</v>
          </cell>
          <cell r="C306">
            <v>90</v>
          </cell>
        </row>
        <row r="307">
          <cell r="A307" t="str">
            <v>ECROU M40</v>
          </cell>
          <cell r="B307" t="str">
            <v>I007</v>
          </cell>
        </row>
        <row r="308">
          <cell r="A308" t="str">
            <v>ECROU Ø   10 LG10</v>
          </cell>
          <cell r="B308" t="str">
            <v>-</v>
          </cell>
        </row>
        <row r="309">
          <cell r="A309" t="str">
            <v>ecrou R5/R4 RENAULT</v>
          </cell>
          <cell r="B309" t="str">
            <v>R006-CP1</v>
          </cell>
        </row>
        <row r="310">
          <cell r="A310" t="str">
            <v>Ecrou suspension</v>
          </cell>
          <cell r="B310" t="str">
            <v>I004</v>
          </cell>
        </row>
        <row r="311">
          <cell r="A311" t="str">
            <v>ECROU SUSPENSION PROD</v>
          </cell>
          <cell r="B311" t="str">
            <v>I004-PROD</v>
          </cell>
          <cell r="C311">
            <v>60</v>
          </cell>
        </row>
        <row r="312">
          <cell r="A312" t="str">
            <v>Ecrou taraudée de tête pompête</v>
          </cell>
          <cell r="B312" t="str">
            <v>B041-cp4</v>
          </cell>
        </row>
        <row r="313">
          <cell r="A313" t="str">
            <v>ecrou tige embrayage F110</v>
          </cell>
          <cell r="B313" t="str">
            <v>F110</v>
          </cell>
        </row>
        <row r="314">
          <cell r="A314" t="str">
            <v>ecrou trompête 404</v>
          </cell>
          <cell r="B314" t="str">
            <v>B006</v>
          </cell>
        </row>
        <row r="315">
          <cell r="A315" t="str">
            <v>ECROU VIS PONT AR OM40 nakamurah</v>
          </cell>
          <cell r="B315" t="str">
            <v>M024</v>
          </cell>
        </row>
        <row r="316">
          <cell r="A316" t="str">
            <v>ECROU.ROUE TFR CHR-CP1 PRO</v>
          </cell>
          <cell r="B316" t="str">
            <v>I137-CP1-PROD</v>
          </cell>
          <cell r="C316">
            <v>80</v>
          </cell>
        </row>
        <row r="317">
          <cell r="A317" t="str">
            <v>embout porte rotule</v>
          </cell>
          <cell r="B317">
            <v>4571</v>
          </cell>
          <cell r="C317">
            <v>60</v>
          </cell>
        </row>
        <row r="318">
          <cell r="A318" t="str">
            <v>embout tige piston</v>
          </cell>
          <cell r="B318">
            <v>200200</v>
          </cell>
        </row>
        <row r="319">
          <cell r="A319" t="str">
            <v>Entretoise de serrage TDW</v>
          </cell>
          <cell r="B319" t="str">
            <v>PPMATBRIDE200</v>
          </cell>
          <cell r="C319">
            <v>30</v>
          </cell>
        </row>
        <row r="320">
          <cell r="A320" t="str">
            <v>entretoise hex11</v>
          </cell>
          <cell r="B320">
            <v>5402</v>
          </cell>
        </row>
        <row r="321">
          <cell r="A321" t="str">
            <v xml:space="preserve">Entretoise Hex11 </v>
          </cell>
          <cell r="B321">
            <v>4630</v>
          </cell>
        </row>
        <row r="322">
          <cell r="A322" t="str">
            <v>Entretoise hexagonal Hex15</v>
          </cell>
          <cell r="B322">
            <v>7151</v>
          </cell>
        </row>
        <row r="323">
          <cell r="A323" t="str">
            <v>EVACUATION 2/3G X-ONE</v>
          </cell>
          <cell r="B323">
            <v>480387</v>
          </cell>
          <cell r="C323">
            <v>45</v>
          </cell>
        </row>
        <row r="324">
          <cell r="A324" t="str">
            <v xml:space="preserve">EVACUATION 2/3G X-ONE carre l32 </v>
          </cell>
          <cell r="B324">
            <v>480387</v>
          </cell>
          <cell r="C324">
            <v>25</v>
          </cell>
        </row>
        <row r="325">
          <cell r="A325" t="str">
            <v>FAN OUT JENOPTEC 12FO</v>
          </cell>
          <cell r="B325" t="str">
            <v>301-603-009</v>
          </cell>
          <cell r="C325">
            <v>75</v>
          </cell>
        </row>
        <row r="326">
          <cell r="A326" t="str">
            <v>FANOUT 72FO POM C NOIR</v>
          </cell>
          <cell r="B326" t="str">
            <v>901-609-001</v>
          </cell>
          <cell r="C326">
            <v>75</v>
          </cell>
        </row>
        <row r="327">
          <cell r="A327" t="str">
            <v>FANOUT FOR 36FO JENOPTEC-CP1</v>
          </cell>
          <cell r="B327" t="str">
            <v>301-603-011-CP1</v>
          </cell>
        </row>
        <row r="328">
          <cell r="A328" t="str">
            <v>FANOUT FOR 36FO JENOPTEC-CP2</v>
          </cell>
          <cell r="B328" t="str">
            <v>301-603-011-CP2</v>
          </cell>
        </row>
        <row r="329">
          <cell r="A329" t="str">
            <v>FANOUT FOR 36FO JENOPTEC-CP3</v>
          </cell>
          <cell r="B329" t="str">
            <v>301-603-011-CP3</v>
          </cell>
          <cell r="C329">
            <v>120</v>
          </cell>
        </row>
        <row r="330">
          <cell r="A330" t="str">
            <v>FANOUT FOR 36FO JENOPTEC-CP3 Biglia</v>
          </cell>
          <cell r="B330" t="str">
            <v>901-609-001-CP3</v>
          </cell>
          <cell r="C330">
            <v>45</v>
          </cell>
        </row>
        <row r="331">
          <cell r="A331" t="str">
            <v>FANOUT FOR 72FO JENOPTEC-CP2</v>
          </cell>
          <cell r="B331" t="str">
            <v>301-603-CP2</v>
          </cell>
          <cell r="C331">
            <v>60</v>
          </cell>
        </row>
        <row r="332">
          <cell r="A332" t="str">
            <v>FANOUT FOR 72FO JENOPTEC-CP3</v>
          </cell>
          <cell r="B332" t="str">
            <v>901-609-001-CP3</v>
          </cell>
          <cell r="C332">
            <v>60</v>
          </cell>
        </row>
        <row r="333">
          <cell r="A333" t="str">
            <v xml:space="preserve">FC FOURCHETTE </v>
          </cell>
          <cell r="B333" t="str">
            <v>19087-1-1</v>
          </cell>
          <cell r="C333">
            <v>20</v>
          </cell>
        </row>
        <row r="334">
          <cell r="A334" t="str">
            <v>fileté</v>
          </cell>
          <cell r="B334" t="str">
            <v>part A</v>
          </cell>
          <cell r="C334">
            <v>45</v>
          </cell>
        </row>
        <row r="335">
          <cell r="A335" t="str">
            <v>FIXATION SUPERIEUR VIS</v>
          </cell>
          <cell r="B335">
            <v>5016</v>
          </cell>
          <cell r="C335">
            <v>120</v>
          </cell>
        </row>
        <row r="336">
          <cell r="A336" t="str">
            <v>flasque</v>
          </cell>
          <cell r="B336" t="str">
            <v>-</v>
          </cell>
          <cell r="C336">
            <v>120</v>
          </cell>
        </row>
        <row r="337">
          <cell r="A337" t="str">
            <v>FORME D 30</v>
          </cell>
          <cell r="B337" t="str">
            <v>2018021-01-30</v>
          </cell>
        </row>
        <row r="338">
          <cell r="A338" t="str">
            <v>FORME D 40</v>
          </cell>
          <cell r="B338" t="str">
            <v>2018021-01-40</v>
          </cell>
          <cell r="C338">
            <v>120</v>
          </cell>
        </row>
        <row r="339">
          <cell r="A339" t="str">
            <v>FUHRUNGSSAULE-D8-90-M4-i-i</v>
          </cell>
          <cell r="B339" t="str">
            <v>SAP NR 5-001-46857</v>
          </cell>
          <cell r="C339">
            <v>120</v>
          </cell>
        </row>
        <row r="340">
          <cell r="A340" t="str">
            <v>Gewindeeinsatz Ensat M4*5</v>
          </cell>
          <cell r="B340" t="str">
            <v>200505-0-F</v>
          </cell>
          <cell r="C340">
            <v>30</v>
          </cell>
        </row>
        <row r="341">
          <cell r="A341" t="str">
            <v>gojon LG 51.5 Ø19.7</v>
          </cell>
          <cell r="B341" t="str">
            <v>-</v>
          </cell>
        </row>
        <row r="342">
          <cell r="A342" t="str">
            <v>GOUJON COLLECTEUR 404</v>
          </cell>
          <cell r="B342" t="str">
            <v>B016</v>
          </cell>
          <cell r="C342">
            <v>120</v>
          </cell>
        </row>
        <row r="343">
          <cell r="A343" t="str">
            <v>GOUJON DE 10 AR</v>
          </cell>
          <cell r="B343" t="str">
            <v>G001-CP1</v>
          </cell>
        </row>
        <row r="344">
          <cell r="A344" t="str">
            <v>GOUJON DE 11 LG 160</v>
          </cell>
          <cell r="B344" t="str">
            <v>-</v>
          </cell>
        </row>
        <row r="345">
          <cell r="A345" t="str">
            <v>GOUJON DE 11 LG180</v>
          </cell>
          <cell r="B345" t="str">
            <v>-</v>
          </cell>
        </row>
        <row r="346">
          <cell r="A346" t="str">
            <v>Goujon de 12 L = 183 mm</v>
          </cell>
          <cell r="B346" t="str">
            <v>G003</v>
          </cell>
        </row>
        <row r="347">
          <cell r="A347" t="str">
            <v>goujon de 12 l160</v>
          </cell>
          <cell r="B347" t="str">
            <v>-</v>
          </cell>
        </row>
        <row r="348">
          <cell r="A348" t="str">
            <v>goujon de 12 l180</v>
          </cell>
          <cell r="B348" t="str">
            <v>-</v>
          </cell>
        </row>
        <row r="349">
          <cell r="A349" t="str">
            <v xml:space="preserve">Goujon de 15 NM </v>
          </cell>
          <cell r="B349" t="str">
            <v>G022-cp1</v>
          </cell>
        </row>
        <row r="350">
          <cell r="A350" t="str">
            <v>goujon de roue</v>
          </cell>
          <cell r="B350" t="str">
            <v>-</v>
          </cell>
        </row>
        <row r="351">
          <cell r="A351" t="str">
            <v>GOUJON de roue AR ZEHO NM</v>
          </cell>
          <cell r="B351" t="str">
            <v>-</v>
          </cell>
        </row>
        <row r="352">
          <cell r="A352" t="str">
            <v>GOUJON DE ROUE HYUNDAI H100</v>
          </cell>
          <cell r="B352" t="str">
            <v>I039</v>
          </cell>
        </row>
        <row r="353">
          <cell r="A353" t="str">
            <v>Goujon de roue ISUZU</v>
          </cell>
          <cell r="B353" t="str">
            <v>fo014</v>
          </cell>
          <cell r="C353">
            <v>70</v>
          </cell>
        </row>
        <row r="354">
          <cell r="A354" t="str">
            <v>GOUJON DE ROUE MAZDA</v>
          </cell>
          <cell r="C354">
            <v>70</v>
          </cell>
        </row>
        <row r="355">
          <cell r="A355" t="str">
            <v>goujon de roue MI PM av</v>
          </cell>
          <cell r="B355" t="str">
            <v>MI19</v>
          </cell>
          <cell r="C355">
            <v>80</v>
          </cell>
        </row>
        <row r="356">
          <cell r="A356" t="str">
            <v>Goujon de roue Mit GM MB 584750 VT</v>
          </cell>
          <cell r="B356" t="str">
            <v>MI18</v>
          </cell>
        </row>
        <row r="357">
          <cell r="A357" t="str">
            <v>Goujon de roue Mit GMB584750V T</v>
          </cell>
          <cell r="B357" t="str">
            <v>MI018</v>
          </cell>
        </row>
        <row r="358">
          <cell r="A358" t="str">
            <v>goujon de roue OM grand model</v>
          </cell>
          <cell r="B358" t="str">
            <v>OM40</v>
          </cell>
        </row>
        <row r="359">
          <cell r="A359" t="str">
            <v>GOUJON HILUX-PROD</v>
          </cell>
          <cell r="B359" t="str">
            <v>TO008-PROD</v>
          </cell>
        </row>
        <row r="360">
          <cell r="A360" t="str">
            <v>GOUJON HUTCHINSON</v>
          </cell>
          <cell r="B360" t="str">
            <v>LC1327C200</v>
          </cell>
          <cell r="C360">
            <v>70</v>
          </cell>
        </row>
        <row r="361">
          <cell r="A361" t="str">
            <v>goujon IVECO GM</v>
          </cell>
          <cell r="B361" t="str">
            <v>-</v>
          </cell>
        </row>
        <row r="362">
          <cell r="A362" t="str">
            <v>goujon l 180.5</v>
          </cell>
          <cell r="B362" t="str">
            <v>-</v>
          </cell>
        </row>
        <row r="363">
          <cell r="A363" t="str">
            <v>GOUJON LONCLUSER AV ET AR-PROD</v>
          </cell>
          <cell r="B363" t="str">
            <v>TO009-PROD</v>
          </cell>
        </row>
        <row r="364">
          <cell r="A364" t="str">
            <v>GOUJON M12*1.5 L=56</v>
          </cell>
          <cell r="B364" t="str">
            <v>G017</v>
          </cell>
          <cell r="C364">
            <v>60</v>
          </cell>
        </row>
        <row r="365">
          <cell r="A365" t="str">
            <v xml:space="preserve">GOUJON M14*1.5 L=52 </v>
          </cell>
          <cell r="B365" t="str">
            <v>G021-CP2</v>
          </cell>
          <cell r="C365">
            <v>45</v>
          </cell>
        </row>
        <row r="366">
          <cell r="A366" t="str">
            <v>GOUJON M14*1.5 L=52 fraisé</v>
          </cell>
          <cell r="B366" t="str">
            <v>G026-cp2</v>
          </cell>
        </row>
        <row r="367">
          <cell r="A367" t="str">
            <v>GOUJON M14*1.5 L=52 NON FRAISEE PROD</v>
          </cell>
          <cell r="B367" t="str">
            <v>G028-PROD</v>
          </cell>
        </row>
        <row r="368">
          <cell r="A368" t="str">
            <v>GOUJON M4</v>
          </cell>
          <cell r="B368" t="str">
            <v>LC1327C200</v>
          </cell>
          <cell r="C368">
            <v>70</v>
          </cell>
        </row>
        <row r="369">
          <cell r="A369" t="str">
            <v>Goujon Ø 18 lg 5 0</v>
          </cell>
          <cell r="B369" t="str">
            <v>G018-L32</v>
          </cell>
          <cell r="C369">
            <v>50</v>
          </cell>
        </row>
        <row r="370">
          <cell r="A370" t="str">
            <v>Goujon Ø 18 lg 50</v>
          </cell>
          <cell r="B370" t="str">
            <v>G018</v>
          </cell>
        </row>
        <row r="371">
          <cell r="A371" t="str">
            <v>GOUJON Ø 28</v>
          </cell>
          <cell r="B371" t="str">
            <v>B003-PROD</v>
          </cell>
        </row>
        <row r="372">
          <cell r="A372" t="str">
            <v>GOUJON TREMPETTE 404 PROD</v>
          </cell>
          <cell r="B372" t="str">
            <v>TRM200</v>
          </cell>
          <cell r="C372">
            <v>90</v>
          </cell>
        </row>
        <row r="373">
          <cell r="A373" t="str">
            <v>GOUPILLE TUBE D'EAU PUNTO 2-CP5 PROD</v>
          </cell>
          <cell r="B373" t="str">
            <v>F029-CP5</v>
          </cell>
        </row>
        <row r="374">
          <cell r="A374" t="str">
            <v>INSERT  MOLETE LAITON D6-90-CP1</v>
          </cell>
          <cell r="B374" t="str">
            <v>INSERT D6-90-CP1</v>
          </cell>
          <cell r="C374">
            <v>100</v>
          </cell>
        </row>
        <row r="375">
          <cell r="A375" t="str">
            <v>insert Hex 8 laiton</v>
          </cell>
          <cell r="B375">
            <v>510020</v>
          </cell>
        </row>
        <row r="376">
          <cell r="A376" t="str">
            <v>Insert Inox M8</v>
          </cell>
          <cell r="B376">
            <v>512520</v>
          </cell>
        </row>
        <row r="377">
          <cell r="A377" t="str">
            <v>insert laiton D6</v>
          </cell>
          <cell r="B377" t="str">
            <v>insert D6</v>
          </cell>
        </row>
        <row r="378">
          <cell r="A378" t="str">
            <v>INSERT LAITON D6-120-CP1</v>
          </cell>
          <cell r="B378" t="str">
            <v>INSERT D6-120-CP1</v>
          </cell>
          <cell r="C378">
            <v>100</v>
          </cell>
        </row>
        <row r="379">
          <cell r="A379" t="str">
            <v>INSERT LAITON D9  à120°</v>
          </cell>
          <cell r="B379" t="str">
            <v>INSERT D9 à120°</v>
          </cell>
          <cell r="C379">
            <v>75</v>
          </cell>
        </row>
        <row r="380">
          <cell r="A380" t="str">
            <v>INSERT LAITON D9 à 90°</v>
          </cell>
          <cell r="B380" t="str">
            <v>INSERT D9 à 90°</v>
          </cell>
          <cell r="C380">
            <v>110</v>
          </cell>
        </row>
        <row r="381">
          <cell r="A381" t="str">
            <v xml:space="preserve">INSERT LEVIER </v>
          </cell>
          <cell r="B381" t="str">
            <v>I110-01-004-PROD</v>
          </cell>
          <cell r="C381">
            <v>65</v>
          </cell>
        </row>
        <row r="382">
          <cell r="A382" t="str">
            <v>INSERT LEVIER PROD charioté</v>
          </cell>
          <cell r="B382" t="str">
            <v>I110-01-004-PROD</v>
          </cell>
          <cell r="C382">
            <v>30</v>
          </cell>
        </row>
        <row r="383">
          <cell r="A383" t="str">
            <v xml:space="preserve">INSERT LEVIER SURMOULEE 345833-01 - fraisage </v>
          </cell>
          <cell r="B383" t="str">
            <v>I110-01-004</v>
          </cell>
          <cell r="C383">
            <v>28</v>
          </cell>
        </row>
        <row r="384">
          <cell r="A384" t="str">
            <v>insert M10</v>
          </cell>
          <cell r="B384">
            <v>651128</v>
          </cell>
          <cell r="C384">
            <v>24</v>
          </cell>
        </row>
        <row r="385">
          <cell r="A385" t="str">
            <v>INSERT métalique</v>
          </cell>
          <cell r="B385" t="str">
            <v>8087-1</v>
          </cell>
        </row>
        <row r="386">
          <cell r="A386" t="str">
            <v>INSERT POUR FOURCHETTE FORME D</v>
          </cell>
          <cell r="B386">
            <v>2018063</v>
          </cell>
        </row>
        <row r="387">
          <cell r="A387" t="str">
            <v>insert R171</v>
          </cell>
          <cell r="B387" t="str">
            <v>DE-10048</v>
          </cell>
          <cell r="C387">
            <v>90</v>
          </cell>
        </row>
        <row r="388">
          <cell r="A388" t="str">
            <v>insert W164 court</v>
          </cell>
          <cell r="B388" t="str">
            <v>DE 10144</v>
          </cell>
          <cell r="C388">
            <v>120</v>
          </cell>
        </row>
        <row r="389">
          <cell r="A389" t="str">
            <v>Insert Zinguée 14.2*20*48.5</v>
          </cell>
          <cell r="B389" t="str">
            <v>14.2x20x48.5</v>
          </cell>
        </row>
        <row r="390">
          <cell r="A390" t="str">
            <v>Inserto Esag M8 12x12</v>
          </cell>
          <cell r="B390">
            <v>510090</v>
          </cell>
          <cell r="C390">
            <v>50</v>
          </cell>
        </row>
        <row r="391">
          <cell r="A391" t="str">
            <v>INSERTO ESAG.M6 8*6</v>
          </cell>
          <cell r="B391">
            <v>510020</v>
          </cell>
          <cell r="C391">
            <v>120</v>
          </cell>
        </row>
        <row r="392">
          <cell r="A392" t="str">
            <v>INSERTO MANOPOLA  INOX M8</v>
          </cell>
          <cell r="B392">
            <v>512520</v>
          </cell>
          <cell r="C392">
            <v>36</v>
          </cell>
        </row>
        <row r="393">
          <cell r="A393" t="str">
            <v xml:space="preserve">Main Body for secondary fan out </v>
          </cell>
          <cell r="B393" t="str">
            <v>OTT-169</v>
          </cell>
          <cell r="C393">
            <v>100</v>
          </cell>
        </row>
        <row r="394">
          <cell r="A394" t="str">
            <v xml:space="preserve">MAIN BODY PRIMARY FAN OUT  </v>
          </cell>
          <cell r="B394" t="str">
            <v>IC5253</v>
          </cell>
          <cell r="C394">
            <v>60</v>
          </cell>
        </row>
        <row r="395">
          <cell r="A395" t="str">
            <v>Perno  AGGANCIO</v>
          </cell>
          <cell r="B395">
            <v>510530</v>
          </cell>
          <cell r="C395">
            <v>120</v>
          </cell>
        </row>
        <row r="396">
          <cell r="A396" t="str">
            <v>Perno 510530</v>
          </cell>
          <cell r="B396">
            <v>510530</v>
          </cell>
        </row>
        <row r="397">
          <cell r="A397" t="str">
            <v>perno 6-30</v>
          </cell>
          <cell r="B397">
            <v>511110</v>
          </cell>
          <cell r="C397">
            <v>120</v>
          </cell>
        </row>
        <row r="398">
          <cell r="A398" t="str">
            <v>perno 6-62</v>
          </cell>
          <cell r="B398">
            <v>511100</v>
          </cell>
          <cell r="C398">
            <v>120</v>
          </cell>
        </row>
        <row r="399">
          <cell r="A399" t="str">
            <v xml:space="preserve">PERNO AGGANCIO-RULLO S-SC </v>
          </cell>
          <cell r="B399">
            <v>513280</v>
          </cell>
        </row>
        <row r="400">
          <cell r="A400" t="str">
            <v>PERNO DISINNESTO RULLO</v>
          </cell>
          <cell r="B400" t="str">
            <v>G16922290</v>
          </cell>
        </row>
        <row r="401">
          <cell r="A401" t="str">
            <v>PERNO DISINNESTO RULLO G16922290 laiton d7</v>
          </cell>
          <cell r="B401">
            <v>512800</v>
          </cell>
          <cell r="C401">
            <v>120</v>
          </cell>
        </row>
        <row r="402">
          <cell r="A402" t="str">
            <v>PIECE CARRE DE 7</v>
          </cell>
          <cell r="B402" t="str">
            <v>PIECE-CARRE-7</v>
          </cell>
          <cell r="C402">
            <v>120</v>
          </cell>
        </row>
        <row r="403">
          <cell r="A403" t="str">
            <v>PIECE DECOLLETE TUBE DEAU MIT PROD</v>
          </cell>
          <cell r="B403" t="str">
            <v>MI022-CP3-PROD</v>
          </cell>
          <cell r="C403">
            <v>90</v>
          </cell>
        </row>
        <row r="404">
          <cell r="A404" t="str">
            <v xml:space="preserve">PIECE IMPEREMERIE CAP BON </v>
          </cell>
          <cell r="B404" t="str">
            <v xml:space="preserve">PIECE INOX </v>
          </cell>
          <cell r="C404">
            <v>60</v>
          </cell>
        </row>
        <row r="405">
          <cell r="A405" t="str">
            <v>PIECE MOULEE V02</v>
          </cell>
          <cell r="B405" t="str">
            <v>19097-2-1</v>
          </cell>
          <cell r="C405">
            <v>30</v>
          </cell>
        </row>
        <row r="406">
          <cell r="A406" t="str">
            <v>Pignon 28 dent  L=234</v>
          </cell>
          <cell r="B406" t="str">
            <v>PIG-28D-L234-SG</v>
          </cell>
        </row>
        <row r="407">
          <cell r="A407" t="str">
            <v>Pignon 28 dent BRAVO L=255</v>
          </cell>
          <cell r="B407" t="str">
            <v>PIG-28D-L255-SG</v>
          </cell>
        </row>
        <row r="408">
          <cell r="A408" t="str">
            <v>Pignon 28 dent CIAO L=245</v>
          </cell>
          <cell r="B408" t="str">
            <v>PIG-28D-L245-SG</v>
          </cell>
        </row>
        <row r="409">
          <cell r="A409" t="str">
            <v>pignon simple etage</v>
          </cell>
          <cell r="B409" t="str">
            <v>PIG 50 SE-HARDING</v>
          </cell>
          <cell r="C409">
            <v>38</v>
          </cell>
        </row>
        <row r="410">
          <cell r="A410" t="str">
            <v>pignon simple etage fraisage</v>
          </cell>
          <cell r="B410" t="str">
            <v>PIG 50 SE-HARDING</v>
          </cell>
          <cell r="C410">
            <v>120</v>
          </cell>
        </row>
        <row r="411">
          <cell r="A411" t="str">
            <v>PIGNON SOUDE L=236-24DENTS avec graisseur</v>
          </cell>
          <cell r="B411" t="str">
            <v>PIG-L236-24D-G</v>
          </cell>
          <cell r="C411">
            <v>120</v>
          </cell>
        </row>
        <row r="412">
          <cell r="A412" t="str">
            <v>Pignon soudé lg=216 -28 dents avec graisseur</v>
          </cell>
          <cell r="B412" t="str">
            <v>PIG-L216-28D-G</v>
          </cell>
        </row>
        <row r="413">
          <cell r="A413" t="str">
            <v>pion</v>
          </cell>
          <cell r="B413">
            <v>43563</v>
          </cell>
        </row>
        <row r="414">
          <cell r="A414" t="str">
            <v>piston</v>
          </cell>
          <cell r="B414" t="str">
            <v>-</v>
          </cell>
        </row>
        <row r="415">
          <cell r="A415" t="str">
            <v>plot nez de marche</v>
          </cell>
          <cell r="B415" t="str">
            <v>outi-plot</v>
          </cell>
          <cell r="C415">
            <v>75</v>
          </cell>
        </row>
        <row r="416">
          <cell r="A416" t="str">
            <v>poigné aluminum</v>
          </cell>
          <cell r="B416" t="str">
            <v>-</v>
          </cell>
        </row>
        <row r="417">
          <cell r="A417" t="str">
            <v xml:space="preserve">porta valvola </v>
          </cell>
          <cell r="B417" t="str">
            <v>SH42Z1</v>
          </cell>
        </row>
        <row r="418">
          <cell r="A418" t="str">
            <v xml:space="preserve">Porta valvola </v>
          </cell>
          <cell r="B418" t="str">
            <v>SH42Z1-Fraiseuse</v>
          </cell>
          <cell r="C418">
            <v>60</v>
          </cell>
        </row>
        <row r="419">
          <cell r="A419" t="str">
            <v xml:space="preserve">PORTE ROTULE </v>
          </cell>
          <cell r="B419">
            <v>7012</v>
          </cell>
        </row>
        <row r="420">
          <cell r="A420" t="str">
            <v>QAB 14*18-D16 NLD</v>
          </cell>
          <cell r="B420">
            <v>35133801</v>
          </cell>
        </row>
        <row r="421">
          <cell r="A421" t="str">
            <v>QUADRO 10</v>
          </cell>
          <cell r="B421" t="str">
            <v>AVP60</v>
          </cell>
        </row>
        <row r="422">
          <cell r="A422" t="str">
            <v>QUADRO 10*60 AVP</v>
          </cell>
          <cell r="B422">
            <v>510021</v>
          </cell>
          <cell r="C422">
            <v>60</v>
          </cell>
        </row>
        <row r="423">
          <cell r="A423" t="str">
            <v>QUADRO 10*60 AVP-AXE ACIER</v>
          </cell>
          <cell r="B423">
            <v>510021</v>
          </cell>
          <cell r="C423">
            <v>60</v>
          </cell>
        </row>
        <row r="424">
          <cell r="A424" t="str">
            <v>raccord 504</v>
          </cell>
          <cell r="B424">
            <v>504</v>
          </cell>
          <cell r="C424">
            <v>60</v>
          </cell>
        </row>
        <row r="425">
          <cell r="A425" t="str">
            <v>RACCORD F110 PROD</v>
          </cell>
          <cell r="B425" t="str">
            <v>RAC-F110</v>
          </cell>
        </row>
        <row r="426">
          <cell r="A426" t="str">
            <v>RACCORD FIAT 113 PROD</v>
          </cell>
          <cell r="B426" t="str">
            <v>F100/13</v>
          </cell>
          <cell r="C426">
            <v>90</v>
          </cell>
        </row>
        <row r="427">
          <cell r="A427" t="str">
            <v>raccord HEX 17</v>
          </cell>
          <cell r="B427" t="str">
            <v>MPS000300</v>
          </cell>
          <cell r="C427">
            <v>454</v>
          </cell>
        </row>
        <row r="428">
          <cell r="A428" t="str">
            <v>RACCORD ISUZU PROD</v>
          </cell>
          <cell r="B428" t="str">
            <v>RAC-ISUZU</v>
          </cell>
          <cell r="C428">
            <v>454</v>
          </cell>
        </row>
        <row r="429">
          <cell r="A429" t="str">
            <v>raccord OM 40</v>
          </cell>
          <cell r="B429" t="str">
            <v>RAC-OM40</v>
          </cell>
          <cell r="C429">
            <v>90</v>
          </cell>
        </row>
        <row r="430">
          <cell r="A430" t="str">
            <v>raccord pompe a l'eau</v>
          </cell>
          <cell r="B430" t="str">
            <v>I071</v>
          </cell>
        </row>
        <row r="431">
          <cell r="A431" t="str">
            <v>Raccord refroidisseur ISUZU</v>
          </cell>
          <cell r="B431" t="str">
            <v>I070-cp1</v>
          </cell>
        </row>
        <row r="432">
          <cell r="A432" t="str">
            <v>Rehausse-NAKAMURHA</v>
          </cell>
          <cell r="B432" t="str">
            <v>PT8666</v>
          </cell>
          <cell r="C432">
            <v>80</v>
          </cell>
        </row>
        <row r="433">
          <cell r="A433" t="str">
            <v>rewinder axis Ø 14 inox</v>
          </cell>
          <cell r="B433" t="str">
            <v>300035-5-f</v>
          </cell>
          <cell r="C433">
            <v>100</v>
          </cell>
        </row>
        <row r="434">
          <cell r="A434" t="str">
            <v>rivet laiton D6</v>
          </cell>
          <cell r="B434" t="str">
            <v>6.2-9</v>
          </cell>
        </row>
        <row r="435">
          <cell r="A435" t="str">
            <v>rivet laiton D6-fraiseuse</v>
          </cell>
          <cell r="B435" t="str">
            <v>6.2-9</v>
          </cell>
        </row>
        <row r="436">
          <cell r="A436" t="str">
            <v>RIVET MECANISME D6</v>
          </cell>
          <cell r="B436" t="str">
            <v>T-RM200</v>
          </cell>
        </row>
        <row r="437">
          <cell r="A437" t="str">
            <v>rivet Ø15</v>
          </cell>
          <cell r="B437" t="str">
            <v>TVRC100</v>
          </cell>
          <cell r="C437">
            <v>400</v>
          </cell>
        </row>
        <row r="438">
          <cell r="A438" t="str">
            <v>rivet tarraudé T80</v>
          </cell>
          <cell r="B438" t="str">
            <v>R-T80</v>
          </cell>
        </row>
        <row r="439">
          <cell r="A439" t="str">
            <v>rivet tarraudée B55</v>
          </cell>
          <cell r="B439" t="str">
            <v>B55 6*14,8</v>
          </cell>
          <cell r="C439">
            <v>120</v>
          </cell>
        </row>
        <row r="440">
          <cell r="A440" t="str">
            <v>RIVET TRB400</v>
          </cell>
          <cell r="B440" t="str">
            <v>T-RB400</v>
          </cell>
          <cell r="C440">
            <v>120</v>
          </cell>
        </row>
        <row r="441">
          <cell r="A441" t="str">
            <v>Rivet TRC300</v>
          </cell>
          <cell r="B441" t="str">
            <v>T-RC300</v>
          </cell>
          <cell r="C441">
            <v>120</v>
          </cell>
        </row>
        <row r="442">
          <cell r="A442" t="str">
            <v>RIVET TVRC 100</v>
          </cell>
          <cell r="B442" t="str">
            <v>TVRC100</v>
          </cell>
          <cell r="C442">
            <v>120</v>
          </cell>
        </row>
        <row r="443">
          <cell r="A443" t="str">
            <v>RIVET TVRC 100-Multibroche</v>
          </cell>
          <cell r="B443" t="str">
            <v>TVRC100</v>
          </cell>
          <cell r="C443">
            <v>400</v>
          </cell>
        </row>
        <row r="444">
          <cell r="A444" t="str">
            <v>Rondelle axe etirée de frein ISUZU</v>
          </cell>
          <cell r="B444" t="str">
            <v>I100-CP2</v>
          </cell>
          <cell r="C444">
            <v>400</v>
          </cell>
        </row>
        <row r="445">
          <cell r="A445" t="str">
            <v>RONDELLE BOUCHON CARTER PROD</v>
          </cell>
          <cell r="B445" t="str">
            <v>ROND-IN-D12</v>
          </cell>
        </row>
        <row r="446">
          <cell r="A446" t="str">
            <v>RONDELLE INOX 304 D12</v>
          </cell>
          <cell r="B446" t="str">
            <v>ROND-IN-D14</v>
          </cell>
          <cell r="C446">
            <v>60</v>
          </cell>
        </row>
        <row r="447">
          <cell r="A447" t="str">
            <v>RONDELLE INOX 304 D14</v>
          </cell>
          <cell r="B447" t="str">
            <v>IN-304-D14</v>
          </cell>
          <cell r="C447">
            <v>60</v>
          </cell>
        </row>
        <row r="448">
          <cell r="A448" t="str">
            <v>Rouleau contacteur</v>
          </cell>
          <cell r="B448">
            <v>43850</v>
          </cell>
          <cell r="C448">
            <v>60</v>
          </cell>
        </row>
        <row r="449">
          <cell r="A449" t="str">
            <v>SEAL RING STRAIN RELIEF</v>
          </cell>
          <cell r="B449" t="str">
            <v>DPA-00369114</v>
          </cell>
          <cell r="C449">
            <v>45</v>
          </cell>
        </row>
        <row r="450">
          <cell r="A450" t="str">
            <v>Serrure encastrée B55</v>
          </cell>
          <cell r="B450" t="str">
            <v>B55-5*13</v>
          </cell>
        </row>
        <row r="451">
          <cell r="A451" t="str">
            <v>Siege JCU</v>
          </cell>
          <cell r="B451" t="str">
            <v>ChSIEGE-JCN</v>
          </cell>
        </row>
        <row r="452">
          <cell r="A452" t="str">
            <v>signalisation d'intégrateur</v>
          </cell>
          <cell r="B452">
            <v>703069</v>
          </cell>
        </row>
        <row r="453">
          <cell r="A453" t="str">
            <v>SPINA GRIGIA INOX</v>
          </cell>
          <cell r="B453" t="str">
            <v>PI50V0</v>
          </cell>
          <cell r="C453">
            <v>15</v>
          </cell>
        </row>
        <row r="454">
          <cell r="A454" t="str">
            <v>SUPPORT VENTOUSE L75</v>
          </cell>
          <cell r="B454" t="str">
            <v>SUPPORT-VENT-L75</v>
          </cell>
          <cell r="C454">
            <v>20</v>
          </cell>
        </row>
        <row r="455">
          <cell r="A455" t="str">
            <v>teton</v>
          </cell>
          <cell r="B455" t="str">
            <v>T8/12</v>
          </cell>
        </row>
        <row r="456">
          <cell r="A456" t="str">
            <v>TIGE DE PISTON</v>
          </cell>
          <cell r="B456">
            <v>200300</v>
          </cell>
          <cell r="C456">
            <v>36</v>
          </cell>
        </row>
        <row r="457">
          <cell r="A457" t="str">
            <v>tige d'embrayage</v>
          </cell>
          <cell r="B457" t="str">
            <v>F110</v>
          </cell>
          <cell r="C457">
            <v>36</v>
          </cell>
        </row>
        <row r="458">
          <cell r="A458" t="str">
            <v>TIGE INOX</v>
          </cell>
          <cell r="B458" t="str">
            <v>TIGE-INOX</v>
          </cell>
        </row>
        <row r="459">
          <cell r="A459" t="str">
            <v>TIGE M4 AVEC ECROU</v>
          </cell>
          <cell r="B459" t="str">
            <v>TIGE M4</v>
          </cell>
          <cell r="C459">
            <v>240</v>
          </cell>
        </row>
        <row r="460">
          <cell r="A460" t="str">
            <v>TIGE M6 AVEC ECROU</v>
          </cell>
          <cell r="B460" t="str">
            <v>TIGE M6</v>
          </cell>
          <cell r="C460">
            <v>180</v>
          </cell>
        </row>
        <row r="461">
          <cell r="A461" t="str">
            <v>TIGE-D10-M8</v>
          </cell>
          <cell r="B461" t="str">
            <v>2018021-01-01</v>
          </cell>
          <cell r="C461">
            <v>180</v>
          </cell>
        </row>
        <row r="462">
          <cell r="A462" t="str">
            <v>TIGED8-M6</v>
          </cell>
          <cell r="B462" t="str">
            <v>2018069-01</v>
          </cell>
          <cell r="C462">
            <v>120</v>
          </cell>
        </row>
        <row r="463">
          <cell r="A463" t="str">
            <v>TIRANT ACIER D6</v>
          </cell>
          <cell r="B463">
            <v>199400</v>
          </cell>
          <cell r="C463">
            <v>120</v>
          </cell>
        </row>
        <row r="464">
          <cell r="A464" t="str">
            <v>tube d'eau fiat tupo</v>
          </cell>
          <cell r="B464" t="str">
            <v>F044</v>
          </cell>
          <cell r="C464">
            <v>90</v>
          </cell>
        </row>
        <row r="465">
          <cell r="A465" t="str">
            <v>TUBE PM TUBE D'EAU 404</v>
          </cell>
          <cell r="B465" t="str">
            <v>B070-CP2</v>
          </cell>
        </row>
        <row r="466">
          <cell r="A466" t="str">
            <v>VIS DE MOTORISATION FENTS</v>
          </cell>
          <cell r="B466" t="str">
            <v>0203-0015</v>
          </cell>
          <cell r="C466">
            <v>120</v>
          </cell>
        </row>
        <row r="467">
          <cell r="A467" t="str">
            <v>VIS DE PLOMBAGE --D</v>
          </cell>
          <cell r="B467">
            <v>253156702</v>
          </cell>
          <cell r="C467">
            <v>50</v>
          </cell>
        </row>
        <row r="468">
          <cell r="A468" t="str">
            <v>vis DEC inox M2.5</v>
          </cell>
          <cell r="B468">
            <v>3756</v>
          </cell>
          <cell r="C468">
            <v>30</v>
          </cell>
        </row>
        <row r="469">
          <cell r="A469" t="str">
            <v>Vis imperdable</v>
          </cell>
          <cell r="B469" t="str">
            <v>Vis-imperdable</v>
          </cell>
        </row>
        <row r="470">
          <cell r="A470" t="str">
            <v>VIS PM SUP MOTEUR FORD RANGER</v>
          </cell>
          <cell r="B470" t="str">
            <v>FO008-CP3</v>
          </cell>
          <cell r="C470">
            <v>90</v>
          </cell>
        </row>
        <row r="471">
          <cell r="A471" t="str">
            <v>Vis ressort</v>
          </cell>
          <cell r="B471" t="str">
            <v>M018-BIGLIA</v>
          </cell>
          <cell r="C471">
            <v>11</v>
          </cell>
        </row>
        <row r="472">
          <cell r="A472" t="str">
            <v>Wasseranscluss Stift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5">
    <tabColor rgb="FFC00000"/>
  </sheetPr>
  <dimension ref="A1:AA48"/>
  <sheetViews>
    <sheetView view="pageBreakPreview" zoomScale="47" zoomScaleNormal="53" zoomScaleSheetLayoutView="47" zoomScalePageLayoutView="42" workbookViewId="0">
      <selection activeCell="Y12" sqref="Y12"/>
    </sheetView>
  </sheetViews>
  <sheetFormatPr baseColWidth="10" defaultRowHeight="15"/>
  <cols>
    <col min="1" max="1" width="14.140625" style="5" customWidth="1"/>
    <col min="2" max="2" width="28.42578125" style="5" bestFit="1" customWidth="1"/>
    <col min="3" max="3" width="22.28515625" style="5" customWidth="1"/>
    <col min="4" max="4" width="27.85546875" style="5" customWidth="1"/>
    <col min="5" max="8" width="21.5703125" style="5" customWidth="1"/>
    <col min="9" max="9" width="22" style="5" customWidth="1"/>
    <col min="10" max="12" width="19.140625" style="5" customWidth="1"/>
    <col min="13" max="16" width="20.42578125" style="5" customWidth="1"/>
    <col min="17" max="20" width="20.5703125" customWidth="1"/>
    <col min="21" max="21" width="32.42578125" customWidth="1"/>
    <col min="22" max="22" width="12" style="5" customWidth="1"/>
    <col min="23" max="23" width="16.85546875" customWidth="1"/>
    <col min="24" max="24" width="18.7109375" style="5" customWidth="1"/>
    <col min="25" max="25" width="22.140625" customWidth="1"/>
    <col min="26" max="26" width="20.28515625" customWidth="1"/>
    <col min="27" max="27" width="16.7109375" customWidth="1"/>
  </cols>
  <sheetData>
    <row r="1" spans="1:27" ht="31.5">
      <c r="A1" s="13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0"/>
      <c r="R1" s="10"/>
      <c r="S1" s="10"/>
      <c r="T1" s="10"/>
      <c r="U1" s="10"/>
      <c r="V1" s="14"/>
      <c r="W1" s="429"/>
      <c r="X1" s="430"/>
      <c r="Y1" s="430"/>
      <c r="Z1" s="430"/>
      <c r="AA1" s="431"/>
    </row>
    <row r="2" spans="1:27" ht="168" customHeight="1">
      <c r="A2" s="28" t="s">
        <v>54</v>
      </c>
      <c r="B2" s="28" t="s">
        <v>10</v>
      </c>
      <c r="C2" s="28" t="s">
        <v>9</v>
      </c>
      <c r="D2" s="28" t="s">
        <v>8</v>
      </c>
      <c r="E2" s="28" t="s">
        <v>252</v>
      </c>
      <c r="F2" s="28" t="s">
        <v>242</v>
      </c>
      <c r="G2" s="28" t="s">
        <v>253</v>
      </c>
      <c r="H2" s="28" t="s">
        <v>265</v>
      </c>
      <c r="I2" s="28" t="s">
        <v>232</v>
      </c>
      <c r="J2" s="28" t="s">
        <v>7</v>
      </c>
      <c r="K2" s="28" t="s">
        <v>143</v>
      </c>
      <c r="L2" s="28" t="s">
        <v>254</v>
      </c>
      <c r="M2" s="28" t="s">
        <v>255</v>
      </c>
      <c r="N2" s="28" t="s">
        <v>266</v>
      </c>
      <c r="O2" s="28" t="s">
        <v>256</v>
      </c>
      <c r="P2" s="28" t="s">
        <v>258</v>
      </c>
      <c r="Q2" s="28" t="s">
        <v>259</v>
      </c>
      <c r="R2" s="28" t="s">
        <v>267</v>
      </c>
      <c r="S2" s="28" t="s">
        <v>260</v>
      </c>
      <c r="T2" s="28" t="s">
        <v>6</v>
      </c>
      <c r="U2" s="28" t="s">
        <v>5</v>
      </c>
      <c r="V2" s="28" t="s">
        <v>4</v>
      </c>
      <c r="W2" s="28" t="s">
        <v>100</v>
      </c>
      <c r="X2" s="28" t="s">
        <v>3</v>
      </c>
      <c r="Y2" s="28" t="s">
        <v>2</v>
      </c>
      <c r="Z2" s="28" t="s">
        <v>1</v>
      </c>
      <c r="AA2" s="28" t="s">
        <v>0</v>
      </c>
    </row>
    <row r="3" spans="1:27" ht="43.5" hidden="1" customHeight="1">
      <c r="A3" s="23" t="s">
        <v>11</v>
      </c>
      <c r="B3" s="393" t="s">
        <v>55</v>
      </c>
      <c r="C3" s="42" t="str">
        <f>IFERROR(VLOOKUP(D3,Pieces!A:B,2,0)," ")</f>
        <v xml:space="preserve"> </v>
      </c>
      <c r="D3" s="35"/>
      <c r="E3" s="29"/>
      <c r="F3" s="55"/>
      <c r="G3" s="46"/>
      <c r="H3" s="67"/>
      <c r="I3" s="39"/>
      <c r="J3" s="35"/>
      <c r="K3" s="49"/>
      <c r="L3" s="55">
        <f t="shared" ref="L3:L10" si="0">(F3-E3)*K3</f>
        <v>0</v>
      </c>
      <c r="M3" s="35">
        <f t="shared" ref="M3:M10" si="1">(G3-F3)*K3</f>
        <v>0</v>
      </c>
      <c r="N3" s="64">
        <f t="shared" ref="N3:N10" si="2">(H3-G3)*K3</f>
        <v>0</v>
      </c>
      <c r="O3" s="45">
        <f t="shared" ref="O3:O10" si="3">(I3-H3)*K3</f>
        <v>0</v>
      </c>
      <c r="P3" s="7">
        <f t="shared" ref="P3:P10" si="4">IF(J3=0,0,L3/J3)</f>
        <v>0</v>
      </c>
      <c r="Q3" s="7">
        <f t="shared" ref="Q3:Q10" si="5">IF(J3=0,0,M3/J3)</f>
        <v>0</v>
      </c>
      <c r="R3" s="7">
        <f t="shared" ref="R3:R10" si="6">IF(J3=0,0,N3/J3)</f>
        <v>0</v>
      </c>
      <c r="S3" s="7">
        <f t="shared" ref="S3:S10" si="7">IF(J3=0,0,O3/J3)</f>
        <v>0</v>
      </c>
      <c r="T3" s="9">
        <v>24</v>
      </c>
      <c r="U3" s="35"/>
      <c r="V3" s="35"/>
      <c r="W3" s="8">
        <f t="shared" ref="W3:W10" si="8">X3-M3-O3-L3+V3-N3</f>
        <v>0</v>
      </c>
      <c r="X3" s="35"/>
      <c r="Y3" s="7">
        <f t="shared" ref="Y3:Y10" si="9">IF(J3=0,0,(X3+V3)/J3)</f>
        <v>0</v>
      </c>
      <c r="Z3" s="6" t="str">
        <f t="shared" ref="Z3:Z10" si="10">IF(OR(T3=0,J3=0),"",Y3/T3*100)</f>
        <v/>
      </c>
      <c r="AA3" s="9" t="str">
        <f>IF(Z3&gt;85," ","WARNING")</f>
        <v xml:space="preserve"> </v>
      </c>
    </row>
    <row r="4" spans="1:27" ht="42" hidden="1" customHeight="1">
      <c r="A4" s="23" t="s">
        <v>12</v>
      </c>
      <c r="B4" s="393" t="s">
        <v>56</v>
      </c>
      <c r="C4" s="42" t="str">
        <f>IFERROR(VLOOKUP(D4,Pieces!A:B,2,0)," ")</f>
        <v xml:space="preserve"> </v>
      </c>
      <c r="D4" s="36"/>
      <c r="E4" s="29"/>
      <c r="F4" s="55"/>
      <c r="G4" s="46"/>
      <c r="H4" s="67"/>
      <c r="I4" s="39"/>
      <c r="J4" s="35"/>
      <c r="K4" s="49"/>
      <c r="L4" s="55">
        <f t="shared" si="0"/>
        <v>0</v>
      </c>
      <c r="M4" s="62">
        <f t="shared" si="1"/>
        <v>0</v>
      </c>
      <c r="N4" s="64">
        <f t="shared" si="2"/>
        <v>0</v>
      </c>
      <c r="O4" s="64">
        <f t="shared" si="3"/>
        <v>0</v>
      </c>
      <c r="P4" s="7">
        <f t="shared" si="4"/>
        <v>0</v>
      </c>
      <c r="Q4" s="7">
        <f t="shared" si="5"/>
        <v>0</v>
      </c>
      <c r="R4" s="7">
        <f t="shared" si="6"/>
        <v>0</v>
      </c>
      <c r="S4" s="7">
        <f t="shared" si="7"/>
        <v>0</v>
      </c>
      <c r="T4" s="9">
        <v>24</v>
      </c>
      <c r="U4" s="35"/>
      <c r="V4" s="35"/>
      <c r="W4" s="8">
        <f t="shared" si="8"/>
        <v>0</v>
      </c>
      <c r="X4" s="35"/>
      <c r="Y4" s="7">
        <f t="shared" si="9"/>
        <v>0</v>
      </c>
      <c r="Z4" s="6" t="str">
        <f t="shared" si="10"/>
        <v/>
      </c>
      <c r="AA4" s="9" t="str">
        <f t="shared" ref="AA4:AA22" si="11">IF(Z4&gt;85," ","WARNING")</f>
        <v xml:space="preserve"> </v>
      </c>
    </row>
    <row r="5" spans="1:27" ht="50.25" hidden="1" customHeight="1">
      <c r="A5" s="23" t="s">
        <v>13</v>
      </c>
      <c r="B5" s="393" t="s">
        <v>57</v>
      </c>
      <c r="C5" s="42" t="str">
        <f>IFERROR(VLOOKUP(D5,Pieces!A:B,2,0)," ")</f>
        <v xml:space="preserve"> </v>
      </c>
      <c r="D5" s="36"/>
      <c r="E5" s="29"/>
      <c r="F5" s="55"/>
      <c r="G5" s="46"/>
      <c r="H5" s="67"/>
      <c r="I5" s="39"/>
      <c r="J5" s="35"/>
      <c r="K5" s="49"/>
      <c r="L5" s="55">
        <f t="shared" si="0"/>
        <v>0</v>
      </c>
      <c r="M5" s="62">
        <f t="shared" si="1"/>
        <v>0</v>
      </c>
      <c r="N5" s="64">
        <f t="shared" si="2"/>
        <v>0</v>
      </c>
      <c r="O5" s="64">
        <f t="shared" si="3"/>
        <v>0</v>
      </c>
      <c r="P5" s="7">
        <f t="shared" si="4"/>
        <v>0</v>
      </c>
      <c r="Q5" s="7">
        <f t="shared" si="5"/>
        <v>0</v>
      </c>
      <c r="R5" s="7">
        <f t="shared" si="6"/>
        <v>0</v>
      </c>
      <c r="S5" s="7">
        <f t="shared" si="7"/>
        <v>0</v>
      </c>
      <c r="T5" s="9">
        <v>24</v>
      </c>
      <c r="U5" s="35"/>
      <c r="V5" s="35"/>
      <c r="W5" s="8">
        <f t="shared" si="8"/>
        <v>0</v>
      </c>
      <c r="X5" s="35"/>
      <c r="Y5" s="7">
        <f t="shared" si="9"/>
        <v>0</v>
      </c>
      <c r="Z5" s="6" t="str">
        <f t="shared" si="10"/>
        <v/>
      </c>
      <c r="AA5" s="9" t="str">
        <f t="shared" si="11"/>
        <v xml:space="preserve"> </v>
      </c>
    </row>
    <row r="6" spans="1:27" ht="39.75" hidden="1" customHeight="1">
      <c r="A6" s="23" t="s">
        <v>14</v>
      </c>
      <c r="B6" s="393" t="s">
        <v>58</v>
      </c>
      <c r="C6" s="42" t="str">
        <f>IFERROR(VLOOKUP(D6,Pieces!A:B,2,0)," ")</f>
        <v xml:space="preserve"> </v>
      </c>
      <c r="D6" s="36"/>
      <c r="E6" s="29"/>
      <c r="F6" s="55"/>
      <c r="G6" s="46"/>
      <c r="H6" s="67"/>
      <c r="I6" s="39"/>
      <c r="J6" s="35"/>
      <c r="K6" s="49"/>
      <c r="L6" s="55">
        <f t="shared" si="0"/>
        <v>0</v>
      </c>
      <c r="M6" s="62">
        <f t="shared" si="1"/>
        <v>0</v>
      </c>
      <c r="N6" s="64">
        <f t="shared" si="2"/>
        <v>0</v>
      </c>
      <c r="O6" s="64">
        <f t="shared" si="3"/>
        <v>0</v>
      </c>
      <c r="P6" s="7">
        <f t="shared" si="4"/>
        <v>0</v>
      </c>
      <c r="Q6" s="7">
        <f t="shared" si="5"/>
        <v>0</v>
      </c>
      <c r="R6" s="7">
        <f t="shared" si="6"/>
        <v>0</v>
      </c>
      <c r="S6" s="7">
        <f t="shared" si="7"/>
        <v>0</v>
      </c>
      <c r="T6" s="9">
        <v>24</v>
      </c>
      <c r="U6" s="35"/>
      <c r="V6" s="35"/>
      <c r="W6" s="8">
        <f t="shared" si="8"/>
        <v>0</v>
      </c>
      <c r="X6" s="35"/>
      <c r="Y6" s="7">
        <f t="shared" si="9"/>
        <v>0</v>
      </c>
      <c r="Z6" s="6" t="str">
        <f t="shared" si="10"/>
        <v/>
      </c>
      <c r="AA6" s="9" t="str">
        <f t="shared" si="11"/>
        <v xml:space="preserve"> </v>
      </c>
    </row>
    <row r="7" spans="1:27" ht="42.75" hidden="1" customHeight="1">
      <c r="A7" s="23" t="s">
        <v>15</v>
      </c>
      <c r="B7" s="393" t="s">
        <v>59</v>
      </c>
      <c r="C7" s="42" t="str">
        <f>IFERROR(VLOOKUP(D7,Pieces!A:B,2,0)," ")</f>
        <v xml:space="preserve"> </v>
      </c>
      <c r="D7" s="36"/>
      <c r="E7" s="29"/>
      <c r="F7" s="55"/>
      <c r="G7" s="46"/>
      <c r="H7" s="67"/>
      <c r="I7" s="39"/>
      <c r="J7" s="35"/>
      <c r="K7" s="49"/>
      <c r="L7" s="55">
        <f t="shared" si="0"/>
        <v>0</v>
      </c>
      <c r="M7" s="62">
        <f t="shared" si="1"/>
        <v>0</v>
      </c>
      <c r="N7" s="64">
        <f t="shared" si="2"/>
        <v>0</v>
      </c>
      <c r="O7" s="64">
        <f t="shared" si="3"/>
        <v>0</v>
      </c>
      <c r="P7" s="7">
        <f t="shared" si="4"/>
        <v>0</v>
      </c>
      <c r="Q7" s="7">
        <f t="shared" si="5"/>
        <v>0</v>
      </c>
      <c r="R7" s="7">
        <f t="shared" si="6"/>
        <v>0</v>
      </c>
      <c r="S7" s="7">
        <f t="shared" si="7"/>
        <v>0</v>
      </c>
      <c r="T7" s="9">
        <v>24</v>
      </c>
      <c r="U7" s="35"/>
      <c r="V7" s="35"/>
      <c r="W7" s="8">
        <f t="shared" si="8"/>
        <v>0</v>
      </c>
      <c r="X7" s="35"/>
      <c r="Y7" s="7">
        <f t="shared" si="9"/>
        <v>0</v>
      </c>
      <c r="Z7" s="6" t="str">
        <f t="shared" si="10"/>
        <v/>
      </c>
      <c r="AA7" s="9" t="str">
        <f t="shared" si="11"/>
        <v xml:space="preserve"> </v>
      </c>
    </row>
    <row r="8" spans="1:27" ht="42.75" hidden="1" customHeight="1">
      <c r="A8" s="23" t="s">
        <v>16</v>
      </c>
      <c r="B8" s="393" t="s">
        <v>60</v>
      </c>
      <c r="C8" s="42"/>
      <c r="D8" s="72"/>
      <c r="E8" s="73"/>
      <c r="F8" s="73"/>
      <c r="G8" s="73"/>
      <c r="H8" s="73"/>
      <c r="I8" s="73"/>
      <c r="J8" s="72"/>
      <c r="K8" s="73"/>
      <c r="L8" s="73"/>
      <c r="M8" s="72"/>
      <c r="N8" s="72"/>
      <c r="O8" s="72"/>
      <c r="P8" s="7"/>
      <c r="Q8" s="7"/>
      <c r="R8" s="7"/>
      <c r="S8" s="7"/>
      <c r="T8" s="9"/>
      <c r="U8" s="72"/>
      <c r="V8" s="72"/>
      <c r="W8" s="8"/>
      <c r="X8" s="72"/>
      <c r="Y8" s="7"/>
      <c r="Z8" s="6"/>
      <c r="AA8" s="9"/>
    </row>
    <row r="9" spans="1:27" ht="42.75" hidden="1" customHeight="1">
      <c r="A9" s="23" t="s">
        <v>326</v>
      </c>
      <c r="B9" s="393" t="s">
        <v>325</v>
      </c>
      <c r="C9" s="42"/>
      <c r="D9" s="72"/>
      <c r="E9" s="73"/>
      <c r="F9" s="73"/>
      <c r="G9" s="73"/>
      <c r="H9" s="73"/>
      <c r="I9" s="73"/>
      <c r="J9" s="72"/>
      <c r="K9" s="73"/>
      <c r="L9" s="73"/>
      <c r="M9" s="72"/>
      <c r="N9" s="72"/>
      <c r="O9" s="72"/>
      <c r="P9" s="7"/>
      <c r="Q9" s="7"/>
      <c r="R9" s="7"/>
      <c r="S9" s="7"/>
      <c r="T9" s="9"/>
      <c r="U9" s="72"/>
      <c r="V9" s="72"/>
      <c r="W9" s="8"/>
      <c r="X9" s="72"/>
      <c r="Y9" s="7"/>
      <c r="Z9" s="6"/>
      <c r="AA9" s="9"/>
    </row>
    <row r="10" spans="1:27" ht="57" hidden="1" customHeight="1">
      <c r="A10" s="23" t="s">
        <v>332</v>
      </c>
      <c r="B10" s="393" t="s">
        <v>333</v>
      </c>
      <c r="C10" s="42" t="str">
        <f>IFERROR(VLOOKUP(D10,Pieces!A:B,2,0)," ")</f>
        <v xml:space="preserve"> </v>
      </c>
      <c r="D10" s="36"/>
      <c r="E10" s="29"/>
      <c r="F10" s="55"/>
      <c r="G10" s="46"/>
      <c r="H10" s="67"/>
      <c r="I10" s="39"/>
      <c r="J10" s="35"/>
      <c r="K10" s="49"/>
      <c r="L10" s="55">
        <f t="shared" si="0"/>
        <v>0</v>
      </c>
      <c r="M10" s="62">
        <f t="shared" si="1"/>
        <v>0</v>
      </c>
      <c r="N10" s="64">
        <f t="shared" si="2"/>
        <v>0</v>
      </c>
      <c r="O10" s="64">
        <f t="shared" si="3"/>
        <v>0</v>
      </c>
      <c r="P10" s="7">
        <f t="shared" si="4"/>
        <v>0</v>
      </c>
      <c r="Q10" s="7">
        <f t="shared" si="5"/>
        <v>0</v>
      </c>
      <c r="R10" s="7">
        <f t="shared" si="6"/>
        <v>0</v>
      </c>
      <c r="S10" s="7">
        <f t="shared" si="7"/>
        <v>0</v>
      </c>
      <c r="T10" s="9">
        <v>24</v>
      </c>
      <c r="U10" s="35"/>
      <c r="V10" s="35"/>
      <c r="W10" s="8">
        <f t="shared" si="8"/>
        <v>0</v>
      </c>
      <c r="X10" s="35"/>
      <c r="Y10" s="7">
        <f t="shared" si="9"/>
        <v>0</v>
      </c>
      <c r="Z10" s="6" t="str">
        <f t="shared" si="10"/>
        <v/>
      </c>
      <c r="AA10" s="9" t="str">
        <f t="shared" si="11"/>
        <v xml:space="preserve"> </v>
      </c>
    </row>
    <row r="11" spans="1:27" ht="17.25" hidden="1" customHeight="1">
      <c r="A11" s="432"/>
      <c r="B11" s="432"/>
      <c r="C11" s="432"/>
      <c r="D11" s="432"/>
      <c r="E11" s="432"/>
      <c r="F11" s="432"/>
      <c r="G11" s="432"/>
      <c r="H11" s="432"/>
      <c r="I11" s="432"/>
      <c r="J11" s="432"/>
      <c r="K11" s="432"/>
      <c r="L11" s="432"/>
      <c r="M11" s="432"/>
      <c r="N11" s="432"/>
      <c r="O11" s="432"/>
      <c r="P11" s="432"/>
      <c r="Q11" s="432"/>
      <c r="R11" s="432"/>
      <c r="S11" s="432"/>
      <c r="T11" s="432"/>
      <c r="U11" s="432"/>
      <c r="V11" s="432"/>
      <c r="W11" s="432"/>
      <c r="X11" s="432"/>
      <c r="Y11" s="432"/>
      <c r="Z11" s="432"/>
      <c r="AA11" s="432"/>
    </row>
    <row r="12" spans="1:27" ht="54" customHeight="1">
      <c r="A12" s="23" t="s">
        <v>17</v>
      </c>
      <c r="B12" s="397" t="s">
        <v>61</v>
      </c>
      <c r="C12" s="43" t="str">
        <f>IFERROR(VLOOKUP(D12,Pieces!A:B,2,0)," ")</f>
        <v xml:space="preserve"> </v>
      </c>
      <c r="D12" s="36"/>
      <c r="E12" s="35"/>
      <c r="F12" s="54"/>
      <c r="G12" s="45"/>
      <c r="H12" s="64"/>
      <c r="I12" s="38"/>
      <c r="J12" s="8"/>
      <c r="K12" s="48"/>
      <c r="L12" s="54">
        <f>(F12-E12)*K12</f>
        <v>0</v>
      </c>
      <c r="M12" s="35">
        <f>(G12-F12)*K12</f>
        <v>0</v>
      </c>
      <c r="N12" s="64">
        <f>(H12-G12)*K12</f>
        <v>0</v>
      </c>
      <c r="O12" s="45">
        <f>(I12-H12)*K12</f>
        <v>0</v>
      </c>
      <c r="P12" s="7">
        <f>IF(J12=0,0,L12/J12)</f>
        <v>0</v>
      </c>
      <c r="Q12" s="7">
        <f t="shared" ref="Q12:Q22" si="12">IF(J12=0,0,M12/J12)</f>
        <v>0</v>
      </c>
      <c r="R12" s="7">
        <f>IF(J12=0,0,N12/J12)</f>
        <v>0</v>
      </c>
      <c r="S12" s="7">
        <f>IF(J12=0,0,O12/J12)</f>
        <v>0</v>
      </c>
      <c r="T12" s="9">
        <v>24</v>
      </c>
      <c r="U12" s="35"/>
      <c r="V12" s="35"/>
      <c r="W12" s="8">
        <f>X12-M12-O12-L12+V12-N12</f>
        <v>0</v>
      </c>
      <c r="X12" s="35"/>
      <c r="Y12" s="7">
        <f t="shared" ref="Y12:Y22" si="13">IF(J12=0,0,(X12+V12)/J12)</f>
        <v>0</v>
      </c>
      <c r="Z12" s="6" t="str">
        <f t="shared" ref="Z12:Z22" si="14">IF(OR(T12=0,J12=0),"",Y12/T12*100)</f>
        <v/>
      </c>
      <c r="AA12" s="9" t="str">
        <f t="shared" si="11"/>
        <v xml:space="preserve"> </v>
      </c>
    </row>
    <row r="13" spans="1:27" ht="43.5" customHeight="1">
      <c r="A13" s="23" t="s">
        <v>18</v>
      </c>
      <c r="B13" s="395" t="s">
        <v>1226</v>
      </c>
      <c r="C13" s="43" t="str">
        <f>IFERROR(VLOOKUP(D13,Pieces!A:B,2,0)," ")</f>
        <v xml:space="preserve"> </v>
      </c>
      <c r="D13" s="36"/>
      <c r="E13" s="35"/>
      <c r="F13" s="54"/>
      <c r="G13" s="45"/>
      <c r="H13" s="64"/>
      <c r="I13" s="38"/>
      <c r="J13" s="35"/>
      <c r="K13" s="48"/>
      <c r="L13" s="54">
        <f t="shared" ref="L13:L22" si="15">(F13-E13)*K13</f>
        <v>0</v>
      </c>
      <c r="M13" s="62">
        <f t="shared" ref="M13:M22" si="16">(G13-F13)*K13</f>
        <v>0</v>
      </c>
      <c r="N13" s="64">
        <f t="shared" ref="N13:N22" si="17">(H13-G13)*K13</f>
        <v>0</v>
      </c>
      <c r="O13" s="64">
        <f t="shared" ref="O13:O22" si="18">(I13-H13)*K13</f>
        <v>0</v>
      </c>
      <c r="P13" s="7">
        <f t="shared" ref="P13:P22" si="19">IF(J13=0,0,L13/J13)</f>
        <v>0</v>
      </c>
      <c r="Q13" s="7">
        <f t="shared" si="12"/>
        <v>0</v>
      </c>
      <c r="R13" s="7">
        <f t="shared" ref="R13:R22" si="20">IF(J13=0,0,N13/J13)</f>
        <v>0</v>
      </c>
      <c r="S13" s="7">
        <f t="shared" ref="S13:S22" si="21">IF(J13=0,0,O13/J13)</f>
        <v>0</v>
      </c>
      <c r="T13" s="9">
        <v>24</v>
      </c>
      <c r="U13" s="35"/>
      <c r="V13" s="35"/>
      <c r="W13" s="8">
        <f t="shared" ref="W13:W22" si="22">X13-M13-O13-L13+V13-N13</f>
        <v>0</v>
      </c>
      <c r="X13" s="35"/>
      <c r="Y13" s="7">
        <f t="shared" si="13"/>
        <v>0</v>
      </c>
      <c r="Z13" s="6" t="str">
        <f t="shared" si="14"/>
        <v/>
      </c>
      <c r="AA13" s="9" t="str">
        <f t="shared" si="11"/>
        <v xml:space="preserve"> </v>
      </c>
    </row>
    <row r="14" spans="1:27" ht="43.5" customHeight="1">
      <c r="A14" s="23" t="s">
        <v>19</v>
      </c>
      <c r="B14" s="398" t="s">
        <v>62</v>
      </c>
      <c r="C14" s="43" t="str">
        <f>IFERROR(VLOOKUP(D14,Pieces!A:B,2,0)," ")</f>
        <v xml:space="preserve"> </v>
      </c>
      <c r="D14" s="36"/>
      <c r="E14" s="8"/>
      <c r="F14" s="8"/>
      <c r="G14" s="8"/>
      <c r="H14" s="8"/>
      <c r="I14" s="8"/>
      <c r="J14" s="35"/>
      <c r="K14" s="8"/>
      <c r="L14" s="54">
        <f t="shared" si="15"/>
        <v>0</v>
      </c>
      <c r="M14" s="62">
        <f t="shared" si="16"/>
        <v>0</v>
      </c>
      <c r="N14" s="64">
        <f t="shared" si="17"/>
        <v>0</v>
      </c>
      <c r="O14" s="64">
        <f t="shared" si="18"/>
        <v>0</v>
      </c>
      <c r="P14" s="7">
        <f t="shared" si="19"/>
        <v>0</v>
      </c>
      <c r="Q14" s="7">
        <f t="shared" si="12"/>
        <v>0</v>
      </c>
      <c r="R14" s="7">
        <f t="shared" si="20"/>
        <v>0</v>
      </c>
      <c r="S14" s="7">
        <f t="shared" si="21"/>
        <v>0</v>
      </c>
      <c r="T14" s="9">
        <v>24</v>
      </c>
      <c r="U14" s="35"/>
      <c r="V14" s="35"/>
      <c r="W14" s="8">
        <f t="shared" si="22"/>
        <v>0</v>
      </c>
      <c r="X14" s="35"/>
      <c r="Y14" s="7">
        <f t="shared" si="13"/>
        <v>0</v>
      </c>
      <c r="Z14" s="6" t="str">
        <f t="shared" si="14"/>
        <v/>
      </c>
      <c r="AA14" s="9" t="str">
        <f t="shared" si="11"/>
        <v xml:space="preserve"> </v>
      </c>
    </row>
    <row r="15" spans="1:27" ht="41.25" customHeight="1">
      <c r="A15" s="23" t="s">
        <v>20</v>
      </c>
      <c r="B15" s="394" t="s">
        <v>63</v>
      </c>
      <c r="C15" s="43" t="str">
        <f>IFERROR(VLOOKUP(D15,Pieces!A:B,2,0)," ")</f>
        <v xml:space="preserve"> </v>
      </c>
      <c r="D15" s="36"/>
      <c r="E15" s="35"/>
      <c r="F15" s="54"/>
      <c r="G15" s="45"/>
      <c r="H15" s="64"/>
      <c r="I15" s="38"/>
      <c r="J15" s="35"/>
      <c r="K15" s="48"/>
      <c r="L15" s="54">
        <f t="shared" si="15"/>
        <v>0</v>
      </c>
      <c r="M15" s="62">
        <f t="shared" si="16"/>
        <v>0</v>
      </c>
      <c r="N15" s="64">
        <f t="shared" si="17"/>
        <v>0</v>
      </c>
      <c r="O15" s="64">
        <f t="shared" si="18"/>
        <v>0</v>
      </c>
      <c r="P15" s="7">
        <f t="shared" si="19"/>
        <v>0</v>
      </c>
      <c r="Q15" s="7">
        <f t="shared" si="12"/>
        <v>0</v>
      </c>
      <c r="R15" s="7">
        <f t="shared" si="20"/>
        <v>0</v>
      </c>
      <c r="S15" s="7">
        <f t="shared" si="21"/>
        <v>0</v>
      </c>
      <c r="T15" s="9">
        <v>24</v>
      </c>
      <c r="U15" s="35"/>
      <c r="V15" s="35"/>
      <c r="W15" s="8">
        <f t="shared" si="22"/>
        <v>0</v>
      </c>
      <c r="X15" s="35"/>
      <c r="Y15" s="7">
        <f t="shared" si="13"/>
        <v>0</v>
      </c>
      <c r="Z15" s="6" t="str">
        <f t="shared" si="14"/>
        <v/>
      </c>
      <c r="AA15" s="9" t="str">
        <f t="shared" si="11"/>
        <v xml:space="preserve"> </v>
      </c>
    </row>
    <row r="16" spans="1:27" ht="51" customHeight="1">
      <c r="A16" s="23" t="s">
        <v>21</v>
      </c>
      <c r="B16" s="397" t="s">
        <v>83</v>
      </c>
      <c r="C16" s="43" t="str">
        <f>IFERROR(VLOOKUP(D16,Pieces!A:B,2,0)," ")</f>
        <v xml:space="preserve"> </v>
      </c>
      <c r="D16" s="36"/>
      <c r="E16" s="35"/>
      <c r="F16" s="54"/>
      <c r="G16" s="45"/>
      <c r="H16" s="64"/>
      <c r="I16" s="38"/>
      <c r="J16" s="35"/>
      <c r="K16" s="48"/>
      <c r="L16" s="54">
        <f t="shared" si="15"/>
        <v>0</v>
      </c>
      <c r="M16" s="62">
        <f t="shared" si="16"/>
        <v>0</v>
      </c>
      <c r="N16" s="64">
        <f t="shared" si="17"/>
        <v>0</v>
      </c>
      <c r="O16" s="64">
        <f t="shared" si="18"/>
        <v>0</v>
      </c>
      <c r="P16" s="7">
        <f t="shared" si="19"/>
        <v>0</v>
      </c>
      <c r="Q16" s="7">
        <f t="shared" si="12"/>
        <v>0</v>
      </c>
      <c r="R16" s="7">
        <f t="shared" si="20"/>
        <v>0</v>
      </c>
      <c r="S16" s="7">
        <f t="shared" si="21"/>
        <v>0</v>
      </c>
      <c r="T16" s="9">
        <v>9</v>
      </c>
      <c r="U16" s="35"/>
      <c r="V16" s="35"/>
      <c r="W16" s="8">
        <f t="shared" si="22"/>
        <v>0</v>
      </c>
      <c r="X16" s="35"/>
      <c r="Y16" s="7">
        <f t="shared" si="13"/>
        <v>0</v>
      </c>
      <c r="Z16" s="6" t="str">
        <f t="shared" si="14"/>
        <v/>
      </c>
      <c r="AA16" s="9" t="str">
        <f t="shared" si="11"/>
        <v xml:space="preserve"> </v>
      </c>
    </row>
    <row r="17" spans="1:27" ht="20.25">
      <c r="A17" s="23" t="s">
        <v>22</v>
      </c>
      <c r="B17" s="395" t="s">
        <v>1579</v>
      </c>
      <c r="C17" s="43" t="str">
        <f>IFERROR(VLOOKUP(D17,Pieces!A:B,2,0)," ")</f>
        <v xml:space="preserve"> </v>
      </c>
      <c r="D17" s="36"/>
      <c r="E17" s="35"/>
      <c r="F17" s="54"/>
      <c r="G17" s="45"/>
      <c r="H17" s="64"/>
      <c r="I17" s="38"/>
      <c r="J17" s="35"/>
      <c r="K17" s="48"/>
      <c r="L17" s="54">
        <f t="shared" si="15"/>
        <v>0</v>
      </c>
      <c r="M17" s="62">
        <f t="shared" si="16"/>
        <v>0</v>
      </c>
      <c r="N17" s="64">
        <f t="shared" si="17"/>
        <v>0</v>
      </c>
      <c r="O17" s="64">
        <f t="shared" si="18"/>
        <v>0</v>
      </c>
      <c r="P17" s="7">
        <f t="shared" si="19"/>
        <v>0</v>
      </c>
      <c r="Q17" s="7">
        <f t="shared" si="12"/>
        <v>0</v>
      </c>
      <c r="R17" s="7">
        <f t="shared" si="20"/>
        <v>0</v>
      </c>
      <c r="S17" s="7">
        <f t="shared" si="21"/>
        <v>0</v>
      </c>
      <c r="T17" s="7"/>
      <c r="U17" s="35"/>
      <c r="V17" s="35"/>
      <c r="W17" s="8">
        <f t="shared" si="22"/>
        <v>0</v>
      </c>
      <c r="X17" s="35"/>
      <c r="Y17" s="7">
        <f t="shared" si="13"/>
        <v>0</v>
      </c>
      <c r="Z17" s="6" t="str">
        <f t="shared" si="14"/>
        <v/>
      </c>
      <c r="AA17" s="9" t="str">
        <f t="shared" si="11"/>
        <v xml:space="preserve"> </v>
      </c>
    </row>
    <row r="18" spans="1:27" ht="44.25" customHeight="1">
      <c r="A18" s="23" t="s">
        <v>23</v>
      </c>
      <c r="B18" s="397" t="s">
        <v>402</v>
      </c>
      <c r="C18" s="43" t="str">
        <f>IFERROR(VLOOKUP(D18,Pieces!A:B,2,0)," ")</f>
        <v xml:space="preserve"> </v>
      </c>
      <c r="D18" s="36"/>
      <c r="E18" s="35"/>
      <c r="F18" s="54"/>
      <c r="G18" s="45"/>
      <c r="H18" s="64"/>
      <c r="I18" s="38"/>
      <c r="J18" s="35"/>
      <c r="K18" s="48"/>
      <c r="L18" s="54">
        <f t="shared" si="15"/>
        <v>0</v>
      </c>
      <c r="M18" s="62">
        <f t="shared" si="16"/>
        <v>0</v>
      </c>
      <c r="N18" s="64">
        <f t="shared" si="17"/>
        <v>0</v>
      </c>
      <c r="O18" s="64">
        <f t="shared" si="18"/>
        <v>0</v>
      </c>
      <c r="P18" s="7">
        <f t="shared" si="19"/>
        <v>0</v>
      </c>
      <c r="Q18" s="7">
        <f t="shared" si="12"/>
        <v>0</v>
      </c>
      <c r="R18" s="7">
        <f t="shared" si="20"/>
        <v>0</v>
      </c>
      <c r="S18" s="7">
        <f t="shared" si="21"/>
        <v>0</v>
      </c>
      <c r="T18" s="7"/>
      <c r="U18" s="35"/>
      <c r="V18" s="35"/>
      <c r="W18" s="8">
        <f t="shared" si="22"/>
        <v>0</v>
      </c>
      <c r="X18" s="35"/>
      <c r="Y18" s="7">
        <f t="shared" si="13"/>
        <v>0</v>
      </c>
      <c r="Z18" s="6" t="str">
        <f t="shared" si="14"/>
        <v/>
      </c>
      <c r="AA18" s="9" t="str">
        <f t="shared" si="11"/>
        <v xml:space="preserve"> </v>
      </c>
    </row>
    <row r="19" spans="1:27" ht="40.5" customHeight="1">
      <c r="A19" s="23" t="s">
        <v>64</v>
      </c>
      <c r="B19" s="395" t="s">
        <v>1577</v>
      </c>
      <c r="C19" s="43" t="str">
        <f>IFERROR(VLOOKUP(D19,Pieces!A:B,2,0)," ")</f>
        <v xml:space="preserve"> </v>
      </c>
      <c r="D19" s="36"/>
      <c r="E19" s="35"/>
      <c r="F19" s="54"/>
      <c r="G19" s="45"/>
      <c r="H19" s="64"/>
      <c r="I19" s="38"/>
      <c r="J19" s="35"/>
      <c r="K19" s="48"/>
      <c r="L19" s="54">
        <f t="shared" si="15"/>
        <v>0</v>
      </c>
      <c r="M19" s="62">
        <f t="shared" si="16"/>
        <v>0</v>
      </c>
      <c r="N19" s="64">
        <f t="shared" si="17"/>
        <v>0</v>
      </c>
      <c r="O19" s="64">
        <f t="shared" si="18"/>
        <v>0</v>
      </c>
      <c r="P19" s="7">
        <f t="shared" si="19"/>
        <v>0</v>
      </c>
      <c r="Q19" s="7">
        <f t="shared" si="12"/>
        <v>0</v>
      </c>
      <c r="R19" s="7">
        <f t="shared" si="20"/>
        <v>0</v>
      </c>
      <c r="S19" s="7">
        <f t="shared" si="21"/>
        <v>0</v>
      </c>
      <c r="T19" s="7">
        <v>24</v>
      </c>
      <c r="U19" s="35"/>
      <c r="V19" s="35"/>
      <c r="W19" s="8">
        <f t="shared" si="22"/>
        <v>0</v>
      </c>
      <c r="X19" s="35"/>
      <c r="Y19" s="7">
        <f t="shared" si="13"/>
        <v>0</v>
      </c>
      <c r="Z19" s="6" t="str">
        <f t="shared" si="14"/>
        <v/>
      </c>
      <c r="AA19" s="9" t="str">
        <f t="shared" si="11"/>
        <v xml:space="preserve"> </v>
      </c>
    </row>
    <row r="20" spans="1:27" ht="40.5" customHeight="1">
      <c r="A20" s="23" t="s">
        <v>65</v>
      </c>
      <c r="B20" s="397" t="s">
        <v>1576</v>
      </c>
      <c r="C20" s="43" t="str">
        <f>IFERROR(VLOOKUP(D20,Pieces!A:B,2,0)," ")</f>
        <v xml:space="preserve"> </v>
      </c>
      <c r="D20" s="36"/>
      <c r="E20" s="35"/>
      <c r="F20" s="54"/>
      <c r="G20" s="45"/>
      <c r="H20" s="64"/>
      <c r="I20" s="38"/>
      <c r="J20" s="35"/>
      <c r="K20" s="48"/>
      <c r="L20" s="54">
        <f t="shared" si="15"/>
        <v>0</v>
      </c>
      <c r="M20" s="62">
        <f t="shared" si="16"/>
        <v>0</v>
      </c>
      <c r="N20" s="64">
        <f t="shared" si="17"/>
        <v>0</v>
      </c>
      <c r="O20" s="64">
        <f t="shared" si="18"/>
        <v>0</v>
      </c>
      <c r="P20" s="7">
        <f t="shared" si="19"/>
        <v>0</v>
      </c>
      <c r="Q20" s="7">
        <f t="shared" si="12"/>
        <v>0</v>
      </c>
      <c r="R20" s="7">
        <f t="shared" si="20"/>
        <v>0</v>
      </c>
      <c r="S20" s="7">
        <f t="shared" si="21"/>
        <v>0</v>
      </c>
      <c r="T20" s="7">
        <v>24</v>
      </c>
      <c r="U20" s="35"/>
      <c r="V20" s="35"/>
      <c r="W20" s="8">
        <f t="shared" si="22"/>
        <v>0</v>
      </c>
      <c r="X20" s="35"/>
      <c r="Y20" s="7">
        <f t="shared" si="13"/>
        <v>0</v>
      </c>
      <c r="Z20" s="6" t="str">
        <f t="shared" si="14"/>
        <v/>
      </c>
      <c r="AA20" s="9" t="str">
        <f t="shared" si="11"/>
        <v xml:space="preserve"> </v>
      </c>
    </row>
    <row r="21" spans="1:27" ht="42" customHeight="1">
      <c r="A21" s="23" t="s">
        <v>66</v>
      </c>
      <c r="B21" s="396" t="s">
        <v>34</v>
      </c>
      <c r="C21" s="43" t="str">
        <f>IFERROR(VLOOKUP(D21,Pieces!A:B,2,0)," ")</f>
        <v xml:space="preserve"> </v>
      </c>
      <c r="D21" s="36"/>
      <c r="E21" s="35"/>
      <c r="F21" s="54"/>
      <c r="G21" s="45"/>
      <c r="H21" s="64"/>
      <c r="I21" s="38"/>
      <c r="J21" s="35"/>
      <c r="K21" s="48"/>
      <c r="L21" s="54">
        <f t="shared" si="15"/>
        <v>0</v>
      </c>
      <c r="M21" s="62">
        <f t="shared" si="16"/>
        <v>0</v>
      </c>
      <c r="N21" s="64">
        <f t="shared" si="17"/>
        <v>0</v>
      </c>
      <c r="O21" s="64">
        <f t="shared" si="18"/>
        <v>0</v>
      </c>
      <c r="P21" s="7">
        <f t="shared" si="19"/>
        <v>0</v>
      </c>
      <c r="Q21" s="7">
        <f t="shared" si="12"/>
        <v>0</v>
      </c>
      <c r="R21" s="7">
        <f t="shared" si="20"/>
        <v>0</v>
      </c>
      <c r="S21" s="7">
        <f t="shared" si="21"/>
        <v>0</v>
      </c>
      <c r="T21" s="7"/>
      <c r="U21" s="35"/>
      <c r="V21" s="35"/>
      <c r="W21" s="8">
        <f t="shared" si="22"/>
        <v>0</v>
      </c>
      <c r="X21" s="35"/>
      <c r="Y21" s="7">
        <f t="shared" si="13"/>
        <v>0</v>
      </c>
      <c r="Z21" s="6" t="str">
        <f t="shared" si="14"/>
        <v/>
      </c>
      <c r="AA21" s="9" t="str">
        <f t="shared" si="11"/>
        <v xml:space="preserve"> </v>
      </c>
    </row>
    <row r="22" spans="1:27" s="5" customFormat="1" ht="34.5" customHeight="1" thickBot="1">
      <c r="A22" s="23" t="s">
        <v>67</v>
      </c>
      <c r="B22" s="397" t="s">
        <v>1578</v>
      </c>
      <c r="C22" s="43" t="str">
        <f>IFERROR(VLOOKUP(D22,Pieces!A:B,2,0)," ")</f>
        <v xml:space="preserve"> </v>
      </c>
      <c r="D22" s="36"/>
      <c r="E22" s="30"/>
      <c r="F22" s="30"/>
      <c r="G22" s="30"/>
      <c r="H22" s="30"/>
      <c r="I22" s="30"/>
      <c r="J22" s="35"/>
      <c r="K22" s="48"/>
      <c r="L22" s="54">
        <f t="shared" si="15"/>
        <v>0</v>
      </c>
      <c r="M22" s="62">
        <f t="shared" si="16"/>
        <v>0</v>
      </c>
      <c r="N22" s="64">
        <f t="shared" si="17"/>
        <v>0</v>
      </c>
      <c r="O22" s="64">
        <f t="shared" si="18"/>
        <v>0</v>
      </c>
      <c r="P22" s="7">
        <f t="shared" si="19"/>
        <v>0</v>
      </c>
      <c r="Q22" s="7">
        <f t="shared" si="12"/>
        <v>0</v>
      </c>
      <c r="R22" s="7">
        <f t="shared" si="20"/>
        <v>0</v>
      </c>
      <c r="S22" s="7">
        <f t="shared" si="21"/>
        <v>0</v>
      </c>
      <c r="T22" s="7"/>
      <c r="U22" s="32"/>
      <c r="V22" s="35"/>
      <c r="W22" s="8">
        <f t="shared" si="22"/>
        <v>0</v>
      </c>
      <c r="X22" s="35"/>
      <c r="Y22" s="7">
        <f t="shared" si="13"/>
        <v>0</v>
      </c>
      <c r="Z22" s="6" t="str">
        <f t="shared" si="14"/>
        <v/>
      </c>
      <c r="AA22" s="9" t="str">
        <f t="shared" si="11"/>
        <v xml:space="preserve"> </v>
      </c>
    </row>
    <row r="23" spans="1:27" ht="47.25" customHeight="1">
      <c r="A23" s="33"/>
      <c r="B23" s="33"/>
      <c r="C23" s="34"/>
      <c r="D23" s="34"/>
      <c r="E23" s="52"/>
      <c r="F23" s="51"/>
      <c r="G23" s="51"/>
      <c r="H23" s="51"/>
      <c r="I23" s="40"/>
      <c r="J23" s="34"/>
      <c r="K23" s="50"/>
      <c r="L23" s="56"/>
      <c r="M23" s="34"/>
      <c r="N23" s="63"/>
      <c r="O23" s="47"/>
      <c r="P23" s="56"/>
      <c r="Q23" s="4"/>
      <c r="R23" s="4"/>
      <c r="S23" s="4"/>
      <c r="T23" s="4"/>
      <c r="U23" s="53" t="s">
        <v>144</v>
      </c>
      <c r="V23" s="34"/>
      <c r="W23" s="3"/>
      <c r="X23" s="2"/>
      <c r="Y23" s="27"/>
      <c r="Z23" s="27"/>
      <c r="AA23" s="11"/>
    </row>
    <row r="24" spans="1:27" ht="54" hidden="1" customHeight="1">
      <c r="A24" s="33"/>
      <c r="B24" s="33"/>
      <c r="C24" s="437" t="s">
        <v>36</v>
      </c>
      <c r="D24" s="437"/>
      <c r="E24" s="437"/>
      <c r="F24" s="437"/>
      <c r="G24" s="437"/>
      <c r="H24" s="437"/>
      <c r="I24" s="437"/>
      <c r="J24" s="437"/>
      <c r="K24" s="437"/>
      <c r="L24" s="437"/>
      <c r="M24" s="437"/>
      <c r="N24" s="437"/>
      <c r="O24" s="437"/>
      <c r="P24" s="437"/>
      <c r="Q24" s="437"/>
      <c r="R24" s="437"/>
      <c r="S24" s="437"/>
      <c r="T24" s="437"/>
      <c r="U24" s="437"/>
      <c r="V24" s="24"/>
      <c r="W24" s="24"/>
      <c r="X24" s="24"/>
      <c r="Y24" s="27"/>
      <c r="Z24" s="27"/>
      <c r="AA24" s="11"/>
    </row>
    <row r="25" spans="1:27" ht="57" hidden="1" customHeight="1">
      <c r="A25" s="33"/>
      <c r="B25" s="33"/>
      <c r="C25" s="426" t="s">
        <v>37</v>
      </c>
      <c r="D25" s="426" t="s">
        <v>38</v>
      </c>
      <c r="E25" s="426" t="s">
        <v>39</v>
      </c>
      <c r="F25" s="426" t="s">
        <v>40</v>
      </c>
      <c r="G25" s="426" t="s">
        <v>41</v>
      </c>
      <c r="H25" s="65"/>
      <c r="I25" s="433"/>
      <c r="J25" s="426" t="s">
        <v>42</v>
      </c>
      <c r="K25" s="438" t="s">
        <v>142</v>
      </c>
      <c r="L25" s="439"/>
      <c r="M25" s="439"/>
      <c r="N25" s="439"/>
      <c r="O25" s="439"/>
      <c r="P25" s="439"/>
      <c r="Q25" s="440"/>
      <c r="R25" s="68"/>
      <c r="S25" s="426" t="s">
        <v>43</v>
      </c>
      <c r="T25" s="426"/>
      <c r="U25" s="426"/>
      <c r="V25" s="41"/>
      <c r="W25" s="25"/>
      <c r="X25" s="25"/>
      <c r="Y25" s="27"/>
      <c r="Z25" s="27"/>
      <c r="AA25" s="11"/>
    </row>
    <row r="26" spans="1:27" ht="32.25" hidden="1" customHeight="1">
      <c r="A26" s="19"/>
      <c r="B26" s="19"/>
      <c r="C26" s="426"/>
      <c r="D26" s="426"/>
      <c r="E26" s="426"/>
      <c r="F26" s="426"/>
      <c r="G26" s="426"/>
      <c r="H26" s="66"/>
      <c r="I26" s="434"/>
      <c r="J26" s="426"/>
      <c r="K26" s="441"/>
      <c r="L26" s="442"/>
      <c r="M26" s="442"/>
      <c r="N26" s="442"/>
      <c r="O26" s="442"/>
      <c r="P26" s="442"/>
      <c r="Q26" s="443"/>
      <c r="R26" s="69"/>
      <c r="S26" s="426"/>
      <c r="T26" s="426"/>
      <c r="U26" s="426"/>
      <c r="V26" s="41"/>
      <c r="W26" s="25"/>
      <c r="X26" s="25"/>
      <c r="Y26" s="27"/>
      <c r="Z26" s="27"/>
      <c r="AA26" s="11"/>
    </row>
    <row r="27" spans="1:27" ht="42" hidden="1" customHeight="1">
      <c r="A27" s="33"/>
      <c r="B27" s="33"/>
      <c r="C27" s="48" t="s">
        <v>44</v>
      </c>
      <c r="D27" s="48"/>
      <c r="E27" s="48"/>
      <c r="F27" s="54"/>
      <c r="G27" s="48"/>
      <c r="H27" s="64"/>
      <c r="I27" s="60"/>
      <c r="J27" s="48">
        <f>IFERROR(M27/I27,0)</f>
        <v>0</v>
      </c>
      <c r="K27" s="444"/>
      <c r="L27" s="445"/>
      <c r="M27" s="445"/>
      <c r="N27" s="445"/>
      <c r="O27" s="445"/>
      <c r="P27" s="445"/>
      <c r="Q27" s="446"/>
      <c r="R27" s="70"/>
      <c r="S27" s="435"/>
      <c r="T27" s="435"/>
      <c r="U27" s="435"/>
      <c r="V27" s="57"/>
      <c r="W27" s="24"/>
      <c r="X27" s="25"/>
      <c r="Y27" s="27"/>
      <c r="Z27" s="27"/>
      <c r="AA27" s="11"/>
    </row>
    <row r="28" spans="1:27" ht="39.75" hidden="1" customHeight="1">
      <c r="A28" s="33"/>
      <c r="B28" s="33"/>
      <c r="C28" s="48" t="s">
        <v>72</v>
      </c>
      <c r="D28" s="48"/>
      <c r="E28" s="48"/>
      <c r="F28" s="54"/>
      <c r="G28" s="48"/>
      <c r="H28" s="64"/>
      <c r="I28" s="60"/>
      <c r="J28" s="48">
        <f t="shared" ref="J28:J39" si="23">IFERROR(M28/I28,0)</f>
        <v>0</v>
      </c>
      <c r="K28" s="444"/>
      <c r="L28" s="445"/>
      <c r="M28" s="445"/>
      <c r="N28" s="445"/>
      <c r="O28" s="445"/>
      <c r="P28" s="445"/>
      <c r="Q28" s="446"/>
      <c r="R28" s="70"/>
      <c r="S28" s="435"/>
      <c r="T28" s="435"/>
      <c r="U28" s="435"/>
      <c r="V28" s="57"/>
      <c r="W28" s="24"/>
      <c r="X28" s="25"/>
      <c r="Y28" s="27"/>
      <c r="Z28" s="27"/>
      <c r="AA28" s="11"/>
    </row>
    <row r="29" spans="1:27" ht="38.25" hidden="1" customHeight="1">
      <c r="A29" s="33"/>
      <c r="B29" s="33"/>
      <c r="C29" s="48" t="s">
        <v>45</v>
      </c>
      <c r="D29" s="48"/>
      <c r="E29" s="48"/>
      <c r="F29" s="54"/>
      <c r="G29" s="48"/>
      <c r="H29" s="64"/>
      <c r="I29" s="60"/>
      <c r="J29" s="48">
        <f t="shared" si="23"/>
        <v>0</v>
      </c>
      <c r="K29" s="444"/>
      <c r="L29" s="445"/>
      <c r="M29" s="445"/>
      <c r="N29" s="445"/>
      <c r="O29" s="445"/>
      <c r="P29" s="445"/>
      <c r="Q29" s="446"/>
      <c r="R29" s="70"/>
      <c r="S29" s="435"/>
      <c r="T29" s="435"/>
      <c r="U29" s="435"/>
      <c r="V29" s="57"/>
      <c r="W29" s="24"/>
      <c r="X29" s="25"/>
      <c r="Y29" s="27"/>
      <c r="Z29" s="27"/>
      <c r="AA29" s="11"/>
    </row>
    <row r="30" spans="1:27" ht="42.75" hidden="1" customHeight="1">
      <c r="A30" s="33"/>
      <c r="B30" s="33"/>
      <c r="C30" s="31"/>
      <c r="D30" s="48"/>
      <c r="E30" s="48"/>
      <c r="F30" s="54"/>
      <c r="G30" s="48"/>
      <c r="H30" s="64"/>
      <c r="I30" s="60"/>
      <c r="J30" s="48">
        <f t="shared" si="23"/>
        <v>0</v>
      </c>
      <c r="K30" s="444"/>
      <c r="L30" s="445"/>
      <c r="M30" s="445"/>
      <c r="N30" s="445"/>
      <c r="O30" s="445"/>
      <c r="P30" s="445"/>
      <c r="Q30" s="446"/>
      <c r="R30" s="70"/>
      <c r="S30" s="427"/>
      <c r="T30" s="427"/>
      <c r="U30" s="427"/>
      <c r="V30" s="41"/>
      <c r="W30" s="25"/>
      <c r="X30" s="25"/>
      <c r="Y30" s="27"/>
      <c r="Z30" s="27"/>
      <c r="AA30" s="11"/>
    </row>
    <row r="31" spans="1:27" ht="48.75" hidden="1" customHeight="1">
      <c r="A31" s="33"/>
      <c r="B31" s="33"/>
      <c r="C31" s="48" t="s">
        <v>47</v>
      </c>
      <c r="D31" s="48"/>
      <c r="E31" s="48"/>
      <c r="F31" s="54"/>
      <c r="G31" s="48"/>
      <c r="H31" s="64"/>
      <c r="I31" s="61"/>
      <c r="J31" s="48">
        <f t="shared" si="23"/>
        <v>0</v>
      </c>
      <c r="K31" s="444"/>
      <c r="L31" s="445"/>
      <c r="M31" s="445"/>
      <c r="N31" s="445"/>
      <c r="O31" s="445"/>
      <c r="P31" s="445"/>
      <c r="Q31" s="446"/>
      <c r="R31" s="70"/>
      <c r="S31" s="435"/>
      <c r="T31" s="435"/>
      <c r="U31" s="435"/>
      <c r="V31" s="57"/>
      <c r="W31" s="24"/>
      <c r="X31" s="25"/>
      <c r="Y31" s="27"/>
      <c r="Z31" s="27"/>
      <c r="AA31" s="11"/>
    </row>
    <row r="32" spans="1:27" ht="52.5" hidden="1" customHeight="1">
      <c r="A32" s="20"/>
      <c r="B32" s="20"/>
      <c r="C32" s="48" t="s">
        <v>48</v>
      </c>
      <c r="D32" s="48"/>
      <c r="E32" s="48"/>
      <c r="F32" s="54"/>
      <c r="G32" s="48"/>
      <c r="H32" s="64"/>
      <c r="I32" s="60"/>
      <c r="J32" s="48">
        <f t="shared" si="23"/>
        <v>0</v>
      </c>
      <c r="K32" s="444"/>
      <c r="L32" s="445"/>
      <c r="M32" s="445"/>
      <c r="N32" s="445"/>
      <c r="O32" s="445"/>
      <c r="P32" s="445"/>
      <c r="Q32" s="446"/>
      <c r="R32" s="70"/>
      <c r="S32" s="427"/>
      <c r="T32" s="427"/>
      <c r="U32" s="427"/>
      <c r="V32" s="41"/>
      <c r="W32" s="25"/>
      <c r="X32" s="25"/>
      <c r="Y32" s="27"/>
      <c r="Z32" s="27"/>
      <c r="AA32" s="11"/>
    </row>
    <row r="33" spans="1:27" ht="39.75" hidden="1" customHeight="1">
      <c r="A33" s="20"/>
      <c r="B33" s="20"/>
      <c r="C33" s="48" t="s">
        <v>35</v>
      </c>
      <c r="D33" s="48"/>
      <c r="E33" s="48"/>
      <c r="F33" s="54"/>
      <c r="G33" s="48"/>
      <c r="H33" s="64"/>
      <c r="I33" s="61"/>
      <c r="J33" s="48">
        <f t="shared" si="23"/>
        <v>0</v>
      </c>
      <c r="K33" s="444"/>
      <c r="L33" s="445"/>
      <c r="M33" s="445"/>
      <c r="N33" s="445"/>
      <c r="O33" s="445"/>
      <c r="P33" s="445"/>
      <c r="Q33" s="446"/>
      <c r="R33" s="70"/>
      <c r="S33" s="436"/>
      <c r="T33" s="436"/>
      <c r="U33" s="436"/>
      <c r="V33" s="58"/>
      <c r="W33" s="59"/>
      <c r="X33" s="25"/>
      <c r="Y33" s="27"/>
      <c r="Z33" s="27"/>
      <c r="AA33" s="11"/>
    </row>
    <row r="34" spans="1:27" ht="31.5" hidden="1" customHeight="1">
      <c r="A34" s="20"/>
      <c r="B34" s="20"/>
      <c r="C34" s="48"/>
      <c r="D34" s="48"/>
      <c r="E34" s="48"/>
      <c r="F34" s="54"/>
      <c r="G34" s="48"/>
      <c r="H34" s="64"/>
      <c r="I34" s="61"/>
      <c r="J34" s="48">
        <f t="shared" si="23"/>
        <v>0</v>
      </c>
      <c r="K34" s="444"/>
      <c r="L34" s="445"/>
      <c r="M34" s="445"/>
      <c r="N34" s="445"/>
      <c r="O34" s="445"/>
      <c r="P34" s="445"/>
      <c r="Q34" s="446"/>
      <c r="R34" s="70"/>
      <c r="S34" s="436"/>
      <c r="T34" s="436"/>
      <c r="U34" s="436"/>
      <c r="V34" s="58"/>
      <c r="W34" s="59"/>
      <c r="X34" s="25"/>
      <c r="Y34" s="27"/>
      <c r="Z34" s="27"/>
      <c r="AA34" s="11"/>
    </row>
    <row r="35" spans="1:27" ht="36" hidden="1" customHeight="1">
      <c r="A35" s="20"/>
      <c r="B35" s="20"/>
      <c r="C35" s="48" t="s">
        <v>50</v>
      </c>
      <c r="D35" s="48"/>
      <c r="E35" s="48"/>
      <c r="F35" s="54"/>
      <c r="G35" s="48"/>
      <c r="H35" s="64"/>
      <c r="I35" s="60"/>
      <c r="J35" s="48">
        <f t="shared" si="23"/>
        <v>0</v>
      </c>
      <c r="K35" s="444"/>
      <c r="L35" s="445"/>
      <c r="M35" s="445"/>
      <c r="N35" s="445"/>
      <c r="O35" s="445"/>
      <c r="P35" s="445"/>
      <c r="Q35" s="446"/>
      <c r="R35" s="70"/>
      <c r="S35" s="427"/>
      <c r="T35" s="427"/>
      <c r="U35" s="427"/>
      <c r="V35" s="41"/>
      <c r="W35" s="25"/>
      <c r="X35" s="25"/>
      <c r="Y35" s="12"/>
      <c r="Z35" s="12"/>
      <c r="AA35" s="11"/>
    </row>
    <row r="36" spans="1:27" ht="39.75" hidden="1" customHeight="1">
      <c r="A36" s="21"/>
      <c r="B36" s="21"/>
      <c r="C36" s="48" t="s">
        <v>51</v>
      </c>
      <c r="D36" s="48"/>
      <c r="E36" s="48"/>
      <c r="F36" s="54"/>
      <c r="G36" s="48"/>
      <c r="H36" s="64"/>
      <c r="I36" s="60"/>
      <c r="J36" s="48">
        <f t="shared" si="23"/>
        <v>0</v>
      </c>
      <c r="K36" s="444"/>
      <c r="L36" s="445"/>
      <c r="M36" s="445"/>
      <c r="N36" s="445"/>
      <c r="O36" s="445"/>
      <c r="P36" s="445"/>
      <c r="Q36" s="446"/>
      <c r="R36" s="70"/>
      <c r="S36" s="427"/>
      <c r="T36" s="427"/>
      <c r="U36" s="427"/>
      <c r="V36" s="41"/>
      <c r="W36" s="25"/>
      <c r="X36" s="25"/>
      <c r="Y36" s="12"/>
      <c r="Z36" s="12"/>
      <c r="AA36" s="11"/>
    </row>
    <row r="37" spans="1:27" ht="46.5" hidden="1" customHeight="1">
      <c r="A37" s="22"/>
      <c r="B37" s="22"/>
      <c r="C37" s="37" t="s">
        <v>49</v>
      </c>
      <c r="D37" s="48"/>
      <c r="E37" s="48"/>
      <c r="F37" s="54"/>
      <c r="G37" s="48"/>
      <c r="H37" s="64"/>
      <c r="I37" s="61"/>
      <c r="J37" s="48">
        <f t="shared" si="23"/>
        <v>0</v>
      </c>
      <c r="K37" s="444"/>
      <c r="L37" s="445"/>
      <c r="M37" s="445"/>
      <c r="N37" s="445"/>
      <c r="O37" s="445"/>
      <c r="P37" s="445"/>
      <c r="Q37" s="446"/>
      <c r="R37" s="70"/>
      <c r="S37" s="428"/>
      <c r="T37" s="428"/>
      <c r="U37" s="428"/>
      <c r="V37" s="57"/>
      <c r="W37" s="24"/>
      <c r="X37" s="26"/>
      <c r="Y37" s="11"/>
      <c r="Z37" s="11"/>
      <c r="AA37" s="11"/>
    </row>
    <row r="38" spans="1:27" ht="46.5" hidden="1" customHeight="1">
      <c r="A38" s="22"/>
      <c r="B38" s="22"/>
      <c r="C38" s="37" t="s">
        <v>52</v>
      </c>
      <c r="D38" s="48"/>
      <c r="E38" s="48"/>
      <c r="F38" s="54"/>
      <c r="G38" s="48"/>
      <c r="H38" s="64"/>
      <c r="I38" s="60"/>
      <c r="J38" s="48">
        <f t="shared" si="23"/>
        <v>0</v>
      </c>
      <c r="K38" s="444"/>
      <c r="L38" s="445"/>
      <c r="M38" s="445"/>
      <c r="N38" s="445"/>
      <c r="O38" s="445"/>
      <c r="P38" s="445"/>
      <c r="Q38" s="446"/>
      <c r="R38" s="70"/>
      <c r="S38" s="427"/>
      <c r="T38" s="427"/>
      <c r="U38" s="427"/>
      <c r="V38" s="41"/>
      <c r="W38" s="25"/>
      <c r="X38" s="26"/>
      <c r="Y38" s="11"/>
      <c r="Z38" s="11"/>
      <c r="AA38" s="11"/>
    </row>
    <row r="39" spans="1:27" ht="39" hidden="1" customHeight="1">
      <c r="A39" s="15"/>
      <c r="B39" s="15"/>
      <c r="C39" s="37" t="s">
        <v>53</v>
      </c>
      <c r="D39" s="48"/>
      <c r="E39" s="48"/>
      <c r="F39" s="54"/>
      <c r="G39" s="48"/>
      <c r="H39" s="64"/>
      <c r="I39" s="60"/>
      <c r="J39" s="48">
        <f t="shared" si="23"/>
        <v>0</v>
      </c>
      <c r="K39" s="444"/>
      <c r="L39" s="445"/>
      <c r="M39" s="445"/>
      <c r="N39" s="445"/>
      <c r="O39" s="445"/>
      <c r="P39" s="445"/>
      <c r="Q39" s="446"/>
      <c r="R39" s="70"/>
      <c r="S39" s="427"/>
      <c r="T39" s="427"/>
      <c r="U39" s="427"/>
      <c r="V39" s="41"/>
      <c r="W39" s="25"/>
      <c r="X39" s="25"/>
      <c r="Y39" s="11"/>
      <c r="Z39" s="11"/>
      <c r="AA39" s="11"/>
    </row>
    <row r="40" spans="1:27">
      <c r="D40" s="16"/>
      <c r="Y40" s="1"/>
    </row>
    <row r="41" spans="1:27">
      <c r="D41" s="16"/>
      <c r="Y41" s="1"/>
    </row>
    <row r="42" spans="1:27" ht="20.25">
      <c r="C42" s="447" t="s">
        <v>206</v>
      </c>
      <c r="D42" s="448"/>
      <c r="E42" s="448"/>
      <c r="F42" s="448"/>
      <c r="G42" s="448"/>
      <c r="H42" s="448"/>
      <c r="I42" s="448"/>
      <c r="J42" s="449"/>
      <c r="K42" s="447" t="s">
        <v>207</v>
      </c>
      <c r="L42" s="448"/>
      <c r="M42" s="448"/>
      <c r="N42" s="448"/>
      <c r="O42" s="448"/>
      <c r="P42" s="448"/>
      <c r="Q42" s="448"/>
      <c r="R42" s="448"/>
      <c r="S42" s="449"/>
      <c r="Y42" s="1"/>
    </row>
    <row r="43" spans="1:27" ht="20.25">
      <c r="C43" s="447" t="s">
        <v>208</v>
      </c>
      <c r="D43" s="448"/>
      <c r="E43" s="448"/>
      <c r="F43" s="448"/>
      <c r="G43" s="448"/>
      <c r="H43" s="448"/>
      <c r="I43" s="448"/>
      <c r="J43" s="449"/>
      <c r="K43" s="447" t="s">
        <v>209</v>
      </c>
      <c r="L43" s="448"/>
      <c r="M43" s="448"/>
      <c r="N43" s="448"/>
      <c r="O43" s="448"/>
      <c r="P43" s="448"/>
      <c r="Q43" s="448"/>
      <c r="R43" s="448"/>
      <c r="S43" s="449"/>
      <c r="Y43" s="1"/>
    </row>
    <row r="44" spans="1:27" ht="20.25">
      <c r="C44" s="447" t="s">
        <v>210</v>
      </c>
      <c r="D44" s="448"/>
      <c r="E44" s="448"/>
      <c r="F44" s="448"/>
      <c r="G44" s="448"/>
      <c r="H44" s="448"/>
      <c r="I44" s="448"/>
      <c r="J44" s="449"/>
      <c r="K44" s="447" t="s">
        <v>211</v>
      </c>
      <c r="L44" s="448"/>
      <c r="M44" s="448"/>
      <c r="N44" s="448"/>
      <c r="O44" s="448"/>
      <c r="P44" s="448"/>
      <c r="Q44" s="448"/>
      <c r="R44" s="448"/>
      <c r="S44" s="449"/>
      <c r="Y44" s="1"/>
    </row>
    <row r="45" spans="1:27">
      <c r="D45" s="17"/>
      <c r="Y45" s="1"/>
    </row>
    <row r="46" spans="1:27">
      <c r="D46" s="17"/>
      <c r="Y46" s="1"/>
    </row>
    <row r="47" spans="1:27" ht="15.75">
      <c r="D47" s="18"/>
      <c r="Y47" s="1"/>
    </row>
    <row r="48" spans="1:27">
      <c r="D48" s="11"/>
      <c r="Y48" s="1"/>
    </row>
  </sheetData>
  <mergeCells count="44">
    <mergeCell ref="C42:J42"/>
    <mergeCell ref="K42:S42"/>
    <mergeCell ref="C43:J43"/>
    <mergeCell ref="K43:S43"/>
    <mergeCell ref="C44:J44"/>
    <mergeCell ref="K44:S44"/>
    <mergeCell ref="S39:U39"/>
    <mergeCell ref="C24:U24"/>
    <mergeCell ref="K25:Q26"/>
    <mergeCell ref="K27:Q27"/>
    <mergeCell ref="K28:Q28"/>
    <mergeCell ref="K29:Q29"/>
    <mergeCell ref="K30:Q30"/>
    <mergeCell ref="K31:Q31"/>
    <mergeCell ref="K32:Q32"/>
    <mergeCell ref="K33:Q33"/>
    <mergeCell ref="K34:Q34"/>
    <mergeCell ref="K35:Q35"/>
    <mergeCell ref="K36:Q36"/>
    <mergeCell ref="K37:Q37"/>
    <mergeCell ref="K38:Q38"/>
    <mergeCell ref="K39:Q39"/>
    <mergeCell ref="S35:U35"/>
    <mergeCell ref="S25:U26"/>
    <mergeCell ref="S27:U27"/>
    <mergeCell ref="S28:U28"/>
    <mergeCell ref="S29:U29"/>
    <mergeCell ref="S30:U30"/>
    <mergeCell ref="F25:F26"/>
    <mergeCell ref="S36:U36"/>
    <mergeCell ref="S37:U37"/>
    <mergeCell ref="S38:U38"/>
    <mergeCell ref="W1:AA1"/>
    <mergeCell ref="A11:AA11"/>
    <mergeCell ref="C25:C26"/>
    <mergeCell ref="D25:D26"/>
    <mergeCell ref="E25:E26"/>
    <mergeCell ref="J25:J26"/>
    <mergeCell ref="G25:G26"/>
    <mergeCell ref="I25:I26"/>
    <mergeCell ref="S31:U31"/>
    <mergeCell ref="S32:U32"/>
    <mergeCell ref="S33:U33"/>
    <mergeCell ref="S34:U34"/>
  </mergeCells>
  <conditionalFormatting sqref="AA3:AA10">
    <cfRule type="containsText" dxfId="19" priority="9" operator="containsText" text="WARNING">
      <formula>NOT(ISERROR(SEARCH("WARNING",AA3)))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F6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A12:AA22">
    <cfRule type="containsText" dxfId="18" priority="7" operator="containsText" text="WARNING">
      <formula>NOT(ISERROR(SEARCH("WARNING",AA12)))</formula>
    </cfRule>
  </conditionalFormatting>
  <conditionalFormatting sqref="AA12">
    <cfRule type="containsText" dxfId="17" priority="5" operator="containsText" text="WARNING">
      <formula>NOT(ISERROR(SEARCH("WARNING",AA12)))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A13">
    <cfRule type="containsText" dxfId="16" priority="3" operator="containsText" text="WARNING">
      <formula>NOT(ISERROR(SEARCH("WARNING",AA13)))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A14">
    <cfRule type="containsText" dxfId="15" priority="1" operator="containsText" text="WARNING">
      <formula>NOT(ISERROR(SEARCH("WARNING",AA14)))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3">
    <dataValidation type="list" allowBlank="1" showInputMessage="1" showErrorMessage="1" sqref="D3:D10 D27:D39 D12:D22">
      <formula1>pieces</formula1>
    </dataValidation>
    <dataValidation type="list" allowBlank="1" showInputMessage="1" showErrorMessage="1" sqref="G27:H39 I40:I41 I45:I46">
      <formula1>ouvriers</formula1>
    </dataValidation>
    <dataValidation operator="equal" allowBlank="1" showInputMessage="1" showErrorMessage="1" sqref="T16"/>
  </dataValidations>
  <pageMargins left="0.15748031496062992" right="0.15748031496062992" top="0.15748031496062992" bottom="0.15748031496062992" header="7.874015748031496E-2" footer="0.15748031496062992"/>
  <pageSetup paperSize="9" scale="28" orientation="landscape" verticalDpi="1200" r:id="rId1"/>
  <legacyDrawing r:id="rId2"/>
  <controls>
    <control shapeId="2049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A1:D573"/>
  <sheetViews>
    <sheetView workbookViewId="0">
      <pane ySplit="1" topLeftCell="A359" activePane="bottomLeft" state="frozen"/>
      <selection activeCell="B12" sqref="B12:B22"/>
      <selection pane="bottomLeft" activeCell="A370" sqref="A370"/>
    </sheetView>
  </sheetViews>
  <sheetFormatPr baseColWidth="10" defaultRowHeight="15"/>
  <cols>
    <col min="1" max="1" width="50.7109375" style="391" customWidth="1"/>
    <col min="2" max="2" width="22.85546875" style="404" customWidth="1"/>
    <col min="3" max="3" width="11.42578125" style="404"/>
  </cols>
  <sheetData>
    <row r="1" spans="1:4" s="5" customFormat="1" ht="39" customHeight="1">
      <c r="A1" s="401"/>
      <c r="B1" s="402"/>
      <c r="C1" s="403" t="s">
        <v>1155</v>
      </c>
      <c r="D1" s="390" t="s">
        <v>1156</v>
      </c>
    </row>
    <row r="2" spans="1:4">
      <c r="A2" s="391" t="s">
        <v>781</v>
      </c>
    </row>
    <row r="3" spans="1:4">
      <c r="A3" s="391" t="s">
        <v>781</v>
      </c>
    </row>
    <row r="4" spans="1:4">
      <c r="A4" s="391" t="s">
        <v>781</v>
      </c>
    </row>
    <row r="5" spans="1:4">
      <c r="A5" s="391" t="s">
        <v>257</v>
      </c>
      <c r="B5" s="404">
        <v>510081</v>
      </c>
      <c r="C5" s="130"/>
    </row>
    <row r="6" spans="1:4">
      <c r="A6" s="391" t="s">
        <v>1527</v>
      </c>
      <c r="B6" s="412" t="s">
        <v>1528</v>
      </c>
      <c r="C6" s="404">
        <v>120</v>
      </c>
    </row>
    <row r="7" spans="1:4">
      <c r="A7" s="391" t="s">
        <v>1565</v>
      </c>
      <c r="B7" s="404" t="s">
        <v>1566</v>
      </c>
      <c r="C7" s="404">
        <v>120</v>
      </c>
    </row>
    <row r="8" spans="1:4">
      <c r="A8" s="391" t="s">
        <v>1530</v>
      </c>
      <c r="B8" s="117" t="s">
        <v>1531</v>
      </c>
      <c r="C8" s="404">
        <v>90</v>
      </c>
    </row>
    <row r="9" spans="1:4">
      <c r="A9" s="391" t="s">
        <v>715</v>
      </c>
      <c r="B9" s="405" t="s">
        <v>716</v>
      </c>
      <c r="C9" s="392">
        <v>120</v>
      </c>
    </row>
    <row r="10" spans="1:4">
      <c r="A10" s="391" t="s">
        <v>1409</v>
      </c>
      <c r="B10" s="404" t="s">
        <v>1410</v>
      </c>
      <c r="C10" s="404">
        <v>45</v>
      </c>
    </row>
    <row r="11" spans="1:4">
      <c r="A11" s="391" t="s">
        <v>761</v>
      </c>
      <c r="B11" s="404" t="s">
        <v>777</v>
      </c>
      <c r="C11" s="392">
        <v>120</v>
      </c>
    </row>
    <row r="12" spans="1:4">
      <c r="A12" s="391" t="s">
        <v>748</v>
      </c>
      <c r="B12" s="404" t="s">
        <v>749</v>
      </c>
      <c r="C12" s="392">
        <v>120</v>
      </c>
    </row>
    <row r="13" spans="1:4">
      <c r="A13" s="391" t="s">
        <v>1177</v>
      </c>
      <c r="B13" s="404" t="s">
        <v>716</v>
      </c>
      <c r="C13" s="404">
        <v>120</v>
      </c>
    </row>
    <row r="14" spans="1:4">
      <c r="A14" s="75" t="s">
        <v>1557</v>
      </c>
      <c r="B14" s="117" t="s">
        <v>1558</v>
      </c>
      <c r="C14" s="404">
        <v>120</v>
      </c>
    </row>
    <row r="15" spans="1:4">
      <c r="A15" s="391" t="s">
        <v>1455</v>
      </c>
      <c r="B15" s="404" t="s">
        <v>1456</v>
      </c>
      <c r="C15" s="404">
        <v>120</v>
      </c>
    </row>
    <row r="16" spans="1:4">
      <c r="A16" s="391" t="s">
        <v>1412</v>
      </c>
      <c r="B16" s="404" t="s">
        <v>472</v>
      </c>
      <c r="C16" s="392">
        <v>400</v>
      </c>
    </row>
    <row r="17" spans="1:3">
      <c r="A17" s="399" t="s">
        <v>1183</v>
      </c>
      <c r="B17" s="404" t="s">
        <v>1202</v>
      </c>
      <c r="C17" s="404">
        <v>1</v>
      </c>
    </row>
    <row r="18" spans="1:3">
      <c r="A18" s="391" t="s">
        <v>122</v>
      </c>
      <c r="B18" s="404" t="s">
        <v>1171</v>
      </c>
      <c r="C18" s="392">
        <v>120</v>
      </c>
    </row>
    <row r="19" spans="1:3">
      <c r="A19" s="391" t="s">
        <v>1459</v>
      </c>
      <c r="B19" s="404" t="s">
        <v>1459</v>
      </c>
      <c r="C19" s="404">
        <v>28</v>
      </c>
    </row>
    <row r="20" spans="1:3">
      <c r="A20" s="391" t="s">
        <v>1291</v>
      </c>
      <c r="B20" s="404" t="s">
        <v>1292</v>
      </c>
      <c r="C20" s="404">
        <v>100</v>
      </c>
    </row>
    <row r="21" spans="1:3">
      <c r="A21" s="391" t="s">
        <v>1335</v>
      </c>
      <c r="B21" s="404" t="s">
        <v>1336</v>
      </c>
      <c r="C21" s="404">
        <v>80</v>
      </c>
    </row>
    <row r="22" spans="1:3">
      <c r="A22" s="391" t="s">
        <v>506</v>
      </c>
      <c r="B22" s="404" t="s">
        <v>507</v>
      </c>
      <c r="C22" s="392"/>
    </row>
    <row r="23" spans="1:3">
      <c r="A23" s="391" t="s">
        <v>537</v>
      </c>
      <c r="B23" s="404" t="s">
        <v>538</v>
      </c>
      <c r="C23" s="392"/>
    </row>
    <row r="24" spans="1:3">
      <c r="A24" s="391" t="s">
        <v>1175</v>
      </c>
      <c r="B24" s="404" t="s">
        <v>1167</v>
      </c>
      <c r="C24" s="404">
        <v>12</v>
      </c>
    </row>
    <row r="25" spans="1:3">
      <c r="A25" s="391" t="s">
        <v>75</v>
      </c>
      <c r="B25" s="404">
        <v>100623</v>
      </c>
      <c r="C25" s="392"/>
    </row>
    <row r="26" spans="1:3">
      <c r="A26" s="391" t="s">
        <v>462</v>
      </c>
      <c r="B26" s="404" t="s">
        <v>75</v>
      </c>
      <c r="C26" s="392"/>
    </row>
    <row r="27" spans="1:3">
      <c r="A27" s="391" t="s">
        <v>107</v>
      </c>
      <c r="B27" s="404" t="s">
        <v>133</v>
      </c>
      <c r="C27" s="392"/>
    </row>
    <row r="28" spans="1:3">
      <c r="A28" s="391" t="s">
        <v>1525</v>
      </c>
      <c r="B28" s="404" t="s">
        <v>1072</v>
      </c>
      <c r="C28" s="404">
        <v>30</v>
      </c>
    </row>
    <row r="29" spans="1:3">
      <c r="A29" s="391" t="s">
        <v>1404</v>
      </c>
      <c r="B29" s="404">
        <v>200101</v>
      </c>
      <c r="C29" s="404">
        <v>130</v>
      </c>
    </row>
    <row r="30" spans="1:3">
      <c r="A30" s="391" t="s">
        <v>165</v>
      </c>
      <c r="B30" s="404" t="s">
        <v>166</v>
      </c>
      <c r="C30" s="392"/>
    </row>
    <row r="31" spans="1:3">
      <c r="A31" s="391" t="s">
        <v>1309</v>
      </c>
      <c r="B31" s="404" t="s">
        <v>1310</v>
      </c>
      <c r="C31" s="404">
        <v>90</v>
      </c>
    </row>
    <row r="32" spans="1:3">
      <c r="A32" s="391" t="s">
        <v>1212</v>
      </c>
      <c r="B32" s="404" t="s">
        <v>1213</v>
      </c>
      <c r="C32" s="404">
        <v>70</v>
      </c>
    </row>
    <row r="33" spans="1:3" ht="18" customHeight="1">
      <c r="A33" s="391" t="s">
        <v>1214</v>
      </c>
      <c r="B33" s="404" t="s">
        <v>1215</v>
      </c>
      <c r="C33" s="404">
        <v>30</v>
      </c>
    </row>
    <row r="34" spans="1:3">
      <c r="A34" s="391" t="s">
        <v>1204</v>
      </c>
      <c r="B34" s="404" t="s">
        <v>1205</v>
      </c>
      <c r="C34" s="404">
        <v>30</v>
      </c>
    </row>
    <row r="35" spans="1:3">
      <c r="A35" s="391" t="s">
        <v>788</v>
      </c>
      <c r="B35" s="404" t="s">
        <v>789</v>
      </c>
      <c r="C35" s="392"/>
    </row>
    <row r="36" spans="1:3">
      <c r="A36" s="391" t="s">
        <v>794</v>
      </c>
      <c r="B36" s="404" t="s">
        <v>795</v>
      </c>
      <c r="C36" s="392"/>
    </row>
    <row r="37" spans="1:3">
      <c r="A37" s="391" t="s">
        <v>680</v>
      </c>
      <c r="B37" s="404" t="s">
        <v>682</v>
      </c>
      <c r="C37" s="392">
        <v>30</v>
      </c>
    </row>
    <row r="38" spans="1:3">
      <c r="A38" s="391" t="s">
        <v>1248</v>
      </c>
      <c r="B38" s="404" t="s">
        <v>1265</v>
      </c>
      <c r="C38" s="404">
        <v>30</v>
      </c>
    </row>
    <row r="39" spans="1:3">
      <c r="A39" s="391" t="s">
        <v>1186</v>
      </c>
      <c r="B39" s="404" t="s">
        <v>1187</v>
      </c>
      <c r="C39" s="404">
        <v>30</v>
      </c>
    </row>
    <row r="40" spans="1:3">
      <c r="A40" s="391" t="s">
        <v>1401</v>
      </c>
      <c r="B40" s="404" t="s">
        <v>1402</v>
      </c>
      <c r="C40" s="404">
        <v>70</v>
      </c>
    </row>
    <row r="41" spans="1:3">
      <c r="A41" s="391" t="s">
        <v>678</v>
      </c>
      <c r="B41" s="404" t="s">
        <v>679</v>
      </c>
      <c r="C41" s="392"/>
    </row>
    <row r="42" spans="1:3">
      <c r="A42" s="391" t="s">
        <v>697</v>
      </c>
      <c r="B42" s="405" t="s">
        <v>698</v>
      </c>
      <c r="C42" s="392"/>
    </row>
    <row r="43" spans="1:3">
      <c r="A43" s="391" t="s">
        <v>731</v>
      </c>
      <c r="B43" s="404" t="s">
        <v>732</v>
      </c>
      <c r="C43" s="392"/>
    </row>
    <row r="44" spans="1:3">
      <c r="A44" s="391" t="s">
        <v>674</v>
      </c>
      <c r="B44" s="404" t="s">
        <v>675</v>
      </c>
      <c r="C44" s="392"/>
    </row>
    <row r="45" spans="1:3">
      <c r="A45" s="391" t="s">
        <v>706</v>
      </c>
      <c r="B45" s="405" t="s">
        <v>707</v>
      </c>
    </row>
    <row r="46" spans="1:3">
      <c r="A46" s="391" t="s">
        <v>661</v>
      </c>
      <c r="B46" s="404" t="s">
        <v>1169</v>
      </c>
      <c r="C46" s="404">
        <v>120</v>
      </c>
    </row>
    <row r="47" spans="1:3">
      <c r="A47" s="391" t="s">
        <v>687</v>
      </c>
      <c r="B47" s="392" t="s">
        <v>688</v>
      </c>
    </row>
    <row r="48" spans="1:3">
      <c r="A48" s="391" t="s">
        <v>1322</v>
      </c>
      <c r="B48" s="404" t="s">
        <v>1319</v>
      </c>
      <c r="C48" s="404">
        <v>50</v>
      </c>
    </row>
    <row r="49" spans="1:3">
      <c r="A49" s="391" t="s">
        <v>1451</v>
      </c>
      <c r="B49" s="404" t="s">
        <v>1452</v>
      </c>
      <c r="C49" s="404">
        <v>28</v>
      </c>
    </row>
    <row r="50" spans="1:3">
      <c r="A50" s="391" t="s">
        <v>465</v>
      </c>
      <c r="B50" s="404" t="s">
        <v>466</v>
      </c>
      <c r="C50" s="404">
        <v>60</v>
      </c>
    </row>
    <row r="51" spans="1:3">
      <c r="A51" s="391" t="s">
        <v>1320</v>
      </c>
      <c r="B51" s="404" t="s">
        <v>1321</v>
      </c>
      <c r="C51" s="404">
        <v>50</v>
      </c>
    </row>
    <row r="52" spans="1:3">
      <c r="A52" s="391" t="s">
        <v>1268</v>
      </c>
      <c r="B52" s="404" t="s">
        <v>1269</v>
      </c>
      <c r="C52" s="404">
        <v>100</v>
      </c>
    </row>
    <row r="53" spans="1:3">
      <c r="A53" s="391" t="s">
        <v>1182</v>
      </c>
      <c r="B53" s="404" t="s">
        <v>355</v>
      </c>
      <c r="C53" s="404">
        <v>110</v>
      </c>
    </row>
    <row r="54" spans="1:3">
      <c r="A54" s="391" t="s">
        <v>1195</v>
      </c>
      <c r="B54" s="404" t="s">
        <v>1196</v>
      </c>
      <c r="C54" s="404">
        <v>110</v>
      </c>
    </row>
    <row r="55" spans="1:3">
      <c r="A55" s="391" t="s">
        <v>660</v>
      </c>
      <c r="B55" s="404" t="s">
        <v>684</v>
      </c>
      <c r="C55" s="404">
        <v>30</v>
      </c>
    </row>
    <row r="56" spans="1:3">
      <c r="A56" s="391" t="s">
        <v>1257</v>
      </c>
      <c r="B56" s="404" t="s">
        <v>1258</v>
      </c>
      <c r="C56" s="404">
        <v>30</v>
      </c>
    </row>
    <row r="57" spans="1:3">
      <c r="A57" s="391" t="s">
        <v>1247</v>
      </c>
      <c r="B57" s="404">
        <v>2018130</v>
      </c>
      <c r="C57" s="404">
        <v>30</v>
      </c>
    </row>
    <row r="58" spans="1:3">
      <c r="A58" s="391" t="s">
        <v>681</v>
      </c>
      <c r="B58" s="404" t="s">
        <v>683</v>
      </c>
    </row>
    <row r="59" spans="1:3">
      <c r="A59" s="391" t="s">
        <v>1173</v>
      </c>
      <c r="B59" s="404" t="s">
        <v>1174</v>
      </c>
      <c r="C59" s="404">
        <v>12</v>
      </c>
    </row>
    <row r="60" spans="1:3">
      <c r="A60" s="391" t="s">
        <v>1266</v>
      </c>
      <c r="B60" s="404" t="s">
        <v>1267</v>
      </c>
      <c r="C60" s="404">
        <v>60</v>
      </c>
    </row>
    <row r="61" spans="1:3">
      <c r="A61" s="391" t="s">
        <v>71</v>
      </c>
      <c r="B61" s="404" t="s">
        <v>123</v>
      </c>
    </row>
    <row r="62" spans="1:3">
      <c r="A62" s="391" t="s">
        <v>176</v>
      </c>
      <c r="B62" s="406" t="s">
        <v>177</v>
      </c>
    </row>
    <row r="63" spans="1:3">
      <c r="A63" s="391" t="s">
        <v>179</v>
      </c>
      <c r="B63" s="404" t="s">
        <v>180</v>
      </c>
    </row>
    <row r="64" spans="1:3">
      <c r="A64" s="391" t="s">
        <v>469</v>
      </c>
      <c r="B64" s="404" t="s">
        <v>470</v>
      </c>
    </row>
    <row r="65" spans="1:4">
      <c r="A65" s="391" t="s">
        <v>803</v>
      </c>
      <c r="B65" s="404" t="s">
        <v>1394</v>
      </c>
      <c r="C65" s="404">
        <v>36</v>
      </c>
    </row>
    <row r="66" spans="1:4">
      <c r="A66" s="391" t="s">
        <v>693</v>
      </c>
      <c r="B66" s="404" t="s">
        <v>694</v>
      </c>
    </row>
    <row r="67" spans="1:4">
      <c r="A67" s="391" t="s">
        <v>705</v>
      </c>
      <c r="B67" s="404" t="s">
        <v>702</v>
      </c>
    </row>
    <row r="68" spans="1:4">
      <c r="A68" s="391" t="s">
        <v>502</v>
      </c>
      <c r="B68" s="404" t="s">
        <v>503</v>
      </c>
    </row>
    <row r="69" spans="1:4">
      <c r="A69" s="391" t="s">
        <v>496</v>
      </c>
      <c r="B69" s="404" t="s">
        <v>497</v>
      </c>
    </row>
    <row r="70" spans="1:4">
      <c r="A70" s="391" t="s">
        <v>498</v>
      </c>
      <c r="B70" s="404" t="s">
        <v>499</v>
      </c>
    </row>
    <row r="71" spans="1:4">
      <c r="A71" s="391" t="s">
        <v>173</v>
      </c>
      <c r="B71" s="404" t="s">
        <v>123</v>
      </c>
    </row>
    <row r="72" spans="1:4">
      <c r="A72" s="391" t="s">
        <v>449</v>
      </c>
      <c r="B72" s="404" t="s">
        <v>341</v>
      </c>
    </row>
    <row r="73" spans="1:4">
      <c r="A73" s="391" t="s">
        <v>291</v>
      </c>
      <c r="B73" s="404" t="s">
        <v>292</v>
      </c>
    </row>
    <row r="74" spans="1:4">
      <c r="A74" s="391" t="s">
        <v>340</v>
      </c>
      <c r="B74" s="404" t="s">
        <v>341</v>
      </c>
    </row>
    <row r="75" spans="1:4">
      <c r="A75" s="391" t="s">
        <v>347</v>
      </c>
      <c r="B75" s="404" t="s">
        <v>341</v>
      </c>
    </row>
    <row r="76" spans="1:4" s="76" customFormat="1">
      <c r="A76" s="391" t="s">
        <v>212</v>
      </c>
      <c r="B76" s="404">
        <v>1025441000</v>
      </c>
      <c r="C76" s="404"/>
    </row>
    <row r="77" spans="1:4">
      <c r="A77" s="391" t="s">
        <v>695</v>
      </c>
      <c r="B77" s="404" t="s">
        <v>696</v>
      </c>
      <c r="C77" s="404">
        <v>360</v>
      </c>
    </row>
    <row r="78" spans="1:4">
      <c r="A78" s="391" t="s">
        <v>1515</v>
      </c>
      <c r="B78" s="117" t="s">
        <v>1516</v>
      </c>
      <c r="C78" s="404">
        <v>90</v>
      </c>
    </row>
    <row r="79" spans="1:4">
      <c r="A79" s="391" t="s">
        <v>1231</v>
      </c>
      <c r="B79" s="404" t="s">
        <v>1232</v>
      </c>
      <c r="C79" s="404">
        <v>100</v>
      </c>
      <c r="D79" t="s">
        <v>1539</v>
      </c>
    </row>
    <row r="80" spans="1:4">
      <c r="A80" s="391" t="s">
        <v>1461</v>
      </c>
      <c r="B80" s="404" t="s">
        <v>1462</v>
      </c>
      <c r="C80" s="404">
        <v>120</v>
      </c>
      <c r="D80" t="s">
        <v>63</v>
      </c>
    </row>
    <row r="81" spans="1:4">
      <c r="A81" s="391" t="s">
        <v>339</v>
      </c>
      <c r="B81" s="404">
        <v>181075</v>
      </c>
      <c r="C81" s="404">
        <v>30</v>
      </c>
      <c r="D81" t="s">
        <v>1539</v>
      </c>
    </row>
    <row r="82" spans="1:4">
      <c r="A82" s="391" t="s">
        <v>1545</v>
      </c>
      <c r="B82" s="117" t="s">
        <v>1546</v>
      </c>
      <c r="C82" s="404">
        <v>45</v>
      </c>
      <c r="D82" t="s">
        <v>1539</v>
      </c>
    </row>
    <row r="83" spans="1:4">
      <c r="A83" s="391" t="s">
        <v>1543</v>
      </c>
      <c r="B83" s="404" t="s">
        <v>1544</v>
      </c>
      <c r="C83" s="404">
        <v>50</v>
      </c>
    </row>
    <row r="84" spans="1:4">
      <c r="A84" s="391" t="s">
        <v>1534</v>
      </c>
      <c r="B84" s="404">
        <v>181270</v>
      </c>
      <c r="C84" s="404">
        <v>37</v>
      </c>
    </row>
    <row r="85" spans="1:4">
      <c r="A85" s="391" t="s">
        <v>1325</v>
      </c>
      <c r="B85" s="404" t="s">
        <v>1326</v>
      </c>
      <c r="C85" s="404">
        <v>120</v>
      </c>
    </row>
    <row r="86" spans="1:4">
      <c r="A86" s="391" t="s">
        <v>475</v>
      </c>
      <c r="B86" s="404" t="s">
        <v>476</v>
      </c>
      <c r="C86" s="404">
        <v>120</v>
      </c>
    </row>
    <row r="87" spans="1:4">
      <c r="A87" s="391" t="s">
        <v>1453</v>
      </c>
      <c r="B87" s="404" t="s">
        <v>1454</v>
      </c>
      <c r="C87" s="404">
        <v>120</v>
      </c>
    </row>
    <row r="88" spans="1:4">
      <c r="A88" s="391" t="s">
        <v>727</v>
      </c>
      <c r="B88" s="404" t="s">
        <v>739</v>
      </c>
      <c r="C88" s="404">
        <v>120</v>
      </c>
    </row>
    <row r="89" spans="1:4">
      <c r="A89" s="391" t="s">
        <v>738</v>
      </c>
      <c r="B89" s="404" t="s">
        <v>740</v>
      </c>
      <c r="C89" s="404">
        <v>120</v>
      </c>
    </row>
    <row r="90" spans="1:4">
      <c r="A90" s="391" t="s">
        <v>1535</v>
      </c>
      <c r="B90" s="117" t="s">
        <v>1536</v>
      </c>
      <c r="C90" s="404">
        <v>120</v>
      </c>
    </row>
    <row r="91" spans="1:4">
      <c r="A91" s="391" t="s">
        <v>1537</v>
      </c>
      <c r="B91" s="117" t="s">
        <v>1538</v>
      </c>
      <c r="C91" s="404">
        <v>120</v>
      </c>
    </row>
    <row r="92" spans="1:4">
      <c r="A92" s="391" t="s">
        <v>519</v>
      </c>
      <c r="B92" s="404" t="s">
        <v>520</v>
      </c>
      <c r="C92" s="404">
        <v>80</v>
      </c>
    </row>
    <row r="93" spans="1:4">
      <c r="A93" s="391" t="s">
        <v>1249</v>
      </c>
      <c r="B93" s="404" t="s">
        <v>1250</v>
      </c>
      <c r="C93" s="404">
        <v>70</v>
      </c>
    </row>
    <row r="94" spans="1:4">
      <c r="A94" s="391" t="s">
        <v>1203</v>
      </c>
      <c r="B94" s="404" t="s">
        <v>520</v>
      </c>
      <c r="C94" s="404">
        <v>70</v>
      </c>
    </row>
    <row r="95" spans="1:4">
      <c r="A95" s="391" t="s">
        <v>342</v>
      </c>
      <c r="B95" s="404" t="s">
        <v>544</v>
      </c>
    </row>
    <row r="96" spans="1:4">
      <c r="A96" s="391" t="s">
        <v>1357</v>
      </c>
      <c r="B96" s="404" t="s">
        <v>1358</v>
      </c>
      <c r="C96" s="404">
        <v>120</v>
      </c>
      <c r="D96" t="s">
        <v>1493</v>
      </c>
    </row>
    <row r="97" spans="1:3">
      <c r="A97" s="391" t="s">
        <v>477</v>
      </c>
      <c r="B97" s="404" t="s">
        <v>478</v>
      </c>
      <c r="C97" s="404">
        <v>120</v>
      </c>
    </row>
    <row r="98" spans="1:3">
      <c r="A98" s="391" t="s">
        <v>757</v>
      </c>
      <c r="B98" s="404" t="s">
        <v>758</v>
      </c>
      <c r="C98" s="404">
        <v>120</v>
      </c>
    </row>
    <row r="99" spans="1:3">
      <c r="A99" s="391" t="s">
        <v>1327</v>
      </c>
      <c r="B99" s="404" t="s">
        <v>1328</v>
      </c>
      <c r="C99" s="404">
        <v>90</v>
      </c>
    </row>
    <row r="100" spans="1:3">
      <c r="A100" s="391" t="s">
        <v>1278</v>
      </c>
      <c r="B100" s="404" t="s">
        <v>1279</v>
      </c>
      <c r="C100" s="404">
        <v>90</v>
      </c>
    </row>
    <row r="101" spans="1:3">
      <c r="A101" s="391" t="s">
        <v>501</v>
      </c>
      <c r="B101" s="407" t="s">
        <v>500</v>
      </c>
      <c r="C101" s="404">
        <v>120</v>
      </c>
    </row>
    <row r="102" spans="1:3">
      <c r="A102" s="391" t="s">
        <v>1180</v>
      </c>
      <c r="B102" s="411" t="s">
        <v>1181</v>
      </c>
      <c r="C102" s="404">
        <v>90</v>
      </c>
    </row>
    <row r="103" spans="1:3">
      <c r="A103" s="391" t="s">
        <v>1345</v>
      </c>
      <c r="B103" s="408" t="s">
        <v>1181</v>
      </c>
      <c r="C103" s="404">
        <v>60</v>
      </c>
    </row>
    <row r="104" spans="1:3">
      <c r="A104" s="391" t="s">
        <v>1356</v>
      </c>
      <c r="B104" s="408" t="s">
        <v>1411</v>
      </c>
      <c r="C104" s="404">
        <v>90</v>
      </c>
    </row>
    <row r="105" spans="1:3">
      <c r="A105" s="75" t="s">
        <v>820</v>
      </c>
      <c r="B105" s="408" t="s">
        <v>663</v>
      </c>
      <c r="C105" s="404">
        <v>90</v>
      </c>
    </row>
    <row r="106" spans="1:3">
      <c r="A106" s="75" t="s">
        <v>1163</v>
      </c>
      <c r="B106" s="408" t="s">
        <v>1164</v>
      </c>
      <c r="C106" s="404">
        <v>90</v>
      </c>
    </row>
    <row r="107" spans="1:3">
      <c r="A107" s="391" t="s">
        <v>689</v>
      </c>
      <c r="B107" s="408" t="s">
        <v>690</v>
      </c>
      <c r="C107" s="404">
        <v>120</v>
      </c>
    </row>
    <row r="108" spans="1:3">
      <c r="A108" s="391" t="s">
        <v>662</v>
      </c>
      <c r="B108" s="408" t="s">
        <v>663</v>
      </c>
      <c r="C108" s="404">
        <v>120</v>
      </c>
    </row>
    <row r="109" spans="1:3">
      <c r="A109" s="391" t="s">
        <v>1218</v>
      </c>
      <c r="B109" s="408" t="s">
        <v>1477</v>
      </c>
      <c r="C109" s="404">
        <v>120</v>
      </c>
    </row>
    <row r="110" spans="1:3">
      <c r="A110" s="391" t="s">
        <v>654</v>
      </c>
      <c r="B110" s="407" t="s">
        <v>655</v>
      </c>
      <c r="C110" s="404">
        <v>120</v>
      </c>
    </row>
    <row r="111" spans="1:3">
      <c r="A111" s="391" t="s">
        <v>1427</v>
      </c>
      <c r="B111" s="404" t="s">
        <v>487</v>
      </c>
      <c r="C111" s="404">
        <v>60</v>
      </c>
    </row>
    <row r="112" spans="1:3">
      <c r="A112" s="391" t="s">
        <v>101</v>
      </c>
      <c r="B112" s="404" t="s">
        <v>123</v>
      </c>
    </row>
    <row r="113" spans="1:3">
      <c r="A113" s="391" t="s">
        <v>1197</v>
      </c>
      <c r="B113" s="404" t="s">
        <v>91</v>
      </c>
      <c r="C113" s="404">
        <v>90</v>
      </c>
    </row>
    <row r="114" spans="1:3">
      <c r="A114" s="391" t="s">
        <v>1216</v>
      </c>
      <c r="B114" s="404" t="s">
        <v>1217</v>
      </c>
      <c r="C114" s="404">
        <v>120</v>
      </c>
    </row>
    <row r="115" spans="1:3">
      <c r="A115" s="391" t="s">
        <v>1481</v>
      </c>
      <c r="B115" s="404" t="s">
        <v>283</v>
      </c>
      <c r="C115" s="404">
        <v>120</v>
      </c>
    </row>
    <row r="116" spans="1:3">
      <c r="A116" s="391" t="s">
        <v>1223</v>
      </c>
      <c r="B116" s="404" t="s">
        <v>1224</v>
      </c>
      <c r="C116" s="404">
        <v>120</v>
      </c>
    </row>
    <row r="117" spans="1:3">
      <c r="A117" s="391" t="s">
        <v>526</v>
      </c>
      <c r="B117" s="404" t="s">
        <v>527</v>
      </c>
      <c r="C117" s="404">
        <v>60</v>
      </c>
    </row>
    <row r="118" spans="1:3">
      <c r="A118" s="391" t="s">
        <v>804</v>
      </c>
      <c r="B118" s="408" t="s">
        <v>735</v>
      </c>
      <c r="C118" s="404">
        <v>80</v>
      </c>
    </row>
    <row r="119" spans="1:3">
      <c r="A119" s="391" t="s">
        <v>564</v>
      </c>
      <c r="B119" s="408" t="s">
        <v>565</v>
      </c>
    </row>
    <row r="120" spans="1:3">
      <c r="A120" s="391" t="s">
        <v>1261</v>
      </c>
      <c r="B120" s="408" t="s">
        <v>1262</v>
      </c>
      <c r="C120" s="404">
        <v>60</v>
      </c>
    </row>
    <row r="121" spans="1:3">
      <c r="A121" s="391" t="s">
        <v>775</v>
      </c>
      <c r="B121" s="407" t="s">
        <v>776</v>
      </c>
      <c r="C121" s="404">
        <v>60</v>
      </c>
    </row>
    <row r="122" spans="1:3">
      <c r="A122" s="75" t="s">
        <v>1491</v>
      </c>
      <c r="B122" s="411" t="s">
        <v>1492</v>
      </c>
      <c r="C122" s="404">
        <v>120</v>
      </c>
    </row>
    <row r="123" spans="1:3">
      <c r="A123" s="75" t="s">
        <v>1478</v>
      </c>
      <c r="B123" s="408" t="s">
        <v>1479</v>
      </c>
      <c r="C123" s="404">
        <v>120</v>
      </c>
    </row>
    <row r="124" spans="1:3">
      <c r="A124" s="391" t="s">
        <v>174</v>
      </c>
      <c r="B124" s="404" t="s">
        <v>175</v>
      </c>
      <c r="C124" s="404">
        <v>120</v>
      </c>
    </row>
    <row r="125" spans="1:3">
      <c r="A125" s="75" t="s">
        <v>1347</v>
      </c>
      <c r="B125" s="408" t="s">
        <v>1348</v>
      </c>
      <c r="C125" s="404">
        <v>120</v>
      </c>
    </row>
    <row r="126" spans="1:3">
      <c r="A126" s="75" t="s">
        <v>446</v>
      </c>
      <c r="B126" s="404">
        <v>7159</v>
      </c>
      <c r="C126" s="404">
        <v>120</v>
      </c>
    </row>
    <row r="127" spans="1:3">
      <c r="A127" s="391" t="s">
        <v>1430</v>
      </c>
      <c r="B127" s="404" t="s">
        <v>1431</v>
      </c>
      <c r="C127" s="404">
        <v>120</v>
      </c>
    </row>
    <row r="128" spans="1:3">
      <c r="A128" s="391" t="s">
        <v>1432</v>
      </c>
      <c r="B128" s="404" t="s">
        <v>1433</v>
      </c>
      <c r="C128" s="404">
        <v>120</v>
      </c>
    </row>
    <row r="129" spans="1:4">
      <c r="A129" s="391" t="s">
        <v>313</v>
      </c>
      <c r="B129" s="404" t="s">
        <v>314</v>
      </c>
    </row>
    <row r="130" spans="1:4">
      <c r="A130" s="391" t="s">
        <v>323</v>
      </c>
      <c r="B130" s="404" t="s">
        <v>324</v>
      </c>
    </row>
    <row r="131" spans="1:4">
      <c r="A131" s="391" t="s">
        <v>170</v>
      </c>
      <c r="B131" s="404" t="s">
        <v>162</v>
      </c>
    </row>
    <row r="132" spans="1:4">
      <c r="A132" s="391" t="s">
        <v>163</v>
      </c>
      <c r="B132" s="404" t="s">
        <v>164</v>
      </c>
    </row>
    <row r="133" spans="1:4">
      <c r="A133" s="391" t="s">
        <v>1313</v>
      </c>
      <c r="B133" s="404" t="s">
        <v>1314</v>
      </c>
      <c r="C133" s="404">
        <v>45</v>
      </c>
    </row>
    <row r="134" spans="1:4">
      <c r="A134" s="391" t="s">
        <v>416</v>
      </c>
      <c r="B134" s="404" t="s">
        <v>417</v>
      </c>
    </row>
    <row r="135" spans="1:4">
      <c r="A135" s="391" t="s">
        <v>1450</v>
      </c>
      <c r="B135" s="404">
        <v>890625</v>
      </c>
      <c r="C135" s="404">
        <v>70</v>
      </c>
    </row>
    <row r="136" spans="1:4">
      <c r="A136" s="391" t="s">
        <v>103</v>
      </c>
      <c r="B136" s="404">
        <v>7009</v>
      </c>
    </row>
    <row r="137" spans="1:4">
      <c r="A137" s="391" t="s">
        <v>1302</v>
      </c>
      <c r="B137" s="404" t="s">
        <v>1303</v>
      </c>
      <c r="C137" s="404">
        <v>60</v>
      </c>
    </row>
    <row r="138" spans="1:4">
      <c r="A138" s="391" t="s">
        <v>1383</v>
      </c>
      <c r="B138" s="404" t="s">
        <v>1384</v>
      </c>
      <c r="C138" s="404">
        <v>20</v>
      </c>
    </row>
    <row r="139" spans="1:4">
      <c r="A139" s="391" t="s">
        <v>1489</v>
      </c>
      <c r="B139" s="404" t="s">
        <v>1490</v>
      </c>
      <c r="C139" s="404">
        <v>15</v>
      </c>
      <c r="D139" t="s">
        <v>1539</v>
      </c>
    </row>
    <row r="140" spans="1:4">
      <c r="A140" s="391" t="s">
        <v>226</v>
      </c>
      <c r="B140" s="404">
        <v>8209</v>
      </c>
    </row>
    <row r="141" spans="1:4">
      <c r="A141" s="391" t="s">
        <v>298</v>
      </c>
      <c r="B141" s="404" t="s">
        <v>405</v>
      </c>
    </row>
    <row r="142" spans="1:4">
      <c r="A142" s="391" t="s">
        <v>298</v>
      </c>
      <c r="B142" s="404" t="s">
        <v>297</v>
      </c>
    </row>
    <row r="143" spans="1:4">
      <c r="A143" s="391" t="s">
        <v>701</v>
      </c>
      <c r="B143" s="404">
        <v>181261</v>
      </c>
    </row>
    <row r="144" spans="1:4">
      <c r="A144" s="391" t="s">
        <v>568</v>
      </c>
      <c r="B144" s="404">
        <v>181241</v>
      </c>
      <c r="C144" s="404">
        <v>60</v>
      </c>
    </row>
    <row r="145" spans="1:4">
      <c r="A145" s="391" t="s">
        <v>1299</v>
      </c>
      <c r="B145" s="404">
        <v>18126100</v>
      </c>
      <c r="C145" s="404">
        <v>60</v>
      </c>
    </row>
    <row r="146" spans="1:4">
      <c r="A146" s="391" t="s">
        <v>796</v>
      </c>
      <c r="B146" s="408" t="s">
        <v>797</v>
      </c>
      <c r="C146" s="404">
        <v>20</v>
      </c>
    </row>
    <row r="147" spans="1:4">
      <c r="A147" s="391" t="s">
        <v>1418</v>
      </c>
      <c r="B147" s="404" t="s">
        <v>1419</v>
      </c>
      <c r="C147" s="404">
        <v>90</v>
      </c>
    </row>
    <row r="148" spans="1:4">
      <c r="A148" s="391" t="s">
        <v>459</v>
      </c>
      <c r="B148" s="404" t="s">
        <v>460</v>
      </c>
    </row>
    <row r="149" spans="1:4">
      <c r="A149" s="391" t="s">
        <v>479</v>
      </c>
      <c r="B149" s="404" t="s">
        <v>480</v>
      </c>
    </row>
    <row r="150" spans="1:4">
      <c r="A150" s="391" t="s">
        <v>453</v>
      </c>
      <c r="B150" s="404" t="s">
        <v>454</v>
      </c>
    </row>
    <row r="151" spans="1:4">
      <c r="A151" s="391" t="s">
        <v>734</v>
      </c>
      <c r="B151" s="408" t="s">
        <v>735</v>
      </c>
    </row>
    <row r="152" spans="1:4">
      <c r="A152" s="391" t="s">
        <v>784</v>
      </c>
      <c r="B152" s="404" t="s">
        <v>718</v>
      </c>
      <c r="C152" s="404">
        <v>120</v>
      </c>
    </row>
    <row r="153" spans="1:4">
      <c r="A153" s="391" t="s">
        <v>790</v>
      </c>
      <c r="B153" s="404" t="s">
        <v>791</v>
      </c>
    </row>
    <row r="154" spans="1:4">
      <c r="A154" s="391" t="s">
        <v>1198</v>
      </c>
      <c r="B154" s="408" t="s">
        <v>1199</v>
      </c>
      <c r="C154" s="404">
        <v>120</v>
      </c>
      <c r="D154" s="76" t="s">
        <v>1555</v>
      </c>
    </row>
    <row r="155" spans="1:4">
      <c r="A155" s="391" t="s">
        <v>553</v>
      </c>
      <c r="B155" s="404" t="s">
        <v>554</v>
      </c>
      <c r="C155" s="404">
        <v>120</v>
      </c>
    </row>
    <row r="156" spans="1:4">
      <c r="A156" s="75" t="s">
        <v>770</v>
      </c>
      <c r="B156" s="404" t="s">
        <v>754</v>
      </c>
      <c r="C156" s="404">
        <v>80</v>
      </c>
    </row>
    <row r="157" spans="1:4">
      <c r="A157" s="391" t="s">
        <v>741</v>
      </c>
      <c r="B157" s="404" t="s">
        <v>742</v>
      </c>
    </row>
    <row r="158" spans="1:4">
      <c r="A158" s="391" t="s">
        <v>1415</v>
      </c>
      <c r="B158" s="404" t="s">
        <v>1416</v>
      </c>
      <c r="C158" s="404">
        <v>120</v>
      </c>
    </row>
    <row r="159" spans="1:4">
      <c r="A159" s="391" t="s">
        <v>1518</v>
      </c>
      <c r="B159" s="117" t="s">
        <v>1519</v>
      </c>
      <c r="C159" s="404">
        <v>120</v>
      </c>
    </row>
    <row r="160" spans="1:4">
      <c r="A160" s="391" t="s">
        <v>1523</v>
      </c>
      <c r="B160" s="117" t="s">
        <v>1524</v>
      </c>
      <c r="C160" s="404">
        <v>30</v>
      </c>
    </row>
    <row r="161" spans="1:3">
      <c r="A161" s="391" t="s">
        <v>1506</v>
      </c>
      <c r="B161" s="117" t="s">
        <v>1507</v>
      </c>
      <c r="C161" s="404">
        <v>120</v>
      </c>
    </row>
    <row r="162" spans="1:3">
      <c r="A162" s="391" t="s">
        <v>717</v>
      </c>
      <c r="B162" s="404" t="s">
        <v>718</v>
      </c>
      <c r="C162" s="404">
        <v>120</v>
      </c>
    </row>
    <row r="163" spans="1:3">
      <c r="A163" s="391" t="s">
        <v>1282</v>
      </c>
      <c r="B163" s="404" t="s">
        <v>1283</v>
      </c>
      <c r="C163" s="404">
        <v>90</v>
      </c>
    </row>
    <row r="164" spans="1:3">
      <c r="A164" s="391" t="s">
        <v>1405</v>
      </c>
      <c r="B164" s="404" t="s">
        <v>1406</v>
      </c>
      <c r="C164" s="404">
        <v>120</v>
      </c>
    </row>
    <row r="165" spans="1:3">
      <c r="A165" s="391" t="s">
        <v>1520</v>
      </c>
      <c r="B165" s="404" t="s">
        <v>414</v>
      </c>
      <c r="C165" s="404">
        <v>120</v>
      </c>
    </row>
    <row r="166" spans="1:3">
      <c r="A166" s="391" t="s">
        <v>1502</v>
      </c>
      <c r="B166" s="117" t="s">
        <v>1503</v>
      </c>
      <c r="C166" s="404">
        <v>120</v>
      </c>
    </row>
    <row r="167" spans="1:3">
      <c r="A167" s="391" t="s">
        <v>1351</v>
      </c>
      <c r="B167" s="404" t="s">
        <v>1352</v>
      </c>
      <c r="C167" s="404">
        <v>120</v>
      </c>
    </row>
    <row r="168" spans="1:3">
      <c r="A168" s="391" t="s">
        <v>1346</v>
      </c>
      <c r="B168" s="404" t="s">
        <v>412</v>
      </c>
      <c r="C168" s="404">
        <v>120</v>
      </c>
    </row>
    <row r="169" spans="1:3">
      <c r="A169" s="391" t="s">
        <v>1194</v>
      </c>
      <c r="B169" s="404" t="s">
        <v>283</v>
      </c>
      <c r="C169" s="404">
        <v>120</v>
      </c>
    </row>
    <row r="170" spans="1:3">
      <c r="A170" s="391" t="s">
        <v>1444</v>
      </c>
      <c r="B170" s="404" t="s">
        <v>1445</v>
      </c>
      <c r="C170" s="404">
        <v>120</v>
      </c>
    </row>
    <row r="171" spans="1:3">
      <c r="A171" s="391" t="s">
        <v>1311</v>
      </c>
      <c r="B171" s="404" t="s">
        <v>1040</v>
      </c>
      <c r="C171" s="404">
        <v>70</v>
      </c>
    </row>
    <row r="172" spans="1:3">
      <c r="A172" s="391" t="s">
        <v>1521</v>
      </c>
      <c r="B172" s="117" t="s">
        <v>1522</v>
      </c>
      <c r="C172" s="404">
        <v>120</v>
      </c>
    </row>
    <row r="173" spans="1:3">
      <c r="A173" s="391" t="s">
        <v>1339</v>
      </c>
      <c r="B173" s="404" t="s">
        <v>1312</v>
      </c>
      <c r="C173" s="404">
        <v>120</v>
      </c>
    </row>
    <row r="174" spans="1:3">
      <c r="A174" s="391" t="s">
        <v>580</v>
      </c>
      <c r="B174" s="404" t="s">
        <v>1340</v>
      </c>
      <c r="C174" s="404">
        <v>120</v>
      </c>
    </row>
    <row r="175" spans="1:3">
      <c r="A175" s="391" t="s">
        <v>649</v>
      </c>
      <c r="B175" s="404" t="s">
        <v>581</v>
      </c>
    </row>
    <row r="176" spans="1:3">
      <c r="A176" s="391" t="s">
        <v>805</v>
      </c>
      <c r="B176" s="404" t="s">
        <v>762</v>
      </c>
    </row>
    <row r="177" spans="1:4">
      <c r="A177" s="391" t="s">
        <v>583</v>
      </c>
      <c r="B177" s="404" t="s">
        <v>718</v>
      </c>
    </row>
    <row r="178" spans="1:4">
      <c r="A178" s="391" t="s">
        <v>562</v>
      </c>
      <c r="B178" s="404" t="s">
        <v>584</v>
      </c>
      <c r="C178" s="404">
        <v>120</v>
      </c>
    </row>
    <row r="179" spans="1:4">
      <c r="A179" s="391" t="s">
        <v>421</v>
      </c>
      <c r="B179" s="404" t="s">
        <v>563</v>
      </c>
    </row>
    <row r="180" spans="1:4">
      <c r="A180" s="391" t="s">
        <v>699</v>
      </c>
      <c r="B180" s="404" t="s">
        <v>422</v>
      </c>
      <c r="C180" s="404">
        <v>120</v>
      </c>
    </row>
    <row r="181" spans="1:4">
      <c r="A181" s="391" t="s">
        <v>691</v>
      </c>
      <c r="B181" s="404" t="s">
        <v>700</v>
      </c>
      <c r="C181" s="404">
        <v>60</v>
      </c>
    </row>
    <row r="182" spans="1:4">
      <c r="A182" s="391" t="s">
        <v>641</v>
      </c>
      <c r="B182" s="404" t="s">
        <v>692</v>
      </c>
      <c r="C182" s="404">
        <v>60</v>
      </c>
    </row>
    <row r="183" spans="1:4">
      <c r="A183" s="391" t="s">
        <v>643</v>
      </c>
      <c r="B183" s="404" t="s">
        <v>642</v>
      </c>
      <c r="C183" s="404">
        <v>120</v>
      </c>
    </row>
    <row r="184" spans="1:4">
      <c r="A184" s="391" t="s">
        <v>713</v>
      </c>
      <c r="B184" s="404" t="s">
        <v>644</v>
      </c>
      <c r="C184" s="404">
        <v>120</v>
      </c>
    </row>
    <row r="185" spans="1:4">
      <c r="A185" s="391" t="s">
        <v>1233</v>
      </c>
      <c r="B185" s="404" t="s">
        <v>714</v>
      </c>
      <c r="C185" s="404">
        <v>120</v>
      </c>
    </row>
    <row r="186" spans="1:4">
      <c r="A186" s="391" t="s">
        <v>1354</v>
      </c>
      <c r="B186" s="404" t="s">
        <v>1234</v>
      </c>
      <c r="C186" s="404">
        <v>120</v>
      </c>
    </row>
    <row r="187" spans="1:4">
      <c r="A187" s="391" t="s">
        <v>1480</v>
      </c>
      <c r="B187" s="404" t="s">
        <v>992</v>
      </c>
      <c r="C187" s="404">
        <v>120</v>
      </c>
    </row>
    <row r="188" spans="1:4">
      <c r="A188" s="391" t="s">
        <v>1496</v>
      </c>
      <c r="B188" s="404" t="s">
        <v>1497</v>
      </c>
      <c r="C188" s="404">
        <v>120</v>
      </c>
    </row>
    <row r="189" spans="1:4">
      <c r="A189" s="391" t="s">
        <v>1189</v>
      </c>
      <c r="B189" s="404" t="s">
        <v>1355</v>
      </c>
      <c r="C189" s="404">
        <v>120</v>
      </c>
    </row>
    <row r="190" spans="1:4">
      <c r="A190" s="391" t="s">
        <v>1567</v>
      </c>
      <c r="B190" s="404" t="s">
        <v>1568</v>
      </c>
      <c r="C190" s="404">
        <v>80</v>
      </c>
      <c r="D190" s="76" t="s">
        <v>1556</v>
      </c>
    </row>
    <row r="191" spans="1:4">
      <c r="A191" s="391" t="s">
        <v>1442</v>
      </c>
      <c r="B191" s="404" t="s">
        <v>1443</v>
      </c>
      <c r="C191" s="404">
        <v>120</v>
      </c>
    </row>
    <row r="192" spans="1:4">
      <c r="A192" s="391" t="s">
        <v>1504</v>
      </c>
      <c r="B192" s="117" t="s">
        <v>1505</v>
      </c>
      <c r="C192" s="404">
        <v>120</v>
      </c>
    </row>
    <row r="193" spans="1:4">
      <c r="A193" s="75" t="s">
        <v>786</v>
      </c>
      <c r="B193" s="404" t="s">
        <v>1190</v>
      </c>
      <c r="C193" s="404">
        <v>80</v>
      </c>
    </row>
    <row r="194" spans="1:4">
      <c r="A194" s="391" t="s">
        <v>760</v>
      </c>
      <c r="B194" s="404" t="s">
        <v>787</v>
      </c>
      <c r="C194" s="404">
        <v>120</v>
      </c>
    </row>
    <row r="195" spans="1:4">
      <c r="A195" s="391" t="s">
        <v>792</v>
      </c>
      <c r="B195" s="404" t="s">
        <v>686</v>
      </c>
      <c r="C195" s="404">
        <v>80</v>
      </c>
      <c r="D195" t="s">
        <v>1569</v>
      </c>
    </row>
    <row r="196" spans="1:4">
      <c r="A196" s="391" t="s">
        <v>772</v>
      </c>
      <c r="B196" s="404" t="s">
        <v>754</v>
      </c>
      <c r="C196" s="404">
        <v>120</v>
      </c>
    </row>
    <row r="197" spans="1:4">
      <c r="A197" s="391" t="s">
        <v>557</v>
      </c>
      <c r="B197" s="404" t="s">
        <v>773</v>
      </c>
    </row>
    <row r="198" spans="1:4">
      <c r="A198" s="391" t="s">
        <v>427</v>
      </c>
      <c r="B198" s="408" t="s">
        <v>647</v>
      </c>
      <c r="C198" s="404">
        <v>120</v>
      </c>
    </row>
    <row r="199" spans="1:4">
      <c r="A199" s="391" t="s">
        <v>710</v>
      </c>
      <c r="B199" s="404" t="s">
        <v>428</v>
      </c>
      <c r="C199" s="404">
        <v>120</v>
      </c>
    </row>
    <row r="200" spans="1:4">
      <c r="A200" s="391" t="s">
        <v>703</v>
      </c>
      <c r="B200" s="404" t="s">
        <v>666</v>
      </c>
      <c r="C200" s="404">
        <v>120</v>
      </c>
    </row>
    <row r="201" spans="1:4">
      <c r="A201" s="391" t="s">
        <v>656</v>
      </c>
      <c r="B201" s="404" t="s">
        <v>704</v>
      </c>
      <c r="C201" s="404">
        <v>120</v>
      </c>
    </row>
    <row r="202" spans="1:4">
      <c r="A202" s="391" t="s">
        <v>432</v>
      </c>
      <c r="B202" s="404" t="s">
        <v>659</v>
      </c>
      <c r="C202" s="404">
        <v>120</v>
      </c>
    </row>
    <row r="203" spans="1:4">
      <c r="A203" s="391" t="s">
        <v>669</v>
      </c>
      <c r="B203" s="404" t="s">
        <v>433</v>
      </c>
      <c r="C203" s="404">
        <v>120</v>
      </c>
    </row>
    <row r="204" spans="1:4">
      <c r="A204" s="391" t="s">
        <v>650</v>
      </c>
      <c r="B204" s="404" t="s">
        <v>671</v>
      </c>
      <c r="C204" s="404">
        <v>120</v>
      </c>
    </row>
    <row r="205" spans="1:4">
      <c r="A205" s="391" t="s">
        <v>541</v>
      </c>
      <c r="B205" s="404" t="s">
        <v>651</v>
      </c>
      <c r="C205" s="404">
        <v>120</v>
      </c>
    </row>
    <row r="206" spans="1:4">
      <c r="A206" s="391" t="s">
        <v>533</v>
      </c>
      <c r="B206" s="404" t="s">
        <v>1188</v>
      </c>
      <c r="C206" s="404">
        <v>120</v>
      </c>
    </row>
    <row r="207" spans="1:4">
      <c r="A207" s="391" t="s">
        <v>638</v>
      </c>
      <c r="B207" s="404" t="s">
        <v>534</v>
      </c>
      <c r="C207" s="404">
        <v>120</v>
      </c>
    </row>
    <row r="208" spans="1:4">
      <c r="A208" s="75" t="s">
        <v>521</v>
      </c>
      <c r="B208" s="404" t="s">
        <v>554</v>
      </c>
      <c r="C208" s="404">
        <v>120</v>
      </c>
    </row>
    <row r="209" spans="1:3">
      <c r="A209" s="391" t="s">
        <v>517</v>
      </c>
      <c r="B209" s="404" t="s">
        <v>530</v>
      </c>
      <c r="C209" s="404">
        <v>120</v>
      </c>
    </row>
    <row r="210" spans="1:3">
      <c r="A210" s="391" t="s">
        <v>652</v>
      </c>
      <c r="B210" s="404" t="s">
        <v>518</v>
      </c>
      <c r="C210" s="404">
        <v>120</v>
      </c>
    </row>
    <row r="211" spans="1:3">
      <c r="A211" s="391" t="s">
        <v>551</v>
      </c>
      <c r="B211" s="404" t="s">
        <v>653</v>
      </c>
      <c r="C211" s="404">
        <v>120</v>
      </c>
    </row>
    <row r="212" spans="1:3">
      <c r="A212" s="391" t="s">
        <v>596</v>
      </c>
      <c r="B212" s="404" t="s">
        <v>552</v>
      </c>
      <c r="C212" s="404">
        <v>120</v>
      </c>
    </row>
    <row r="213" spans="1:3">
      <c r="A213" s="75" t="s">
        <v>600</v>
      </c>
      <c r="B213" s="117" t="s">
        <v>597</v>
      </c>
      <c r="C213" s="404">
        <v>120</v>
      </c>
    </row>
    <row r="214" spans="1:3">
      <c r="A214" s="75" t="s">
        <v>1553</v>
      </c>
      <c r="B214" s="117" t="s">
        <v>597</v>
      </c>
      <c r="C214" s="404">
        <v>60</v>
      </c>
    </row>
    <row r="215" spans="1:3">
      <c r="A215" s="391" t="s">
        <v>598</v>
      </c>
      <c r="B215" s="404" t="s">
        <v>601</v>
      </c>
      <c r="C215" s="404">
        <v>120</v>
      </c>
    </row>
    <row r="216" spans="1:3">
      <c r="A216" s="391" t="s">
        <v>676</v>
      </c>
      <c r="B216" s="404" t="s">
        <v>599</v>
      </c>
      <c r="C216" s="404">
        <v>120</v>
      </c>
    </row>
    <row r="217" spans="1:3">
      <c r="A217" s="391" t="s">
        <v>759</v>
      </c>
      <c r="B217" s="404" t="s">
        <v>686</v>
      </c>
      <c r="C217" s="404">
        <v>120</v>
      </c>
    </row>
    <row r="218" spans="1:3">
      <c r="A218" s="391" t="s">
        <v>645</v>
      </c>
      <c r="B218" s="404" t="s">
        <v>764</v>
      </c>
      <c r="C218" s="404">
        <v>120</v>
      </c>
    </row>
    <row r="219" spans="1:3">
      <c r="A219" s="391" t="s">
        <v>1280</v>
      </c>
      <c r="B219" s="404" t="s">
        <v>646</v>
      </c>
      <c r="C219" s="404">
        <v>120</v>
      </c>
    </row>
    <row r="220" spans="1:3">
      <c r="A220" s="391" t="s">
        <v>1498</v>
      </c>
      <c r="B220" s="117" t="s">
        <v>1499</v>
      </c>
      <c r="C220" s="404">
        <v>120</v>
      </c>
    </row>
    <row r="221" spans="1:3">
      <c r="A221" s="391" t="s">
        <v>1526</v>
      </c>
      <c r="B221" s="404" t="s">
        <v>546</v>
      </c>
      <c r="C221" s="404">
        <v>120</v>
      </c>
    </row>
    <row r="222" spans="1:3">
      <c r="A222" s="391" t="s">
        <v>1500</v>
      </c>
      <c r="B222" s="404" t="s">
        <v>1501</v>
      </c>
      <c r="C222" s="404">
        <v>120</v>
      </c>
    </row>
    <row r="223" spans="1:3">
      <c r="A223" s="391" t="s">
        <v>1211</v>
      </c>
      <c r="B223" s="404" t="s">
        <v>994</v>
      </c>
      <c r="C223" s="404">
        <v>120</v>
      </c>
    </row>
    <row r="224" spans="1:3">
      <c r="A224" s="391" t="s">
        <v>616</v>
      </c>
      <c r="B224" s="404" t="s">
        <v>574</v>
      </c>
      <c r="C224" s="404">
        <v>120</v>
      </c>
    </row>
    <row r="225" spans="1:3">
      <c r="A225" s="391" t="s">
        <v>612</v>
      </c>
      <c r="B225" s="404" t="s">
        <v>617</v>
      </c>
      <c r="C225" s="404">
        <v>120</v>
      </c>
    </row>
    <row r="226" spans="1:3">
      <c r="A226" s="391" t="s">
        <v>610</v>
      </c>
      <c r="B226" s="404" t="s">
        <v>431</v>
      </c>
      <c r="C226" s="404">
        <v>120</v>
      </c>
    </row>
    <row r="227" spans="1:3">
      <c r="A227" s="391" t="s">
        <v>604</v>
      </c>
      <c r="B227" s="404" t="s">
        <v>611</v>
      </c>
      <c r="C227" s="404">
        <v>120</v>
      </c>
    </row>
    <row r="228" spans="1:3">
      <c r="A228" s="391" t="s">
        <v>602</v>
      </c>
      <c r="B228" s="404" t="s">
        <v>605</v>
      </c>
      <c r="C228" s="404">
        <v>120</v>
      </c>
    </row>
    <row r="229" spans="1:3">
      <c r="A229" s="75" t="s">
        <v>555</v>
      </c>
      <c r="B229" s="404" t="s">
        <v>603</v>
      </c>
      <c r="C229" s="404">
        <v>120</v>
      </c>
    </row>
    <row r="230" spans="1:3">
      <c r="A230" s="391" t="s">
        <v>559</v>
      </c>
      <c r="B230" s="404" t="s">
        <v>556</v>
      </c>
      <c r="C230" s="404">
        <v>120</v>
      </c>
    </row>
    <row r="231" spans="1:3">
      <c r="A231" s="391" t="s">
        <v>657</v>
      </c>
      <c r="B231" s="404" t="s">
        <v>560</v>
      </c>
      <c r="C231" s="404">
        <v>120</v>
      </c>
    </row>
    <row r="232" spans="1:3">
      <c r="A232" s="75" t="s">
        <v>750</v>
      </c>
      <c r="B232" s="404" t="s">
        <v>658</v>
      </c>
      <c r="C232" s="404">
        <v>120</v>
      </c>
    </row>
    <row r="233" spans="1:3">
      <c r="A233" s="391" t="s">
        <v>558</v>
      </c>
      <c r="B233" s="404" t="s">
        <v>751</v>
      </c>
      <c r="C233" s="404">
        <v>120</v>
      </c>
    </row>
    <row r="234" spans="1:3">
      <c r="A234" s="391" t="s">
        <v>549</v>
      </c>
      <c r="B234" s="404" t="s">
        <v>561</v>
      </c>
      <c r="C234" s="404">
        <v>120</v>
      </c>
    </row>
    <row r="235" spans="1:3">
      <c r="A235" s="391" t="s">
        <v>545</v>
      </c>
      <c r="B235" s="404" t="s">
        <v>550</v>
      </c>
      <c r="C235" s="404">
        <v>120</v>
      </c>
    </row>
    <row r="236" spans="1:3">
      <c r="A236" s="391" t="s">
        <v>528</v>
      </c>
      <c r="B236" s="404" t="s">
        <v>546</v>
      </c>
      <c r="C236" s="404">
        <v>120</v>
      </c>
    </row>
    <row r="237" spans="1:3">
      <c r="A237" s="391" t="s">
        <v>531</v>
      </c>
      <c r="B237" s="404" t="s">
        <v>529</v>
      </c>
      <c r="C237" s="404">
        <v>120</v>
      </c>
    </row>
    <row r="238" spans="1:3">
      <c r="A238" s="391" t="s">
        <v>539</v>
      </c>
      <c r="B238" s="407" t="s">
        <v>532</v>
      </c>
      <c r="C238" s="404">
        <v>120</v>
      </c>
    </row>
    <row r="239" spans="1:3">
      <c r="A239" s="391" t="s">
        <v>573</v>
      </c>
      <c r="B239" s="404" t="s">
        <v>540</v>
      </c>
      <c r="C239" s="404">
        <v>120</v>
      </c>
    </row>
    <row r="240" spans="1:3">
      <c r="A240" s="391" t="s">
        <v>665</v>
      </c>
      <c r="B240" s="404" t="s">
        <v>574</v>
      </c>
      <c r="C240" s="404">
        <v>120</v>
      </c>
    </row>
    <row r="241" spans="1:3">
      <c r="A241" s="391" t="s">
        <v>1473</v>
      </c>
      <c r="B241" s="404" t="s">
        <v>1474</v>
      </c>
      <c r="C241" s="404">
        <v>120</v>
      </c>
    </row>
    <row r="242" spans="1:3">
      <c r="A242" s="391" t="s">
        <v>1241</v>
      </c>
      <c r="B242" s="117" t="s">
        <v>667</v>
      </c>
      <c r="C242" s="404">
        <v>120</v>
      </c>
    </row>
    <row r="243" spans="1:3">
      <c r="A243" s="75" t="s">
        <v>1272</v>
      </c>
      <c r="B243" s="404" t="s">
        <v>1242</v>
      </c>
      <c r="C243" s="404">
        <v>120</v>
      </c>
    </row>
    <row r="244" spans="1:3">
      <c r="A244" s="391" t="s">
        <v>1243</v>
      </c>
      <c r="B244" s="404" t="s">
        <v>1273</v>
      </c>
      <c r="C244" s="404">
        <v>120</v>
      </c>
    </row>
    <row r="245" spans="1:3">
      <c r="A245" s="391" t="s">
        <v>1337</v>
      </c>
      <c r="B245" s="404" t="s">
        <v>1244</v>
      </c>
      <c r="C245" s="404">
        <v>120</v>
      </c>
    </row>
    <row r="246" spans="1:3">
      <c r="A246" s="391" t="s">
        <v>823</v>
      </c>
      <c r="B246" s="404" t="s">
        <v>1338</v>
      </c>
      <c r="C246" s="404">
        <v>120</v>
      </c>
    </row>
    <row r="247" spans="1:3">
      <c r="A247" s="391" t="s">
        <v>1495</v>
      </c>
      <c r="B247" s="404" t="s">
        <v>1494</v>
      </c>
      <c r="C247" s="404">
        <v>25</v>
      </c>
    </row>
    <row r="248" spans="1:3">
      <c r="A248" s="391" t="s">
        <v>1510</v>
      </c>
      <c r="B248" s="117" t="s">
        <v>1511</v>
      </c>
      <c r="C248" s="404">
        <v>30</v>
      </c>
    </row>
    <row r="249" spans="1:3">
      <c r="A249" s="75" t="s">
        <v>1191</v>
      </c>
      <c r="B249" s="404" t="s">
        <v>824</v>
      </c>
      <c r="C249" s="404">
        <v>30</v>
      </c>
    </row>
    <row r="250" spans="1:3">
      <c r="A250" s="75" t="s">
        <v>722</v>
      </c>
      <c r="B250" s="408" t="s">
        <v>640</v>
      </c>
      <c r="C250" s="404">
        <v>120</v>
      </c>
    </row>
    <row r="251" spans="1:3">
      <c r="A251" s="391" t="s">
        <v>591</v>
      </c>
      <c r="B251" s="404" t="s">
        <v>723</v>
      </c>
      <c r="C251" s="404">
        <v>120</v>
      </c>
    </row>
    <row r="252" spans="1:3">
      <c r="A252" s="391" t="s">
        <v>648</v>
      </c>
      <c r="B252" s="404" t="s">
        <v>592</v>
      </c>
      <c r="C252" s="404">
        <v>120</v>
      </c>
    </row>
    <row r="253" spans="1:3">
      <c r="A253" s="391" t="s">
        <v>798</v>
      </c>
      <c r="B253" s="408" t="s">
        <v>647</v>
      </c>
      <c r="C253" s="404">
        <v>120</v>
      </c>
    </row>
    <row r="254" spans="1:3">
      <c r="A254" s="391" t="s">
        <v>668</v>
      </c>
      <c r="B254" s="404" t="s">
        <v>530</v>
      </c>
      <c r="C254" s="404">
        <v>120</v>
      </c>
    </row>
    <row r="255" spans="1:3">
      <c r="A255" s="391" t="s">
        <v>450</v>
      </c>
      <c r="B255" s="404" t="s">
        <v>670</v>
      </c>
      <c r="C255" s="404">
        <v>120</v>
      </c>
    </row>
    <row r="256" spans="1:3">
      <c r="A256" s="391" t="s">
        <v>719</v>
      </c>
      <c r="B256" s="404" t="s">
        <v>451</v>
      </c>
      <c r="C256" s="404">
        <v>90</v>
      </c>
    </row>
    <row r="257" spans="1:3">
      <c r="A257" s="391" t="s">
        <v>1425</v>
      </c>
      <c r="B257" s="404" t="s">
        <v>1426</v>
      </c>
      <c r="C257" s="404">
        <v>90</v>
      </c>
    </row>
    <row r="258" spans="1:3">
      <c r="A258" s="391" t="s">
        <v>1363</v>
      </c>
      <c r="B258" s="404" t="s">
        <v>445</v>
      </c>
      <c r="C258" s="404">
        <v>90</v>
      </c>
    </row>
    <row r="259" spans="1:3">
      <c r="A259" s="391" t="s">
        <v>1170</v>
      </c>
      <c r="B259" s="404" t="s">
        <v>1364</v>
      </c>
      <c r="C259" s="404">
        <v>90</v>
      </c>
    </row>
    <row r="260" spans="1:3">
      <c r="A260" s="391" t="s">
        <v>547</v>
      </c>
      <c r="B260" s="404" t="s">
        <v>448</v>
      </c>
      <c r="C260" s="404">
        <v>90</v>
      </c>
    </row>
    <row r="261" spans="1:3">
      <c r="A261" s="391" t="s">
        <v>442</v>
      </c>
      <c r="B261" s="404" t="s">
        <v>548</v>
      </c>
      <c r="C261" s="404">
        <v>120</v>
      </c>
    </row>
    <row r="262" spans="1:3">
      <c r="A262" s="391" t="s">
        <v>515</v>
      </c>
      <c r="B262" s="404" t="s">
        <v>443</v>
      </c>
      <c r="C262" s="404">
        <v>90</v>
      </c>
    </row>
    <row r="263" spans="1:3">
      <c r="A263" s="391" t="s">
        <v>513</v>
      </c>
      <c r="B263" s="404" t="s">
        <v>516</v>
      </c>
    </row>
    <row r="264" spans="1:3">
      <c r="A264" s="391" t="s">
        <v>522</v>
      </c>
      <c r="B264" s="404" t="s">
        <v>514</v>
      </c>
    </row>
    <row r="265" spans="1:3">
      <c r="A265" s="391" t="s">
        <v>711</v>
      </c>
      <c r="B265" s="404" t="s">
        <v>523</v>
      </c>
      <c r="C265" s="404">
        <v>120</v>
      </c>
    </row>
    <row r="266" spans="1:3">
      <c r="A266" s="391" t="s">
        <v>816</v>
      </c>
      <c r="B266" s="404" t="s">
        <v>712</v>
      </c>
    </row>
    <row r="267" spans="1:3">
      <c r="A267" s="391" t="s">
        <v>816</v>
      </c>
      <c r="B267" s="404" t="s">
        <v>817</v>
      </c>
      <c r="C267" s="404">
        <v>100</v>
      </c>
    </row>
    <row r="268" spans="1:3">
      <c r="A268" s="391" t="s">
        <v>1417</v>
      </c>
      <c r="B268" s="404" t="s">
        <v>809</v>
      </c>
      <c r="C268" s="404">
        <v>90</v>
      </c>
    </row>
    <row r="269" spans="1:3">
      <c r="A269" s="391" t="s">
        <v>1168</v>
      </c>
    </row>
    <row r="270" spans="1:3">
      <c r="A270" s="391" t="s">
        <v>444</v>
      </c>
      <c r="B270" s="404" t="s">
        <v>809</v>
      </c>
    </row>
    <row r="271" spans="1:3">
      <c r="A271" s="391" t="s">
        <v>636</v>
      </c>
      <c r="B271" s="404" t="s">
        <v>445</v>
      </c>
    </row>
    <row r="272" spans="1:3">
      <c r="A272" s="391" t="s">
        <v>1251</v>
      </c>
      <c r="B272" s="404" t="s">
        <v>637</v>
      </c>
    </row>
    <row r="273" spans="1:3">
      <c r="A273" s="391" t="s">
        <v>672</v>
      </c>
      <c r="B273" s="404" t="s">
        <v>1252</v>
      </c>
      <c r="C273" s="404">
        <v>120</v>
      </c>
    </row>
    <row r="274" spans="1:3">
      <c r="A274" s="391" t="s">
        <v>1385</v>
      </c>
      <c r="B274" s="404" t="s">
        <v>673</v>
      </c>
    </row>
    <row r="275" spans="1:3">
      <c r="A275" s="391" t="s">
        <v>189</v>
      </c>
      <c r="B275" s="404">
        <v>90162000</v>
      </c>
      <c r="C275" s="404">
        <v>90</v>
      </c>
    </row>
    <row r="276" spans="1:3">
      <c r="A276" s="391" t="s">
        <v>725</v>
      </c>
      <c r="B276" s="404" t="s">
        <v>182</v>
      </c>
    </row>
    <row r="277" spans="1:3">
      <c r="A277" s="391" t="s">
        <v>1423</v>
      </c>
      <c r="B277" s="404" t="s">
        <v>1424</v>
      </c>
      <c r="C277" s="404">
        <v>120</v>
      </c>
    </row>
    <row r="278" spans="1:3">
      <c r="A278" s="391" t="s">
        <v>1209</v>
      </c>
      <c r="B278" s="404" t="s">
        <v>726</v>
      </c>
    </row>
    <row r="279" spans="1:3">
      <c r="A279" s="391" t="s">
        <v>1508</v>
      </c>
      <c r="B279" s="117" t="s">
        <v>1509</v>
      </c>
      <c r="C279" s="404">
        <v>120</v>
      </c>
    </row>
    <row r="280" spans="1:3">
      <c r="A280" s="391" t="s">
        <v>1270</v>
      </c>
      <c r="B280" s="404" t="s">
        <v>1210</v>
      </c>
      <c r="C280" s="404">
        <v>120</v>
      </c>
    </row>
    <row r="281" spans="1:3">
      <c r="A281" s="391" t="s">
        <v>1206</v>
      </c>
      <c r="B281" s="404" t="s">
        <v>1271</v>
      </c>
      <c r="C281" s="404">
        <v>120</v>
      </c>
    </row>
    <row r="282" spans="1:3">
      <c r="A282" s="391" t="s">
        <v>1559</v>
      </c>
      <c r="B282" s="404" t="s">
        <v>1560</v>
      </c>
      <c r="C282" s="404">
        <v>120</v>
      </c>
    </row>
    <row r="283" spans="1:3">
      <c r="A283" s="391" t="s">
        <v>1561</v>
      </c>
      <c r="B283" s="404" t="s">
        <v>1562</v>
      </c>
      <c r="C283" s="404">
        <v>120</v>
      </c>
    </row>
    <row r="284" spans="1:3">
      <c r="A284" s="391" t="s">
        <v>800</v>
      </c>
      <c r="B284" s="404" t="s">
        <v>1207</v>
      </c>
      <c r="C284" s="404">
        <v>90</v>
      </c>
    </row>
    <row r="285" spans="1:3">
      <c r="A285" s="391" t="s">
        <v>799</v>
      </c>
      <c r="B285" s="404" t="s">
        <v>801</v>
      </c>
    </row>
    <row r="286" spans="1:3">
      <c r="A286" s="391" t="s">
        <v>746</v>
      </c>
      <c r="B286" s="404" t="s">
        <v>802</v>
      </c>
    </row>
    <row r="287" spans="1:3">
      <c r="A287" s="391" t="s">
        <v>1448</v>
      </c>
      <c r="B287" s="404" t="s">
        <v>1449</v>
      </c>
      <c r="C287" s="404">
        <v>120</v>
      </c>
    </row>
    <row r="288" spans="1:3">
      <c r="A288" s="391" t="s">
        <v>494</v>
      </c>
      <c r="B288" s="404" t="s">
        <v>747</v>
      </c>
      <c r="C288" s="404">
        <v>90</v>
      </c>
    </row>
    <row r="289" spans="1:3">
      <c r="A289" s="391" t="s">
        <v>535</v>
      </c>
      <c r="B289" s="404" t="s">
        <v>495</v>
      </c>
    </row>
    <row r="290" spans="1:3">
      <c r="A290" s="391" t="s">
        <v>393</v>
      </c>
      <c r="B290" s="404" t="s">
        <v>536</v>
      </c>
    </row>
    <row r="291" spans="1:3">
      <c r="A291" s="391" t="s">
        <v>198</v>
      </c>
      <c r="B291" s="404" t="s">
        <v>123</v>
      </c>
    </row>
    <row r="292" spans="1:3">
      <c r="A292" s="391" t="s">
        <v>137</v>
      </c>
    </row>
    <row r="293" spans="1:3">
      <c r="A293" s="391" t="s">
        <v>136</v>
      </c>
      <c r="B293" s="404">
        <v>90162700</v>
      </c>
    </row>
    <row r="294" spans="1:3">
      <c r="A294" s="391" t="s">
        <v>139</v>
      </c>
      <c r="B294" s="404" t="s">
        <v>123</v>
      </c>
    </row>
    <row r="295" spans="1:3">
      <c r="A295" s="391" t="s">
        <v>106</v>
      </c>
    </row>
    <row r="296" spans="1:3">
      <c r="A296" s="391" t="s">
        <v>25</v>
      </c>
      <c r="B296" s="404">
        <v>30273</v>
      </c>
    </row>
    <row r="297" spans="1:3">
      <c r="A297" s="391" t="s">
        <v>473</v>
      </c>
      <c r="B297" s="404" t="s">
        <v>24</v>
      </c>
    </row>
    <row r="298" spans="1:3">
      <c r="A298" s="391" t="s">
        <v>1434</v>
      </c>
      <c r="B298" s="404" t="s">
        <v>1435</v>
      </c>
      <c r="C298" s="404">
        <v>400</v>
      </c>
    </row>
    <row r="299" spans="1:3">
      <c r="A299" s="391" t="s">
        <v>81</v>
      </c>
      <c r="B299" s="404" t="s">
        <v>24</v>
      </c>
    </row>
    <row r="300" spans="1:3">
      <c r="A300" s="391" t="s">
        <v>677</v>
      </c>
      <c r="B300" s="404" t="s">
        <v>123</v>
      </c>
    </row>
    <row r="301" spans="1:3">
      <c r="A301" s="391" t="s">
        <v>264</v>
      </c>
      <c r="B301" s="404">
        <v>5016</v>
      </c>
      <c r="C301" s="404">
        <v>120</v>
      </c>
    </row>
    <row r="302" spans="1:3">
      <c r="A302" s="391" t="s">
        <v>1255</v>
      </c>
      <c r="B302" s="404" t="s">
        <v>1256</v>
      </c>
      <c r="C302" s="404">
        <v>30</v>
      </c>
    </row>
    <row r="303" spans="1:3">
      <c r="A303" s="391" t="s">
        <v>1263</v>
      </c>
      <c r="B303" s="404" t="s">
        <v>1541</v>
      </c>
    </row>
    <row r="304" spans="1:3">
      <c r="A304" s="391" t="s">
        <v>148</v>
      </c>
      <c r="B304" s="404" t="s">
        <v>1264</v>
      </c>
      <c r="C304" s="404">
        <v>120</v>
      </c>
    </row>
    <row r="305" spans="1:3">
      <c r="A305" s="391" t="s">
        <v>307</v>
      </c>
      <c r="B305" s="404" t="s">
        <v>149</v>
      </c>
    </row>
    <row r="306" spans="1:3">
      <c r="A306" s="409" t="s">
        <v>322</v>
      </c>
      <c r="B306" s="404" t="s">
        <v>130</v>
      </c>
    </row>
    <row r="307" spans="1:3" ht="16.5" customHeight="1">
      <c r="A307" s="391" t="s">
        <v>219</v>
      </c>
      <c r="B307" s="410" t="s">
        <v>321</v>
      </c>
    </row>
    <row r="308" spans="1:3">
      <c r="A308" s="391" t="s">
        <v>484</v>
      </c>
      <c r="B308" s="404" t="s">
        <v>483</v>
      </c>
    </row>
    <row r="309" spans="1:3">
      <c r="A309" s="391" t="s">
        <v>1329</v>
      </c>
      <c r="B309" s="404" t="s">
        <v>1330</v>
      </c>
    </row>
    <row r="310" spans="1:3">
      <c r="A310" s="391" t="s">
        <v>105</v>
      </c>
      <c r="B310" s="404" t="s">
        <v>125</v>
      </c>
      <c r="C310" s="404">
        <v>50</v>
      </c>
    </row>
    <row r="311" spans="1:3">
      <c r="A311" s="391" t="s">
        <v>1369</v>
      </c>
      <c r="B311" s="404" t="s">
        <v>1370</v>
      </c>
      <c r="C311" s="404">
        <v>25</v>
      </c>
    </row>
    <row r="312" spans="1:3">
      <c r="A312" s="391" t="s">
        <v>353</v>
      </c>
      <c r="B312" s="404" t="s">
        <v>354</v>
      </c>
      <c r="C312" s="404">
        <v>25</v>
      </c>
    </row>
    <row r="313" spans="1:3">
      <c r="A313" s="391" t="s">
        <v>569</v>
      </c>
      <c r="B313" s="404" t="s">
        <v>572</v>
      </c>
    </row>
    <row r="314" spans="1:3">
      <c r="A314" s="391" t="s">
        <v>1392</v>
      </c>
      <c r="B314" s="404" t="s">
        <v>1393</v>
      </c>
    </row>
    <row r="315" spans="1:3">
      <c r="A315" s="391" t="s">
        <v>621</v>
      </c>
      <c r="B315" s="404" t="s">
        <v>629</v>
      </c>
      <c r="C315" s="404">
        <v>90</v>
      </c>
    </row>
    <row r="316" spans="1:3">
      <c r="A316" s="391" t="s">
        <v>1563</v>
      </c>
      <c r="B316" s="404" t="s">
        <v>1564</v>
      </c>
      <c r="C316" s="404">
        <v>60</v>
      </c>
    </row>
    <row r="317" spans="1:3">
      <c r="A317" s="391" t="s">
        <v>1532</v>
      </c>
      <c r="B317" s="117" t="s">
        <v>1533</v>
      </c>
      <c r="C317" s="404">
        <v>60</v>
      </c>
    </row>
    <row r="318" spans="1:3">
      <c r="A318" s="391" t="s">
        <v>1475</v>
      </c>
      <c r="B318" s="404" t="s">
        <v>1476</v>
      </c>
      <c r="C318" s="404">
        <v>60</v>
      </c>
    </row>
    <row r="319" spans="1:3">
      <c r="A319" s="391" t="s">
        <v>1446</v>
      </c>
      <c r="B319" s="404" t="s">
        <v>1447</v>
      </c>
      <c r="C319" s="404">
        <v>60</v>
      </c>
    </row>
    <row r="320" spans="1:3">
      <c r="A320" s="391" t="s">
        <v>491</v>
      </c>
      <c r="B320" s="404" t="s">
        <v>492</v>
      </c>
    </row>
    <row r="321" spans="1:3">
      <c r="A321" s="391" t="s">
        <v>1237</v>
      </c>
      <c r="B321" s="404" t="s">
        <v>1238</v>
      </c>
    </row>
    <row r="322" spans="1:3">
      <c r="A322" s="391" t="s">
        <v>343</v>
      </c>
      <c r="B322" s="404" t="s">
        <v>69</v>
      </c>
    </row>
    <row r="323" spans="1:3">
      <c r="A323" s="391" t="s">
        <v>1308</v>
      </c>
      <c r="B323" s="404" t="s">
        <v>925</v>
      </c>
      <c r="C323" s="404">
        <v>120</v>
      </c>
    </row>
    <row r="324" spans="1:3">
      <c r="A324" s="391" t="s">
        <v>379</v>
      </c>
      <c r="B324" s="404" t="s">
        <v>374</v>
      </c>
      <c r="C324" s="404">
        <v>120</v>
      </c>
    </row>
    <row r="325" spans="1:3">
      <c r="A325" s="75" t="s">
        <v>373</v>
      </c>
      <c r="B325" s="404" t="s">
        <v>374</v>
      </c>
      <c r="C325" s="404">
        <v>120</v>
      </c>
    </row>
    <row r="326" spans="1:3">
      <c r="A326" s="391" t="s">
        <v>87</v>
      </c>
      <c r="B326" s="404" t="s">
        <v>88</v>
      </c>
    </row>
    <row r="327" spans="1:3">
      <c r="A327" s="391" t="s">
        <v>1365</v>
      </c>
      <c r="B327" s="404" t="s">
        <v>1366</v>
      </c>
      <c r="C327" s="404">
        <v>120</v>
      </c>
    </row>
    <row r="328" spans="1:3">
      <c r="A328" s="391" t="s">
        <v>814</v>
      </c>
      <c r="B328" s="404" t="s">
        <v>815</v>
      </c>
      <c r="C328" s="404">
        <v>120</v>
      </c>
    </row>
    <row r="329" spans="1:3">
      <c r="A329" s="391" t="s">
        <v>474</v>
      </c>
      <c r="B329" s="404">
        <v>511040</v>
      </c>
      <c r="C329" s="404">
        <v>100</v>
      </c>
    </row>
    <row r="330" spans="1:3">
      <c r="A330" s="75" t="s">
        <v>1570</v>
      </c>
      <c r="B330" s="404">
        <v>510087</v>
      </c>
      <c r="C330" s="404">
        <v>70</v>
      </c>
    </row>
    <row r="331" spans="1:3">
      <c r="A331" s="391" t="s">
        <v>338</v>
      </c>
      <c r="B331" s="404">
        <v>510081</v>
      </c>
      <c r="C331" s="404">
        <v>70</v>
      </c>
    </row>
    <row r="332" spans="1:3" s="76" customFormat="1">
      <c r="A332" s="391" t="s">
        <v>1298</v>
      </c>
      <c r="B332" s="404">
        <v>651525</v>
      </c>
      <c r="C332" s="404">
        <v>70</v>
      </c>
    </row>
    <row r="333" spans="1:3">
      <c r="A333" s="391" t="s">
        <v>615</v>
      </c>
      <c r="B333" s="404">
        <v>651525</v>
      </c>
      <c r="C333" s="404">
        <v>90</v>
      </c>
    </row>
    <row r="334" spans="1:3">
      <c r="A334" s="391" t="s">
        <v>508</v>
      </c>
      <c r="B334" s="404" t="s">
        <v>509</v>
      </c>
    </row>
    <row r="335" spans="1:3">
      <c r="A335" s="391" t="s">
        <v>1542</v>
      </c>
      <c r="B335" s="404" t="s">
        <v>982</v>
      </c>
      <c r="C335" s="404">
        <v>60</v>
      </c>
    </row>
    <row r="336" spans="1:3">
      <c r="A336" s="391" t="s">
        <v>110</v>
      </c>
      <c r="B336" s="404" t="s">
        <v>129</v>
      </c>
    </row>
    <row r="337" spans="1:3">
      <c r="A337" s="391" t="s">
        <v>99</v>
      </c>
      <c r="B337" s="404" t="s">
        <v>127</v>
      </c>
    </row>
    <row r="338" spans="1:3">
      <c r="A338" s="391" t="s">
        <v>111</v>
      </c>
      <c r="B338" s="404">
        <v>2100289</v>
      </c>
    </row>
    <row r="339" spans="1:3">
      <c r="A339" s="391" t="s">
        <v>1208</v>
      </c>
      <c r="B339" s="404">
        <v>940108001</v>
      </c>
    </row>
    <row r="340" spans="1:3" ht="30">
      <c r="A340" s="400" t="s">
        <v>1315</v>
      </c>
      <c r="B340" s="404" t="s">
        <v>1316</v>
      </c>
      <c r="C340" s="404">
        <v>90</v>
      </c>
    </row>
    <row r="341" spans="1:3">
      <c r="A341" s="391" t="s">
        <v>1343</v>
      </c>
      <c r="B341" s="404" t="s">
        <v>1344</v>
      </c>
      <c r="C341" s="404">
        <v>120</v>
      </c>
    </row>
    <row r="342" spans="1:3">
      <c r="A342" s="391" t="s">
        <v>1440</v>
      </c>
      <c r="B342" s="117" t="s">
        <v>1441</v>
      </c>
      <c r="C342" s="404">
        <v>25</v>
      </c>
    </row>
    <row r="343" spans="1:3">
      <c r="A343" s="391" t="s">
        <v>1397</v>
      </c>
      <c r="B343" s="404" t="s">
        <v>1398</v>
      </c>
      <c r="C343" s="404">
        <v>15</v>
      </c>
    </row>
    <row r="344" spans="1:3">
      <c r="A344" s="391" t="s">
        <v>620</v>
      </c>
      <c r="B344" s="404" t="s">
        <v>123</v>
      </c>
      <c r="C344" s="404">
        <v>15</v>
      </c>
    </row>
    <row r="345" spans="1:3">
      <c r="A345" s="391" t="s">
        <v>183</v>
      </c>
      <c r="B345" s="404" t="s">
        <v>184</v>
      </c>
    </row>
    <row r="346" spans="1:3">
      <c r="A346" s="391" t="s">
        <v>93</v>
      </c>
      <c r="B346" s="404" t="s">
        <v>131</v>
      </c>
    </row>
    <row r="347" spans="1:3">
      <c r="A347" s="391" t="s">
        <v>153</v>
      </c>
      <c r="B347" s="406" t="s">
        <v>153</v>
      </c>
    </row>
    <row r="348" spans="1:3">
      <c r="A348" s="391" t="s">
        <v>216</v>
      </c>
      <c r="B348" s="404" t="s">
        <v>217</v>
      </c>
    </row>
    <row r="349" spans="1:3">
      <c r="A349" s="391" t="s">
        <v>221</v>
      </c>
      <c r="B349" s="404" t="s">
        <v>220</v>
      </c>
    </row>
    <row r="350" spans="1:3">
      <c r="A350" s="391" t="s">
        <v>408</v>
      </c>
      <c r="B350" s="404" t="s">
        <v>403</v>
      </c>
      <c r="C350" s="404">
        <v>200</v>
      </c>
    </row>
    <row r="351" spans="1:3">
      <c r="A351" s="391" t="s">
        <v>311</v>
      </c>
      <c r="B351" s="404" t="s">
        <v>310</v>
      </c>
      <c r="C351" s="404">
        <v>350</v>
      </c>
    </row>
    <row r="352" spans="1:3">
      <c r="A352" s="391" t="s">
        <v>437</v>
      </c>
      <c r="B352" s="404" t="s">
        <v>438</v>
      </c>
    </row>
    <row r="353" spans="1:3">
      <c r="A353" s="391" t="s">
        <v>1380</v>
      </c>
      <c r="B353" s="404" t="s">
        <v>1382</v>
      </c>
      <c r="C353" s="404">
        <v>45</v>
      </c>
    </row>
    <row r="354" spans="1:3">
      <c r="A354" s="391" t="s">
        <v>1381</v>
      </c>
      <c r="B354" s="404" t="s">
        <v>1382</v>
      </c>
      <c r="C354" s="404">
        <v>30</v>
      </c>
    </row>
    <row r="355" spans="1:3">
      <c r="A355" s="391" t="s">
        <v>1517</v>
      </c>
      <c r="B355" s="117" t="s">
        <v>272</v>
      </c>
      <c r="C355" s="404">
        <v>120</v>
      </c>
    </row>
    <row r="356" spans="1:3">
      <c r="A356" s="391" t="s">
        <v>627</v>
      </c>
      <c r="B356" s="404" t="s">
        <v>628</v>
      </c>
    </row>
    <row r="357" spans="1:3">
      <c r="A357" s="391" t="s">
        <v>1219</v>
      </c>
      <c r="B357" s="404" t="s">
        <v>1220</v>
      </c>
      <c r="C357" s="404">
        <v>90</v>
      </c>
    </row>
    <row r="358" spans="1:3">
      <c r="A358" s="391" t="s">
        <v>632</v>
      </c>
      <c r="B358" s="404" t="s">
        <v>631</v>
      </c>
    </row>
    <row r="359" spans="1:3">
      <c r="A359" s="391" t="s">
        <v>1287</v>
      </c>
      <c r="B359" s="404" t="s">
        <v>1288</v>
      </c>
    </row>
    <row r="360" spans="1:3">
      <c r="A360" s="391" t="s">
        <v>227</v>
      </c>
      <c r="B360" s="404">
        <v>215215011</v>
      </c>
      <c r="C360" s="404">
        <v>100</v>
      </c>
    </row>
    <row r="361" spans="1:3">
      <c r="A361" s="391" t="s">
        <v>104</v>
      </c>
      <c r="B361" s="404" t="s">
        <v>78</v>
      </c>
    </row>
    <row r="362" spans="1:3">
      <c r="A362" s="391" t="s">
        <v>1429</v>
      </c>
      <c r="B362" s="404" t="s">
        <v>1428</v>
      </c>
      <c r="C362" s="404">
        <v>30</v>
      </c>
    </row>
    <row r="363" spans="1:3">
      <c r="A363" s="391" t="s">
        <v>1460</v>
      </c>
      <c r="B363" s="404" t="s">
        <v>1428</v>
      </c>
      <c r="C363" s="404">
        <v>45</v>
      </c>
    </row>
    <row r="364" spans="1:3">
      <c r="A364" s="75" t="s">
        <v>1306</v>
      </c>
      <c r="B364" s="404" t="s">
        <v>1307</v>
      </c>
      <c r="C364" s="404">
        <v>30</v>
      </c>
    </row>
    <row r="365" spans="1:3">
      <c r="A365" s="391" t="s">
        <v>1331</v>
      </c>
      <c r="B365" s="404" t="s">
        <v>1332</v>
      </c>
      <c r="C365" s="404">
        <v>30</v>
      </c>
    </row>
    <row r="366" spans="1:3">
      <c r="A366" s="391" t="s">
        <v>768</v>
      </c>
      <c r="B366" s="404" t="s">
        <v>771</v>
      </c>
      <c r="C366" s="404">
        <v>120</v>
      </c>
    </row>
    <row r="367" spans="1:3">
      <c r="A367" s="391" t="s">
        <v>351</v>
      </c>
      <c r="B367" s="404" t="s">
        <v>352</v>
      </c>
    </row>
    <row r="368" spans="1:3">
      <c r="A368" s="391" t="s">
        <v>1367</v>
      </c>
      <c r="B368" s="404" t="s">
        <v>1368</v>
      </c>
    </row>
    <row r="369" spans="1:4">
      <c r="A369" s="391" t="s">
        <v>625</v>
      </c>
      <c r="B369" s="404" t="s">
        <v>626</v>
      </c>
      <c r="C369" s="404">
        <v>90</v>
      </c>
    </row>
    <row r="370" spans="1:4">
      <c r="A370" s="391" t="s">
        <v>618</v>
      </c>
      <c r="B370" s="404" t="s">
        <v>619</v>
      </c>
      <c r="C370" s="404">
        <v>120</v>
      </c>
    </row>
    <row r="371" spans="1:4">
      <c r="A371" s="75" t="s">
        <v>1253</v>
      </c>
      <c r="B371" s="404" t="s">
        <v>1254</v>
      </c>
      <c r="C371" s="404">
        <v>90</v>
      </c>
    </row>
    <row r="372" spans="1:4">
      <c r="A372" s="391" t="s">
        <v>273</v>
      </c>
      <c r="B372" s="404" t="s">
        <v>123</v>
      </c>
      <c r="C372" s="404">
        <v>90</v>
      </c>
    </row>
    <row r="373" spans="1:4">
      <c r="A373" s="391" t="s">
        <v>370</v>
      </c>
      <c r="B373" s="404" t="s">
        <v>371</v>
      </c>
    </row>
    <row r="374" spans="1:4">
      <c r="A374" s="75" t="s">
        <v>1574</v>
      </c>
      <c r="B374" s="411" t="s">
        <v>1575</v>
      </c>
      <c r="C374" s="404">
        <v>90</v>
      </c>
    </row>
    <row r="375" spans="1:4">
      <c r="A375" s="391" t="s">
        <v>118</v>
      </c>
      <c r="B375" s="404" t="s">
        <v>312</v>
      </c>
      <c r="C375" s="404">
        <v>45</v>
      </c>
    </row>
    <row r="376" spans="1:4">
      <c r="A376" s="391" t="s">
        <v>315</v>
      </c>
      <c r="B376" s="404" t="s">
        <v>316</v>
      </c>
    </row>
    <row r="377" spans="1:4">
      <c r="A377" s="391" t="s">
        <v>319</v>
      </c>
      <c r="B377" s="404" t="s">
        <v>320</v>
      </c>
    </row>
    <row r="378" spans="1:4">
      <c r="A378" s="391" t="s">
        <v>225</v>
      </c>
      <c r="B378" s="404" t="s">
        <v>159</v>
      </c>
    </row>
    <row r="379" spans="1:4">
      <c r="A379" s="391" t="s">
        <v>281</v>
      </c>
      <c r="B379" s="404" t="s">
        <v>284</v>
      </c>
    </row>
    <row r="380" spans="1:4">
      <c r="A380" s="391" t="s">
        <v>346</v>
      </c>
      <c r="B380" s="404" t="s">
        <v>150</v>
      </c>
    </row>
    <row r="381" spans="1:4">
      <c r="A381" s="391" t="s">
        <v>587</v>
      </c>
      <c r="B381" s="404" t="s">
        <v>588</v>
      </c>
    </row>
    <row r="382" spans="1:4">
      <c r="A382" s="391" t="s">
        <v>299</v>
      </c>
      <c r="B382" s="404" t="s">
        <v>300</v>
      </c>
    </row>
    <row r="383" spans="1:4">
      <c r="A383" s="391" t="s">
        <v>146</v>
      </c>
      <c r="B383" s="404" t="s">
        <v>461</v>
      </c>
      <c r="C383" s="404">
        <v>120</v>
      </c>
    </row>
    <row r="384" spans="1:4" ht="15.75" customHeight="1">
      <c r="A384" s="391" t="s">
        <v>1296</v>
      </c>
      <c r="B384" s="404" t="s">
        <v>1297</v>
      </c>
      <c r="D384" t="s">
        <v>1305</v>
      </c>
    </row>
    <row r="385" spans="1:4">
      <c r="A385" s="391" t="s">
        <v>237</v>
      </c>
      <c r="B385" s="404" t="s">
        <v>238</v>
      </c>
      <c r="C385" s="404">
        <v>90</v>
      </c>
    </row>
    <row r="386" spans="1:4">
      <c r="A386" s="391" t="s">
        <v>457</v>
      </c>
      <c r="B386" s="404" t="s">
        <v>458</v>
      </c>
      <c r="C386" s="404">
        <v>80</v>
      </c>
    </row>
    <row r="387" spans="1:4">
      <c r="A387" s="391" t="s">
        <v>1529</v>
      </c>
      <c r="B387" s="117" t="s">
        <v>590</v>
      </c>
      <c r="C387" s="404">
        <v>50</v>
      </c>
    </row>
    <row r="388" spans="1:4">
      <c r="A388" s="391" t="s">
        <v>1407</v>
      </c>
      <c r="B388" s="404" t="s">
        <v>1408</v>
      </c>
      <c r="C388" s="404">
        <v>60</v>
      </c>
    </row>
    <row r="389" spans="1:4">
      <c r="A389" s="391" t="s">
        <v>490</v>
      </c>
      <c r="B389" s="404">
        <v>551275</v>
      </c>
      <c r="C389" s="404">
        <v>60</v>
      </c>
    </row>
    <row r="390" spans="1:4">
      <c r="A390" s="391" t="s">
        <v>622</v>
      </c>
      <c r="B390" s="404">
        <v>551275</v>
      </c>
    </row>
    <row r="391" spans="1:4">
      <c r="A391" s="391" t="s">
        <v>1436</v>
      </c>
      <c r="B391" s="117" t="s">
        <v>1437</v>
      </c>
      <c r="C391" s="404">
        <v>90</v>
      </c>
    </row>
    <row r="392" spans="1:4">
      <c r="A392" s="391" t="s">
        <v>1323</v>
      </c>
      <c r="B392" s="404" t="s">
        <v>1324</v>
      </c>
    </row>
    <row r="393" spans="1:4">
      <c r="A393" s="391" t="s">
        <v>396</v>
      </c>
      <c r="B393" s="404" t="s">
        <v>159</v>
      </c>
      <c r="C393" s="404">
        <v>90</v>
      </c>
    </row>
    <row r="394" spans="1:4">
      <c r="A394" s="391" t="s">
        <v>467</v>
      </c>
      <c r="B394" s="404" t="s">
        <v>468</v>
      </c>
    </row>
    <row r="395" spans="1:4">
      <c r="A395" s="391" t="s">
        <v>192</v>
      </c>
      <c r="B395" s="404" t="s">
        <v>158</v>
      </c>
    </row>
    <row r="396" spans="1:4">
      <c r="A396" s="391" t="s">
        <v>389</v>
      </c>
      <c r="B396" s="404" t="s">
        <v>390</v>
      </c>
    </row>
    <row r="397" spans="1:4">
      <c r="A397" s="391" t="s">
        <v>229</v>
      </c>
      <c r="B397" s="404" t="s">
        <v>228</v>
      </c>
    </row>
    <row r="398" spans="1:4">
      <c r="A398" s="391" t="s">
        <v>193</v>
      </c>
      <c r="B398" s="404" t="s">
        <v>123</v>
      </c>
      <c r="D398" t="s">
        <v>1488</v>
      </c>
    </row>
    <row r="399" spans="1:4">
      <c r="A399" s="391" t="s">
        <v>169</v>
      </c>
      <c r="B399" s="404" t="s">
        <v>159</v>
      </c>
    </row>
    <row r="400" spans="1:4">
      <c r="A400" s="391" t="s">
        <v>172</v>
      </c>
      <c r="B400" s="404" t="s">
        <v>157</v>
      </c>
    </row>
    <row r="401" spans="1:3">
      <c r="A401" s="391" t="s">
        <v>1371</v>
      </c>
      <c r="B401" s="404">
        <v>551435</v>
      </c>
      <c r="C401" s="404">
        <v>120</v>
      </c>
    </row>
    <row r="402" spans="1:3">
      <c r="A402" s="391" t="s">
        <v>1469</v>
      </c>
      <c r="B402" s="404" t="s">
        <v>1470</v>
      </c>
      <c r="C402" s="404">
        <v>80</v>
      </c>
    </row>
    <row r="403" spans="1:3">
      <c r="A403" s="391" t="s">
        <v>243</v>
      </c>
      <c r="B403" s="404" t="s">
        <v>244</v>
      </c>
      <c r="C403" s="404">
        <v>120</v>
      </c>
    </row>
    <row r="404" spans="1:3">
      <c r="A404" s="391" t="s">
        <v>488</v>
      </c>
      <c r="B404" s="404" t="s">
        <v>489</v>
      </c>
    </row>
    <row r="405" spans="1:3">
      <c r="A405" s="75" t="s">
        <v>1572</v>
      </c>
      <c r="B405" s="404" t="s">
        <v>1573</v>
      </c>
      <c r="C405" s="404">
        <v>90</v>
      </c>
    </row>
    <row r="406" spans="1:3">
      <c r="A406" s="391" t="s">
        <v>223</v>
      </c>
      <c r="B406" s="404" t="s">
        <v>222</v>
      </c>
    </row>
    <row r="407" spans="1:3">
      <c r="A407" s="400" t="s">
        <v>1386</v>
      </c>
      <c r="B407" s="404" t="s">
        <v>1387</v>
      </c>
    </row>
    <row r="408" spans="1:3">
      <c r="A408" s="391" t="s">
        <v>429</v>
      </c>
      <c r="B408" s="404" t="s">
        <v>186</v>
      </c>
      <c r="C408" s="404">
        <v>90</v>
      </c>
    </row>
    <row r="409" spans="1:3">
      <c r="A409" s="391" t="s">
        <v>235</v>
      </c>
      <c r="B409" s="404" t="s">
        <v>239</v>
      </c>
    </row>
    <row r="410" spans="1:3">
      <c r="A410" s="391" t="s">
        <v>224</v>
      </c>
      <c r="B410" s="404" t="s">
        <v>123</v>
      </c>
    </row>
    <row r="411" spans="1:3">
      <c r="A411" s="391" t="s">
        <v>575</v>
      </c>
      <c r="B411" s="404" t="s">
        <v>576</v>
      </c>
    </row>
    <row r="412" spans="1:3">
      <c r="A412" s="391" t="s">
        <v>330</v>
      </c>
      <c r="B412" s="404" t="s">
        <v>331</v>
      </c>
    </row>
    <row r="413" spans="1:3">
      <c r="A413" s="75" t="s">
        <v>1540</v>
      </c>
      <c r="B413" s="117" t="s">
        <v>1541</v>
      </c>
      <c r="C413" s="404">
        <v>60</v>
      </c>
    </row>
    <row r="414" spans="1:3">
      <c r="A414" s="391" t="s">
        <v>579</v>
      </c>
      <c r="B414" s="404" t="s">
        <v>582</v>
      </c>
    </row>
    <row r="415" spans="1:3">
      <c r="A415" s="391" t="s">
        <v>82</v>
      </c>
      <c r="B415" s="404" t="s">
        <v>132</v>
      </c>
    </row>
    <row r="416" spans="1:3">
      <c r="A416" s="391" t="s">
        <v>295</v>
      </c>
      <c r="B416" s="404" t="s">
        <v>296</v>
      </c>
    </row>
    <row r="417" spans="1:3">
      <c r="A417" s="391" t="s">
        <v>1377</v>
      </c>
      <c r="B417" s="404" t="s">
        <v>1376</v>
      </c>
    </row>
    <row r="418" spans="1:3">
      <c r="A418" s="391" t="s">
        <v>1245</v>
      </c>
      <c r="B418" s="404" t="s">
        <v>1246</v>
      </c>
      <c r="C418" s="404">
        <v>80</v>
      </c>
    </row>
    <row r="419" spans="1:3">
      <c r="A419" s="391" t="s">
        <v>124</v>
      </c>
      <c r="B419" s="404">
        <v>4571</v>
      </c>
      <c r="C419" s="404">
        <v>60</v>
      </c>
    </row>
    <row r="420" spans="1:3">
      <c r="A420" s="391" t="s">
        <v>115</v>
      </c>
      <c r="B420" s="404">
        <v>200200</v>
      </c>
    </row>
    <row r="421" spans="1:3">
      <c r="A421" s="391" t="s">
        <v>96</v>
      </c>
      <c r="B421" s="404" t="s">
        <v>126</v>
      </c>
      <c r="C421" s="404">
        <v>30</v>
      </c>
    </row>
    <row r="422" spans="1:3">
      <c r="A422" s="391" t="s">
        <v>27</v>
      </c>
      <c r="B422" s="404">
        <v>5402</v>
      </c>
    </row>
    <row r="423" spans="1:3">
      <c r="A423" s="391" t="s">
        <v>334</v>
      </c>
      <c r="B423" s="404">
        <v>4630</v>
      </c>
    </row>
    <row r="424" spans="1:3">
      <c r="A424" s="391" t="s">
        <v>452</v>
      </c>
      <c r="B424" s="404">
        <v>7151</v>
      </c>
    </row>
    <row r="425" spans="1:3">
      <c r="A425" s="75" t="s">
        <v>1551</v>
      </c>
      <c r="B425" s="404">
        <v>480387</v>
      </c>
      <c r="C425" s="404">
        <v>45</v>
      </c>
    </row>
    <row r="426" spans="1:3">
      <c r="A426" s="75" t="s">
        <v>1552</v>
      </c>
      <c r="B426" s="404">
        <v>480387</v>
      </c>
      <c r="C426" s="404">
        <v>25</v>
      </c>
    </row>
    <row r="427" spans="1:3">
      <c r="A427" s="391" t="s">
        <v>1289</v>
      </c>
      <c r="B427" s="404" t="s">
        <v>1290</v>
      </c>
      <c r="C427" s="404">
        <v>75</v>
      </c>
    </row>
    <row r="428" spans="1:3">
      <c r="A428" s="391" t="s">
        <v>510</v>
      </c>
      <c r="B428" s="404" t="s">
        <v>511</v>
      </c>
      <c r="C428" s="404">
        <v>75</v>
      </c>
    </row>
    <row r="429" spans="1:3">
      <c r="A429" s="391" t="s">
        <v>1192</v>
      </c>
      <c r="B429" s="404" t="s">
        <v>1193</v>
      </c>
    </row>
    <row r="430" spans="1:3" s="76" customFormat="1">
      <c r="A430" s="391" t="s">
        <v>1159</v>
      </c>
      <c r="B430" s="404" t="s">
        <v>1160</v>
      </c>
      <c r="C430" s="404"/>
    </row>
    <row r="431" spans="1:3">
      <c r="A431" s="391" t="s">
        <v>1200</v>
      </c>
      <c r="B431" s="404" t="s">
        <v>1201</v>
      </c>
      <c r="C431" s="404">
        <v>120</v>
      </c>
    </row>
    <row r="432" spans="1:3">
      <c r="A432" s="391" t="s">
        <v>1350</v>
      </c>
      <c r="B432" s="404" t="s">
        <v>1185</v>
      </c>
      <c r="C432" s="404">
        <v>45</v>
      </c>
    </row>
    <row r="433" spans="1:3">
      <c r="A433" s="391" t="s">
        <v>821</v>
      </c>
      <c r="B433" s="404" t="s">
        <v>822</v>
      </c>
      <c r="C433" s="404">
        <v>60</v>
      </c>
    </row>
    <row r="434" spans="1:3">
      <c r="A434" s="391" t="s">
        <v>1184</v>
      </c>
      <c r="B434" s="404" t="s">
        <v>1185</v>
      </c>
      <c r="C434" s="404">
        <v>60</v>
      </c>
    </row>
    <row r="435" spans="1:3">
      <c r="A435" s="75" t="s">
        <v>1463</v>
      </c>
      <c r="B435" s="404" t="s">
        <v>1464</v>
      </c>
      <c r="C435" s="404">
        <v>12</v>
      </c>
    </row>
    <row r="436" spans="1:3">
      <c r="A436" s="391" t="s">
        <v>623</v>
      </c>
      <c r="B436" s="404" t="s">
        <v>624</v>
      </c>
      <c r="C436" s="404">
        <v>45</v>
      </c>
    </row>
    <row r="437" spans="1:3">
      <c r="A437" s="391" t="s">
        <v>1161</v>
      </c>
      <c r="B437" s="404">
        <v>5016</v>
      </c>
      <c r="C437" s="404">
        <v>120</v>
      </c>
    </row>
    <row r="438" spans="1:3">
      <c r="A438" s="391" t="s">
        <v>114</v>
      </c>
      <c r="B438" s="404" t="s">
        <v>123</v>
      </c>
      <c r="C438" s="404">
        <v>120</v>
      </c>
    </row>
    <row r="439" spans="1:3">
      <c r="A439" s="391" t="s">
        <v>1390</v>
      </c>
      <c r="B439" s="404" t="s">
        <v>1391</v>
      </c>
    </row>
    <row r="440" spans="1:3">
      <c r="A440" s="391" t="s">
        <v>1388</v>
      </c>
      <c r="B440" s="404" t="s">
        <v>1389</v>
      </c>
      <c r="C440" s="404">
        <v>120</v>
      </c>
    </row>
    <row r="441" spans="1:3">
      <c r="A441" s="391" t="s">
        <v>1259</v>
      </c>
      <c r="B441" s="404" t="s">
        <v>1260</v>
      </c>
      <c r="C441" s="404">
        <v>120</v>
      </c>
    </row>
    <row r="442" spans="1:3">
      <c r="A442" s="391" t="s">
        <v>309</v>
      </c>
      <c r="B442" s="404" t="s">
        <v>308</v>
      </c>
      <c r="C442" s="404">
        <v>30</v>
      </c>
    </row>
    <row r="443" spans="1:3">
      <c r="A443" s="391" t="s">
        <v>156</v>
      </c>
      <c r="B443" s="404" t="s">
        <v>123</v>
      </c>
    </row>
    <row r="444" spans="1:3">
      <c r="A444" s="391" t="s">
        <v>1486</v>
      </c>
      <c r="B444" s="404" t="s">
        <v>1487</v>
      </c>
      <c r="C444" s="404">
        <v>120</v>
      </c>
    </row>
    <row r="445" spans="1:3">
      <c r="A445" s="391" t="s">
        <v>288</v>
      </c>
      <c r="B445" s="404" t="s">
        <v>287</v>
      </c>
    </row>
    <row r="446" spans="1:3">
      <c r="A446" s="391" t="s">
        <v>152</v>
      </c>
      <c r="B446" s="404" t="s">
        <v>123</v>
      </c>
    </row>
    <row r="447" spans="1:3">
      <c r="A447" s="391" t="s">
        <v>151</v>
      </c>
      <c r="B447" s="404" t="s">
        <v>123</v>
      </c>
    </row>
    <row r="448" spans="1:3">
      <c r="A448" s="391" t="s">
        <v>512</v>
      </c>
      <c r="B448" s="404" t="s">
        <v>166</v>
      </c>
    </row>
    <row r="449" spans="1:3">
      <c r="A449" s="391" t="s">
        <v>92</v>
      </c>
      <c r="B449" s="404" t="s">
        <v>123</v>
      </c>
    </row>
    <row r="450" spans="1:3">
      <c r="A450" s="391" t="s">
        <v>95</v>
      </c>
      <c r="B450" s="404" t="s">
        <v>123</v>
      </c>
    </row>
    <row r="451" spans="1:3">
      <c r="A451" s="391" t="s">
        <v>398</v>
      </c>
      <c r="B451" s="404" t="s">
        <v>391</v>
      </c>
    </row>
    <row r="452" spans="1:3">
      <c r="A452" s="391" t="s">
        <v>109</v>
      </c>
      <c r="B452" s="404" t="s">
        <v>123</v>
      </c>
    </row>
    <row r="453" spans="1:3">
      <c r="A453" s="391" t="s">
        <v>202</v>
      </c>
      <c r="B453" s="404" t="s">
        <v>123</v>
      </c>
    </row>
    <row r="454" spans="1:3">
      <c r="A454" s="391" t="s">
        <v>1284</v>
      </c>
      <c r="B454" s="404" t="s">
        <v>336</v>
      </c>
    </row>
    <row r="455" spans="1:3">
      <c r="A455" s="391" t="s">
        <v>335</v>
      </c>
      <c r="B455" s="404" t="s">
        <v>1403</v>
      </c>
      <c r="C455" s="404">
        <v>70</v>
      </c>
    </row>
    <row r="456" spans="1:3">
      <c r="A456" s="391" t="s">
        <v>1176</v>
      </c>
      <c r="C456" s="404">
        <v>70</v>
      </c>
    </row>
    <row r="457" spans="1:3">
      <c r="A457" s="391" t="s">
        <v>161</v>
      </c>
      <c r="B457" s="404" t="s">
        <v>160</v>
      </c>
      <c r="C457" s="404">
        <v>80</v>
      </c>
    </row>
    <row r="458" spans="1:3">
      <c r="A458" s="391" t="s">
        <v>304</v>
      </c>
      <c r="B458" s="404" t="s">
        <v>305</v>
      </c>
    </row>
    <row r="459" spans="1:3">
      <c r="A459" s="391" t="s">
        <v>524</v>
      </c>
      <c r="B459" s="404" t="s">
        <v>525</v>
      </c>
    </row>
    <row r="460" spans="1:3">
      <c r="A460" s="391" t="s">
        <v>80</v>
      </c>
      <c r="B460" s="404" t="s">
        <v>135</v>
      </c>
    </row>
    <row r="461" spans="1:3">
      <c r="A461" s="391" t="s">
        <v>1333</v>
      </c>
      <c r="B461" s="404" t="s">
        <v>1334</v>
      </c>
    </row>
    <row r="462" spans="1:3">
      <c r="A462" s="391" t="s">
        <v>154</v>
      </c>
      <c r="B462" s="404" t="s">
        <v>155</v>
      </c>
      <c r="C462" s="404">
        <v>70</v>
      </c>
    </row>
    <row r="463" spans="1:3">
      <c r="A463" s="391" t="s">
        <v>108</v>
      </c>
      <c r="B463" s="404" t="s">
        <v>123</v>
      </c>
    </row>
    <row r="464" spans="1:3">
      <c r="A464" s="391" t="s">
        <v>145</v>
      </c>
      <c r="B464" s="404" t="s">
        <v>123</v>
      </c>
    </row>
    <row r="465" spans="1:4">
      <c r="A465" s="391" t="s">
        <v>1341</v>
      </c>
      <c r="B465" s="404" t="s">
        <v>1342</v>
      </c>
    </row>
    <row r="466" spans="1:4">
      <c r="A466" s="391" t="s">
        <v>1165</v>
      </c>
      <c r="B466" s="404" t="s">
        <v>1166</v>
      </c>
      <c r="C466" s="404">
        <v>60</v>
      </c>
    </row>
    <row r="467" spans="1:4">
      <c r="A467" s="391" t="s">
        <v>585</v>
      </c>
      <c r="B467" s="404" t="s">
        <v>586</v>
      </c>
      <c r="C467" s="404">
        <v>45</v>
      </c>
    </row>
    <row r="468" spans="1:4">
      <c r="A468" s="391" t="s">
        <v>594</v>
      </c>
      <c r="B468" s="404" t="s">
        <v>595</v>
      </c>
    </row>
    <row r="469" spans="1:4">
      <c r="A469" s="391" t="s">
        <v>1293</v>
      </c>
      <c r="B469" s="404" t="s">
        <v>1294</v>
      </c>
    </row>
    <row r="470" spans="1:4">
      <c r="A470" s="391" t="s">
        <v>813</v>
      </c>
      <c r="B470" s="404" t="s">
        <v>155</v>
      </c>
      <c r="C470" s="404">
        <v>70</v>
      </c>
      <c r="D470" s="76" t="s">
        <v>1548</v>
      </c>
    </row>
    <row r="471" spans="1:4">
      <c r="A471" s="391" t="s">
        <v>577</v>
      </c>
      <c r="B471" s="404" t="s">
        <v>578</v>
      </c>
      <c r="C471" s="404">
        <v>50</v>
      </c>
    </row>
    <row r="472" spans="1:4">
      <c r="A472" s="391" t="s">
        <v>566</v>
      </c>
      <c r="B472" s="404" t="s">
        <v>567</v>
      </c>
    </row>
    <row r="473" spans="1:4">
      <c r="A473" s="391" t="s">
        <v>194</v>
      </c>
      <c r="B473" s="404" t="s">
        <v>1228</v>
      </c>
    </row>
    <row r="474" spans="1:4">
      <c r="A474" s="391" t="s">
        <v>1227</v>
      </c>
      <c r="B474" s="404" t="s">
        <v>121</v>
      </c>
      <c r="C474" s="404">
        <v>90</v>
      </c>
    </row>
    <row r="475" spans="1:4">
      <c r="A475" s="391" t="s">
        <v>1229</v>
      </c>
      <c r="B475" s="404" t="s">
        <v>1230</v>
      </c>
    </row>
    <row r="476" spans="1:4">
      <c r="A476" s="391" t="s">
        <v>1465</v>
      </c>
      <c r="B476" s="404" t="s">
        <v>1466</v>
      </c>
      <c r="C476" s="404">
        <v>100</v>
      </c>
    </row>
    <row r="477" spans="1:4">
      <c r="A477" s="391" t="s">
        <v>120</v>
      </c>
      <c r="B477" s="404">
        <v>510020</v>
      </c>
    </row>
    <row r="478" spans="1:4">
      <c r="A478" s="391" t="s">
        <v>116</v>
      </c>
      <c r="B478" s="404">
        <v>512520</v>
      </c>
    </row>
    <row r="479" spans="1:4">
      <c r="A479" s="391" t="s">
        <v>810</v>
      </c>
      <c r="B479" s="404" t="s">
        <v>811</v>
      </c>
    </row>
    <row r="480" spans="1:4">
      <c r="A480" s="391" t="s">
        <v>1482</v>
      </c>
      <c r="B480" s="404" t="s">
        <v>1483</v>
      </c>
      <c r="C480" s="404">
        <v>100</v>
      </c>
    </row>
    <row r="481" spans="1:4">
      <c r="A481" s="75" t="s">
        <v>1438</v>
      </c>
      <c r="B481" s="404" t="s">
        <v>1439</v>
      </c>
      <c r="C481" s="404">
        <v>75</v>
      </c>
    </row>
    <row r="482" spans="1:4">
      <c r="A482" s="391" t="s">
        <v>1413</v>
      </c>
      <c r="B482" s="404" t="s">
        <v>1414</v>
      </c>
      <c r="C482" s="404">
        <v>110</v>
      </c>
    </row>
    <row r="483" spans="1:4">
      <c r="A483" s="75" t="s">
        <v>1547</v>
      </c>
      <c r="B483" s="117" t="s">
        <v>1281</v>
      </c>
      <c r="C483" s="404">
        <v>65</v>
      </c>
    </row>
    <row r="484" spans="1:4">
      <c r="A484" s="75" t="s">
        <v>1295</v>
      </c>
      <c r="B484" s="404" t="s">
        <v>1281</v>
      </c>
      <c r="C484" s="404">
        <v>30</v>
      </c>
      <c r="D484" s="76" t="s">
        <v>1554</v>
      </c>
    </row>
    <row r="485" spans="1:4">
      <c r="A485" s="391" t="s">
        <v>112</v>
      </c>
      <c r="B485" s="404">
        <v>651128</v>
      </c>
      <c r="C485" s="404">
        <v>24</v>
      </c>
    </row>
    <row r="486" spans="1:4">
      <c r="A486" s="391" t="s">
        <v>167</v>
      </c>
      <c r="B486" s="117" t="s">
        <v>168</v>
      </c>
    </row>
    <row r="487" spans="1:4">
      <c r="A487" s="391" t="s">
        <v>1362</v>
      </c>
      <c r="B487" s="404">
        <v>2018063</v>
      </c>
    </row>
    <row r="488" spans="1:4">
      <c r="A488" s="391" t="s">
        <v>76</v>
      </c>
      <c r="B488" s="404" t="s">
        <v>724</v>
      </c>
      <c r="C488" s="404">
        <v>90</v>
      </c>
    </row>
    <row r="489" spans="1:4">
      <c r="A489" s="391" t="s">
        <v>134</v>
      </c>
      <c r="B489" s="404" t="s">
        <v>245</v>
      </c>
      <c r="C489" s="404">
        <v>120</v>
      </c>
    </row>
    <row r="490" spans="1:4">
      <c r="A490" s="391" t="s">
        <v>1221</v>
      </c>
      <c r="B490" s="404" t="s">
        <v>1222</v>
      </c>
    </row>
    <row r="491" spans="1:4">
      <c r="A491" s="391" t="s">
        <v>392</v>
      </c>
      <c r="B491" s="404">
        <v>510090</v>
      </c>
      <c r="C491" s="404">
        <v>50</v>
      </c>
    </row>
    <row r="492" spans="1:4">
      <c r="A492" s="391" t="s">
        <v>1285</v>
      </c>
      <c r="B492" s="404">
        <v>510020</v>
      </c>
      <c r="C492" s="404">
        <v>120</v>
      </c>
    </row>
    <row r="493" spans="1:4">
      <c r="A493" s="75" t="s">
        <v>1172</v>
      </c>
      <c r="B493" s="404">
        <v>512520</v>
      </c>
      <c r="C493" s="404">
        <v>36</v>
      </c>
    </row>
    <row r="494" spans="1:4">
      <c r="A494" s="391" t="s">
        <v>218</v>
      </c>
      <c r="B494" s="404" t="s">
        <v>1094</v>
      </c>
      <c r="C494" s="404">
        <v>100</v>
      </c>
    </row>
    <row r="495" spans="1:4">
      <c r="A495" s="391" t="s">
        <v>1514</v>
      </c>
      <c r="B495" s="117" t="s">
        <v>214</v>
      </c>
      <c r="C495" s="404">
        <v>60</v>
      </c>
    </row>
    <row r="496" spans="1:4">
      <c r="A496" s="391" t="s">
        <v>203</v>
      </c>
      <c r="B496" s="404">
        <v>510530</v>
      </c>
      <c r="C496" s="404">
        <v>120</v>
      </c>
    </row>
    <row r="497" spans="1:3">
      <c r="A497" s="391" t="s">
        <v>119</v>
      </c>
      <c r="B497" s="404">
        <v>510530</v>
      </c>
    </row>
    <row r="498" spans="1:3">
      <c r="A498" s="391" t="s">
        <v>89</v>
      </c>
      <c r="B498" s="404">
        <v>511110</v>
      </c>
      <c r="C498" s="404">
        <v>120</v>
      </c>
    </row>
    <row r="499" spans="1:3">
      <c r="A499" s="391" t="s">
        <v>86</v>
      </c>
      <c r="B499" s="404">
        <v>511100</v>
      </c>
      <c r="C499" s="404">
        <v>120</v>
      </c>
    </row>
    <row r="500" spans="1:3">
      <c r="A500" s="391" t="s">
        <v>213</v>
      </c>
      <c r="B500" s="404">
        <v>513280</v>
      </c>
    </row>
    <row r="501" spans="1:3">
      <c r="A501" s="391" t="s">
        <v>302</v>
      </c>
      <c r="B501" s="404" t="s">
        <v>303</v>
      </c>
    </row>
    <row r="502" spans="1:3">
      <c r="A502" s="391" t="s">
        <v>1286</v>
      </c>
      <c r="B502" s="404">
        <v>512800</v>
      </c>
      <c r="C502" s="404">
        <v>120</v>
      </c>
    </row>
    <row r="503" spans="1:3">
      <c r="A503" s="391" t="s">
        <v>1471</v>
      </c>
      <c r="B503" s="404" t="s">
        <v>1472</v>
      </c>
      <c r="C503" s="404">
        <v>120</v>
      </c>
    </row>
    <row r="504" spans="1:3">
      <c r="A504" s="391" t="s">
        <v>1157</v>
      </c>
      <c r="B504" s="404" t="s">
        <v>1158</v>
      </c>
      <c r="C504" s="404">
        <v>90</v>
      </c>
    </row>
    <row r="505" spans="1:3">
      <c r="A505" s="391" t="s">
        <v>1484</v>
      </c>
      <c r="B505" s="404" t="s">
        <v>1485</v>
      </c>
      <c r="C505" s="404">
        <v>60</v>
      </c>
    </row>
    <row r="506" spans="1:3">
      <c r="A506" s="75" t="s">
        <v>1549</v>
      </c>
      <c r="B506" s="117" t="s">
        <v>1550</v>
      </c>
      <c r="C506" s="404">
        <v>30</v>
      </c>
    </row>
    <row r="507" spans="1:3">
      <c r="A507" s="391" t="s">
        <v>613</v>
      </c>
      <c r="B507" s="404" t="s">
        <v>614</v>
      </c>
    </row>
    <row r="508" spans="1:3">
      <c r="A508" s="391" t="s">
        <v>608</v>
      </c>
      <c r="B508" s="404" t="s">
        <v>609</v>
      </c>
    </row>
    <row r="509" spans="1:3">
      <c r="A509" s="391" t="s">
        <v>606</v>
      </c>
      <c r="B509" s="404" t="s">
        <v>607</v>
      </c>
    </row>
    <row r="510" spans="1:3">
      <c r="A510" s="391" t="s">
        <v>33</v>
      </c>
      <c r="B510" s="404" t="s">
        <v>285</v>
      </c>
      <c r="C510" s="404">
        <v>38</v>
      </c>
    </row>
    <row r="511" spans="1:3">
      <c r="A511" s="391" t="s">
        <v>1304</v>
      </c>
      <c r="B511" s="404" t="s">
        <v>285</v>
      </c>
      <c r="C511" s="404">
        <v>120</v>
      </c>
    </row>
    <row r="512" spans="1:3">
      <c r="A512" s="391" t="s">
        <v>455</v>
      </c>
      <c r="B512" s="404" t="s">
        <v>456</v>
      </c>
      <c r="C512" s="404">
        <v>120</v>
      </c>
    </row>
    <row r="513" spans="1:4">
      <c r="A513" s="400" t="s">
        <v>406</v>
      </c>
      <c r="B513" s="404" t="s">
        <v>407</v>
      </c>
    </row>
    <row r="514" spans="1:4">
      <c r="A514" s="391" t="s">
        <v>74</v>
      </c>
      <c r="B514" s="404">
        <v>43563</v>
      </c>
    </row>
    <row r="515" spans="1:4">
      <c r="A515" s="391" t="s">
        <v>97</v>
      </c>
      <c r="B515" s="404" t="s">
        <v>123</v>
      </c>
    </row>
    <row r="516" spans="1:4">
      <c r="A516" s="391" t="s">
        <v>29</v>
      </c>
      <c r="B516" s="404" t="s">
        <v>28</v>
      </c>
      <c r="C516" s="404">
        <v>75</v>
      </c>
    </row>
    <row r="517" spans="1:4">
      <c r="A517" s="391" t="s">
        <v>188</v>
      </c>
      <c r="B517" s="404" t="s">
        <v>123</v>
      </c>
    </row>
    <row r="518" spans="1:4">
      <c r="A518" s="391" t="s">
        <v>756</v>
      </c>
      <c r="B518" s="404" t="s">
        <v>30</v>
      </c>
    </row>
    <row r="519" spans="1:4">
      <c r="A519" s="391" t="s">
        <v>317</v>
      </c>
      <c r="B519" s="404" t="s">
        <v>318</v>
      </c>
      <c r="C519" s="404">
        <v>60</v>
      </c>
    </row>
    <row r="520" spans="1:4">
      <c r="A520" s="391" t="s">
        <v>782</v>
      </c>
      <c r="B520" s="404">
        <v>7012</v>
      </c>
    </row>
    <row r="521" spans="1:4">
      <c r="A521" s="391" t="s">
        <v>380</v>
      </c>
      <c r="B521" s="404">
        <v>35133801</v>
      </c>
    </row>
    <row r="522" spans="1:4">
      <c r="A522" s="391" t="s">
        <v>98</v>
      </c>
      <c r="B522" s="404" t="s">
        <v>128</v>
      </c>
    </row>
    <row r="523" spans="1:4">
      <c r="A523" s="391" t="s">
        <v>363</v>
      </c>
      <c r="B523" s="404">
        <v>510021</v>
      </c>
      <c r="C523" s="404">
        <v>60</v>
      </c>
      <c r="D523" t="s">
        <v>1488</v>
      </c>
    </row>
    <row r="524" spans="1:4">
      <c r="A524" s="391" t="s">
        <v>1359</v>
      </c>
      <c r="B524" s="404">
        <v>510021</v>
      </c>
      <c r="C524" s="404">
        <v>60</v>
      </c>
    </row>
    <row r="525" spans="1:4">
      <c r="A525" s="391" t="s">
        <v>230</v>
      </c>
      <c r="B525" s="404">
        <v>504</v>
      </c>
      <c r="C525" s="404">
        <v>60</v>
      </c>
    </row>
    <row r="526" spans="1:4">
      <c r="A526" s="391" t="s">
        <v>1274</v>
      </c>
      <c r="B526" s="404" t="s">
        <v>1275</v>
      </c>
    </row>
    <row r="527" spans="1:4">
      <c r="A527" s="391" t="s">
        <v>755</v>
      </c>
      <c r="B527" s="404" t="s">
        <v>752</v>
      </c>
      <c r="C527" s="404">
        <v>90</v>
      </c>
    </row>
    <row r="528" spans="1:4">
      <c r="A528" s="391" t="s">
        <v>32</v>
      </c>
      <c r="B528" s="404" t="s">
        <v>31</v>
      </c>
      <c r="C528" s="404">
        <v>454</v>
      </c>
    </row>
    <row r="529" spans="1:3">
      <c r="A529" s="391" t="s">
        <v>1235</v>
      </c>
      <c r="B529" s="404" t="s">
        <v>1236</v>
      </c>
      <c r="C529" s="404">
        <v>454</v>
      </c>
    </row>
    <row r="530" spans="1:3">
      <c r="A530" s="391" t="s">
        <v>147</v>
      </c>
      <c r="B530" s="404" t="s">
        <v>785</v>
      </c>
      <c r="C530" s="404">
        <v>90</v>
      </c>
    </row>
    <row r="531" spans="1:3">
      <c r="A531" s="391" t="s">
        <v>138</v>
      </c>
      <c r="B531" s="404" t="s">
        <v>140</v>
      </c>
    </row>
    <row r="532" spans="1:3">
      <c r="A532" s="391" t="s">
        <v>349</v>
      </c>
      <c r="B532" s="404" t="s">
        <v>350</v>
      </c>
    </row>
    <row r="533" spans="1:3">
      <c r="A533" s="391" t="s">
        <v>387</v>
      </c>
      <c r="B533" s="404" t="s">
        <v>201</v>
      </c>
      <c r="C533" s="404">
        <v>80</v>
      </c>
    </row>
    <row r="534" spans="1:3">
      <c r="A534" s="391" t="s">
        <v>236</v>
      </c>
      <c r="B534" s="404" t="s">
        <v>231</v>
      </c>
      <c r="C534" s="404">
        <v>100</v>
      </c>
    </row>
    <row r="535" spans="1:3">
      <c r="A535" s="391" t="s">
        <v>358</v>
      </c>
      <c r="B535" s="404" t="s">
        <v>359</v>
      </c>
    </row>
    <row r="536" spans="1:3">
      <c r="A536" s="391" t="s">
        <v>361</v>
      </c>
      <c r="B536" s="404" t="s">
        <v>359</v>
      </c>
    </row>
    <row r="537" spans="1:3">
      <c r="A537" s="391" t="s">
        <v>1178</v>
      </c>
      <c r="B537" s="404" t="s">
        <v>1179</v>
      </c>
    </row>
    <row r="538" spans="1:3">
      <c r="A538" s="391" t="s">
        <v>70</v>
      </c>
      <c r="B538" s="404" t="s">
        <v>68</v>
      </c>
      <c r="C538" s="404">
        <v>400</v>
      </c>
    </row>
    <row r="539" spans="1:3">
      <c r="A539" s="391" t="s">
        <v>806</v>
      </c>
      <c r="B539" s="404" t="s">
        <v>807</v>
      </c>
    </row>
    <row r="540" spans="1:3">
      <c r="A540" s="391" t="s">
        <v>196</v>
      </c>
      <c r="B540" s="404" t="s">
        <v>197</v>
      </c>
      <c r="C540" s="404">
        <v>120</v>
      </c>
    </row>
    <row r="541" spans="1:3">
      <c r="A541" s="75" t="s">
        <v>818</v>
      </c>
      <c r="B541" s="404" t="s">
        <v>819</v>
      </c>
      <c r="C541" s="404">
        <v>120</v>
      </c>
    </row>
    <row r="542" spans="1:3">
      <c r="A542" s="75" t="s">
        <v>191</v>
      </c>
      <c r="B542" s="404" t="s">
        <v>190</v>
      </c>
      <c r="C542" s="404">
        <v>120</v>
      </c>
    </row>
    <row r="543" spans="1:3">
      <c r="A543" s="391" t="s">
        <v>1349</v>
      </c>
      <c r="B543" s="404" t="s">
        <v>68</v>
      </c>
      <c r="C543" s="404">
        <v>120</v>
      </c>
    </row>
    <row r="544" spans="1:3">
      <c r="A544" s="75" t="s">
        <v>1353</v>
      </c>
      <c r="B544" s="404" t="s">
        <v>68</v>
      </c>
      <c r="C544" s="404">
        <v>400</v>
      </c>
    </row>
    <row r="545" spans="1:3">
      <c r="A545" s="391" t="s">
        <v>400</v>
      </c>
      <c r="B545" s="404" t="s">
        <v>401</v>
      </c>
      <c r="C545" s="404">
        <v>400</v>
      </c>
    </row>
    <row r="546" spans="1:3">
      <c r="A546" s="391" t="s">
        <v>1225</v>
      </c>
      <c r="B546" s="404" t="s">
        <v>1318</v>
      </c>
    </row>
    <row r="547" spans="1:3">
      <c r="A547" s="391" t="s">
        <v>1317</v>
      </c>
      <c r="B547" s="404" t="s">
        <v>1301</v>
      </c>
      <c r="C547" s="404">
        <v>60</v>
      </c>
    </row>
    <row r="548" spans="1:3">
      <c r="A548" s="391" t="s">
        <v>1300</v>
      </c>
      <c r="B548" s="404" t="s">
        <v>1421</v>
      </c>
      <c r="C548" s="404">
        <v>60</v>
      </c>
    </row>
    <row r="549" spans="1:3">
      <c r="A549" s="391" t="s">
        <v>117</v>
      </c>
      <c r="B549" s="404">
        <v>43850</v>
      </c>
      <c r="C549" s="404">
        <v>60</v>
      </c>
    </row>
    <row r="550" spans="1:3">
      <c r="A550" s="391" t="s">
        <v>1457</v>
      </c>
      <c r="B550" s="404" t="s">
        <v>1458</v>
      </c>
      <c r="C550" s="404">
        <v>45</v>
      </c>
    </row>
    <row r="551" spans="1:3">
      <c r="A551" s="391" t="s">
        <v>463</v>
      </c>
      <c r="B551" s="404" t="s">
        <v>464</v>
      </c>
    </row>
    <row r="552" spans="1:3">
      <c r="A552" s="391" t="s">
        <v>344</v>
      </c>
      <c r="B552" s="404" t="s">
        <v>345</v>
      </c>
    </row>
    <row r="553" spans="1:3">
      <c r="A553" s="391" t="s">
        <v>234</v>
      </c>
      <c r="B553" s="404">
        <v>703069</v>
      </c>
    </row>
    <row r="554" spans="1:3">
      <c r="A554" s="391" t="s">
        <v>1512</v>
      </c>
      <c r="B554" s="117" t="s">
        <v>1513</v>
      </c>
      <c r="C554" s="404">
        <v>15</v>
      </c>
    </row>
    <row r="555" spans="1:3">
      <c r="A555" s="391" t="s">
        <v>1467</v>
      </c>
      <c r="B555" s="404" t="s">
        <v>1468</v>
      </c>
      <c r="C555" s="404">
        <v>20</v>
      </c>
    </row>
    <row r="556" spans="1:3">
      <c r="A556" s="391" t="s">
        <v>90</v>
      </c>
      <c r="B556" s="404" t="s">
        <v>85</v>
      </c>
    </row>
    <row r="557" spans="1:3">
      <c r="A557" s="391" t="s">
        <v>485</v>
      </c>
      <c r="B557" s="404">
        <v>200300</v>
      </c>
      <c r="C557" s="404">
        <v>36</v>
      </c>
    </row>
    <row r="558" spans="1:3">
      <c r="A558" s="391" t="s">
        <v>113</v>
      </c>
      <c r="B558" s="404" t="s">
        <v>132</v>
      </c>
      <c r="C558" s="404">
        <v>36</v>
      </c>
    </row>
    <row r="559" spans="1:3">
      <c r="A559" s="391" t="s">
        <v>1360</v>
      </c>
      <c r="B559" s="404" t="s">
        <v>1361</v>
      </c>
    </row>
    <row r="560" spans="1:3">
      <c r="A560" s="391" t="s">
        <v>1374</v>
      </c>
      <c r="B560" s="404" t="s">
        <v>1375</v>
      </c>
      <c r="C560" s="404">
        <v>240</v>
      </c>
    </row>
    <row r="561" spans="1:3">
      <c r="A561" s="391" t="s">
        <v>1378</v>
      </c>
      <c r="B561" s="404" t="s">
        <v>1379</v>
      </c>
      <c r="C561" s="404">
        <v>180</v>
      </c>
    </row>
    <row r="562" spans="1:3">
      <c r="A562" s="391" t="s">
        <v>1372</v>
      </c>
      <c r="B562" s="404" t="s">
        <v>1373</v>
      </c>
      <c r="C562" s="404">
        <v>180</v>
      </c>
    </row>
    <row r="563" spans="1:3">
      <c r="A563" s="391" t="s">
        <v>1399</v>
      </c>
      <c r="B563" s="404" t="s">
        <v>1400</v>
      </c>
      <c r="C563" s="404">
        <v>120</v>
      </c>
    </row>
    <row r="564" spans="1:3">
      <c r="A564" s="391" t="s">
        <v>1162</v>
      </c>
      <c r="B564" s="404">
        <v>199400</v>
      </c>
      <c r="C564" s="404">
        <v>120</v>
      </c>
    </row>
    <row r="565" spans="1:3">
      <c r="A565" s="391" t="s">
        <v>570</v>
      </c>
      <c r="B565" s="404" t="s">
        <v>571</v>
      </c>
      <c r="C565" s="404">
        <v>90</v>
      </c>
    </row>
    <row r="566" spans="1:3">
      <c r="A566" s="391" t="s">
        <v>1395</v>
      </c>
      <c r="B566" s="404" t="s">
        <v>1396</v>
      </c>
    </row>
    <row r="567" spans="1:3">
      <c r="A567" s="391" t="s">
        <v>1239</v>
      </c>
      <c r="B567" s="404" t="s">
        <v>1240</v>
      </c>
      <c r="C567" s="404">
        <v>120</v>
      </c>
    </row>
    <row r="568" spans="1:3">
      <c r="A568" s="391" t="s">
        <v>1420</v>
      </c>
      <c r="B568" s="404">
        <v>253156702</v>
      </c>
      <c r="C568" s="404">
        <v>50</v>
      </c>
    </row>
    <row r="569" spans="1:3">
      <c r="A569" s="391" t="s">
        <v>77</v>
      </c>
      <c r="B569" s="404">
        <v>3756</v>
      </c>
      <c r="C569" s="404">
        <v>30</v>
      </c>
    </row>
    <row r="570" spans="1:3">
      <c r="A570" s="391" t="s">
        <v>1276</v>
      </c>
      <c r="B570" s="404" t="s">
        <v>1277</v>
      </c>
    </row>
    <row r="571" spans="1:3">
      <c r="A571" s="75" t="s">
        <v>1571</v>
      </c>
      <c r="B571" s="404" t="s">
        <v>937</v>
      </c>
      <c r="C571" s="404">
        <v>90</v>
      </c>
    </row>
    <row r="572" spans="1:3">
      <c r="A572" s="391" t="s">
        <v>293</v>
      </c>
      <c r="B572" s="404" t="s">
        <v>294</v>
      </c>
      <c r="C572" s="404">
        <v>11</v>
      </c>
    </row>
    <row r="573" spans="1:3">
      <c r="A573" s="391" t="s">
        <v>356</v>
      </c>
    </row>
  </sheetData>
  <sortState ref="A2:C573">
    <sortCondition ref="A2:A573"/>
  </sortState>
  <conditionalFormatting sqref="B8 B10:B253 B3:B5">
    <cfRule type="cellIs" dxfId="14" priority="6" operator="equal">
      <formula>""""""</formula>
    </cfRule>
  </conditionalFormatting>
  <conditionalFormatting sqref="B389:B451 B453:B1048576 B8 B3:B5 B1 B10:B387">
    <cfRule type="cellIs" dxfId="13" priority="5" operator="equal">
      <formula>""</formula>
    </cfRule>
  </conditionalFormatting>
  <conditionalFormatting sqref="C494:C1048576 C1:C492">
    <cfRule type="containsBlanks" dxfId="12" priority="1">
      <formula>LEN(TRIM(C1))=0</formula>
    </cfRule>
    <cfRule type="containsBlanks" dxfId="11" priority="2">
      <formula>LEN(TRIM(C1))=0</formula>
    </cfRule>
    <cfRule type="containsText" dxfId="10" priority="3" operator="containsText" text="   ">
      <formula>NOT(ISERROR(SEARCH("   ",C1)))</formula>
    </cfRule>
  </conditionalFormatting>
  <pageMargins left="0.7" right="0.7" top="0.75" bottom="0.75" header="0.3" footer="0.3"/>
  <pageSetup paperSize="9" orientation="portrait" r:id="rId1"/>
  <legacyDrawing r:id="rId2"/>
  <controls>
    <control shapeId="1026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U836"/>
  <sheetViews>
    <sheetView view="pageBreakPreview" zoomScale="60" zoomScaleNormal="75" workbookViewId="0">
      <pane ySplit="6" topLeftCell="A7" activePane="bottomLeft" state="frozen"/>
      <selection activeCell="B12" sqref="B12:B22"/>
      <selection pane="bottomLeft" activeCell="D414" sqref="D414"/>
    </sheetView>
  </sheetViews>
  <sheetFormatPr baseColWidth="10" defaultRowHeight="15"/>
  <cols>
    <col min="1" max="1" width="6.42578125" style="76" customWidth="1"/>
    <col min="2" max="2" width="8.5703125" style="76" bestFit="1" customWidth="1"/>
    <col min="3" max="3" width="23.140625" style="76" customWidth="1"/>
    <col min="4" max="4" width="40.5703125" style="76" customWidth="1"/>
    <col min="5" max="5" width="17.42578125" style="76" customWidth="1"/>
    <col min="6" max="6" width="7.42578125" style="76" customWidth="1"/>
    <col min="7" max="7" width="11.5703125" style="76" customWidth="1"/>
    <col min="8" max="8" width="10.5703125" style="76" customWidth="1"/>
    <col min="9" max="9" width="16.140625" style="76" bestFit="1" customWidth="1"/>
    <col min="10" max="10" width="11.5703125" style="76" customWidth="1"/>
    <col min="11" max="11" width="13" style="76" bestFit="1" customWidth="1"/>
    <col min="12" max="12" width="11.42578125" style="76"/>
    <col min="13" max="13" width="7.42578125" style="76" customWidth="1"/>
    <col min="14" max="14" width="14.7109375" style="76" customWidth="1"/>
    <col min="15" max="15" width="14.5703125" style="76" customWidth="1"/>
    <col min="16" max="256" width="11.42578125" style="76"/>
    <col min="257" max="257" width="3.28515625" style="76" customWidth="1"/>
    <col min="258" max="260" width="11.42578125" style="76"/>
    <col min="261" max="261" width="21.5703125" style="76" customWidth="1"/>
    <col min="262" max="264" width="11.42578125" style="76"/>
    <col min="265" max="265" width="12.140625" style="76" customWidth="1"/>
    <col min="266" max="266" width="17.140625" style="76" bestFit="1" customWidth="1"/>
    <col min="267" max="512" width="11.42578125" style="76"/>
    <col min="513" max="513" width="3.28515625" style="76" customWidth="1"/>
    <col min="514" max="516" width="11.42578125" style="76"/>
    <col min="517" max="517" width="21.5703125" style="76" customWidth="1"/>
    <col min="518" max="520" width="11.42578125" style="76"/>
    <col min="521" max="521" width="12.140625" style="76" customWidth="1"/>
    <col min="522" max="522" width="17.140625" style="76" bestFit="1" customWidth="1"/>
    <col min="523" max="768" width="11.42578125" style="76"/>
    <col min="769" max="769" width="3.28515625" style="76" customWidth="1"/>
    <col min="770" max="772" width="11.42578125" style="76"/>
    <col min="773" max="773" width="21.5703125" style="76" customWidth="1"/>
    <col min="774" max="776" width="11.42578125" style="76"/>
    <col min="777" max="777" width="12.140625" style="76" customWidth="1"/>
    <col min="778" max="778" width="17.140625" style="76" bestFit="1" customWidth="1"/>
    <col min="779" max="1024" width="11.42578125" style="76"/>
    <col min="1025" max="1025" width="3.28515625" style="76" customWidth="1"/>
    <col min="1026" max="1028" width="11.42578125" style="76"/>
    <col min="1029" max="1029" width="21.5703125" style="76" customWidth="1"/>
    <col min="1030" max="1032" width="11.42578125" style="76"/>
    <col min="1033" max="1033" width="12.140625" style="76" customWidth="1"/>
    <col min="1034" max="1034" width="17.140625" style="76" bestFit="1" customWidth="1"/>
    <col min="1035" max="1280" width="11.42578125" style="76"/>
    <col min="1281" max="1281" width="3.28515625" style="76" customWidth="1"/>
    <col min="1282" max="1284" width="11.42578125" style="76"/>
    <col min="1285" max="1285" width="21.5703125" style="76" customWidth="1"/>
    <col min="1286" max="1288" width="11.42578125" style="76"/>
    <col min="1289" max="1289" width="12.140625" style="76" customWidth="1"/>
    <col min="1290" max="1290" width="17.140625" style="76" bestFit="1" customWidth="1"/>
    <col min="1291" max="1536" width="11.42578125" style="76"/>
    <col min="1537" max="1537" width="3.28515625" style="76" customWidth="1"/>
    <col min="1538" max="1540" width="11.42578125" style="76"/>
    <col min="1541" max="1541" width="21.5703125" style="76" customWidth="1"/>
    <col min="1542" max="1544" width="11.42578125" style="76"/>
    <col min="1545" max="1545" width="12.140625" style="76" customWidth="1"/>
    <col min="1546" max="1546" width="17.140625" style="76" bestFit="1" customWidth="1"/>
    <col min="1547" max="1792" width="11.42578125" style="76"/>
    <col min="1793" max="1793" width="3.28515625" style="76" customWidth="1"/>
    <col min="1794" max="1796" width="11.42578125" style="76"/>
    <col min="1797" max="1797" width="21.5703125" style="76" customWidth="1"/>
    <col min="1798" max="1800" width="11.42578125" style="76"/>
    <col min="1801" max="1801" width="12.140625" style="76" customWidth="1"/>
    <col min="1802" max="1802" width="17.140625" style="76" bestFit="1" customWidth="1"/>
    <col min="1803" max="2048" width="11.42578125" style="76"/>
    <col min="2049" max="2049" width="3.28515625" style="76" customWidth="1"/>
    <col min="2050" max="2052" width="11.42578125" style="76"/>
    <col min="2053" max="2053" width="21.5703125" style="76" customWidth="1"/>
    <col min="2054" max="2056" width="11.42578125" style="76"/>
    <col min="2057" max="2057" width="12.140625" style="76" customWidth="1"/>
    <col min="2058" max="2058" width="17.140625" style="76" bestFit="1" customWidth="1"/>
    <col min="2059" max="2304" width="11.42578125" style="76"/>
    <col min="2305" max="2305" width="3.28515625" style="76" customWidth="1"/>
    <col min="2306" max="2308" width="11.42578125" style="76"/>
    <col min="2309" max="2309" width="21.5703125" style="76" customWidth="1"/>
    <col min="2310" max="2312" width="11.42578125" style="76"/>
    <col min="2313" max="2313" width="12.140625" style="76" customWidth="1"/>
    <col min="2314" max="2314" width="17.140625" style="76" bestFit="1" customWidth="1"/>
    <col min="2315" max="2560" width="11.42578125" style="76"/>
    <col min="2561" max="2561" width="3.28515625" style="76" customWidth="1"/>
    <col min="2562" max="2564" width="11.42578125" style="76"/>
    <col min="2565" max="2565" width="21.5703125" style="76" customWidth="1"/>
    <col min="2566" max="2568" width="11.42578125" style="76"/>
    <col min="2569" max="2569" width="12.140625" style="76" customWidth="1"/>
    <col min="2570" max="2570" width="17.140625" style="76" bestFit="1" customWidth="1"/>
    <col min="2571" max="2816" width="11.42578125" style="76"/>
    <col min="2817" max="2817" width="3.28515625" style="76" customWidth="1"/>
    <col min="2818" max="2820" width="11.42578125" style="76"/>
    <col min="2821" max="2821" width="21.5703125" style="76" customWidth="1"/>
    <col min="2822" max="2824" width="11.42578125" style="76"/>
    <col min="2825" max="2825" width="12.140625" style="76" customWidth="1"/>
    <col min="2826" max="2826" width="17.140625" style="76" bestFit="1" customWidth="1"/>
    <col min="2827" max="3072" width="11.42578125" style="76"/>
    <col min="3073" max="3073" width="3.28515625" style="76" customWidth="1"/>
    <col min="3074" max="3076" width="11.42578125" style="76"/>
    <col min="3077" max="3077" width="21.5703125" style="76" customWidth="1"/>
    <col min="3078" max="3080" width="11.42578125" style="76"/>
    <col min="3081" max="3081" width="12.140625" style="76" customWidth="1"/>
    <col min="3082" max="3082" width="17.140625" style="76" bestFit="1" customWidth="1"/>
    <col min="3083" max="3328" width="11.42578125" style="76"/>
    <col min="3329" max="3329" width="3.28515625" style="76" customWidth="1"/>
    <col min="3330" max="3332" width="11.42578125" style="76"/>
    <col min="3333" max="3333" width="21.5703125" style="76" customWidth="1"/>
    <col min="3334" max="3336" width="11.42578125" style="76"/>
    <col min="3337" max="3337" width="12.140625" style="76" customWidth="1"/>
    <col min="3338" max="3338" width="17.140625" style="76" bestFit="1" customWidth="1"/>
    <col min="3339" max="3584" width="11.42578125" style="76"/>
    <col min="3585" max="3585" width="3.28515625" style="76" customWidth="1"/>
    <col min="3586" max="3588" width="11.42578125" style="76"/>
    <col min="3589" max="3589" width="21.5703125" style="76" customWidth="1"/>
    <col min="3590" max="3592" width="11.42578125" style="76"/>
    <col min="3593" max="3593" width="12.140625" style="76" customWidth="1"/>
    <col min="3594" max="3594" width="17.140625" style="76" bestFit="1" customWidth="1"/>
    <col min="3595" max="3840" width="11.42578125" style="76"/>
    <col min="3841" max="3841" width="3.28515625" style="76" customWidth="1"/>
    <col min="3842" max="3844" width="11.42578125" style="76"/>
    <col min="3845" max="3845" width="21.5703125" style="76" customWidth="1"/>
    <col min="3846" max="3848" width="11.42578125" style="76"/>
    <col min="3849" max="3849" width="12.140625" style="76" customWidth="1"/>
    <col min="3850" max="3850" width="17.140625" style="76" bestFit="1" customWidth="1"/>
    <col min="3851" max="4096" width="11.42578125" style="76"/>
    <col min="4097" max="4097" width="3.28515625" style="76" customWidth="1"/>
    <col min="4098" max="4100" width="11.42578125" style="76"/>
    <col min="4101" max="4101" width="21.5703125" style="76" customWidth="1"/>
    <col min="4102" max="4104" width="11.42578125" style="76"/>
    <col min="4105" max="4105" width="12.140625" style="76" customWidth="1"/>
    <col min="4106" max="4106" width="17.140625" style="76" bestFit="1" customWidth="1"/>
    <col min="4107" max="4352" width="11.42578125" style="76"/>
    <col min="4353" max="4353" width="3.28515625" style="76" customWidth="1"/>
    <col min="4354" max="4356" width="11.42578125" style="76"/>
    <col min="4357" max="4357" width="21.5703125" style="76" customWidth="1"/>
    <col min="4358" max="4360" width="11.42578125" style="76"/>
    <col min="4361" max="4361" width="12.140625" style="76" customWidth="1"/>
    <col min="4362" max="4362" width="17.140625" style="76" bestFit="1" customWidth="1"/>
    <col min="4363" max="4608" width="11.42578125" style="76"/>
    <col min="4609" max="4609" width="3.28515625" style="76" customWidth="1"/>
    <col min="4610" max="4612" width="11.42578125" style="76"/>
    <col min="4613" max="4613" width="21.5703125" style="76" customWidth="1"/>
    <col min="4614" max="4616" width="11.42578125" style="76"/>
    <col min="4617" max="4617" width="12.140625" style="76" customWidth="1"/>
    <col min="4618" max="4618" width="17.140625" style="76" bestFit="1" customWidth="1"/>
    <col min="4619" max="4864" width="11.42578125" style="76"/>
    <col min="4865" max="4865" width="3.28515625" style="76" customWidth="1"/>
    <col min="4866" max="4868" width="11.42578125" style="76"/>
    <col min="4869" max="4869" width="21.5703125" style="76" customWidth="1"/>
    <col min="4870" max="4872" width="11.42578125" style="76"/>
    <col min="4873" max="4873" width="12.140625" style="76" customWidth="1"/>
    <col min="4874" max="4874" width="17.140625" style="76" bestFit="1" customWidth="1"/>
    <col min="4875" max="5120" width="11.42578125" style="76"/>
    <col min="5121" max="5121" width="3.28515625" style="76" customWidth="1"/>
    <col min="5122" max="5124" width="11.42578125" style="76"/>
    <col min="5125" max="5125" width="21.5703125" style="76" customWidth="1"/>
    <col min="5126" max="5128" width="11.42578125" style="76"/>
    <col min="5129" max="5129" width="12.140625" style="76" customWidth="1"/>
    <col min="5130" max="5130" width="17.140625" style="76" bestFit="1" customWidth="1"/>
    <col min="5131" max="5376" width="11.42578125" style="76"/>
    <col min="5377" max="5377" width="3.28515625" style="76" customWidth="1"/>
    <col min="5378" max="5380" width="11.42578125" style="76"/>
    <col min="5381" max="5381" width="21.5703125" style="76" customWidth="1"/>
    <col min="5382" max="5384" width="11.42578125" style="76"/>
    <col min="5385" max="5385" width="12.140625" style="76" customWidth="1"/>
    <col min="5386" max="5386" width="17.140625" style="76" bestFit="1" customWidth="1"/>
    <col min="5387" max="5632" width="11.42578125" style="76"/>
    <col min="5633" max="5633" width="3.28515625" style="76" customWidth="1"/>
    <col min="5634" max="5636" width="11.42578125" style="76"/>
    <col min="5637" max="5637" width="21.5703125" style="76" customWidth="1"/>
    <col min="5638" max="5640" width="11.42578125" style="76"/>
    <col min="5641" max="5641" width="12.140625" style="76" customWidth="1"/>
    <col min="5642" max="5642" width="17.140625" style="76" bestFit="1" customWidth="1"/>
    <col min="5643" max="5888" width="11.42578125" style="76"/>
    <col min="5889" max="5889" width="3.28515625" style="76" customWidth="1"/>
    <col min="5890" max="5892" width="11.42578125" style="76"/>
    <col min="5893" max="5893" width="21.5703125" style="76" customWidth="1"/>
    <col min="5894" max="5896" width="11.42578125" style="76"/>
    <col min="5897" max="5897" width="12.140625" style="76" customWidth="1"/>
    <col min="5898" max="5898" width="17.140625" style="76" bestFit="1" customWidth="1"/>
    <col min="5899" max="6144" width="11.42578125" style="76"/>
    <col min="6145" max="6145" width="3.28515625" style="76" customWidth="1"/>
    <col min="6146" max="6148" width="11.42578125" style="76"/>
    <col min="6149" max="6149" width="21.5703125" style="76" customWidth="1"/>
    <col min="6150" max="6152" width="11.42578125" style="76"/>
    <col min="6153" max="6153" width="12.140625" style="76" customWidth="1"/>
    <col min="6154" max="6154" width="17.140625" style="76" bestFit="1" customWidth="1"/>
    <col min="6155" max="6400" width="11.42578125" style="76"/>
    <col min="6401" max="6401" width="3.28515625" style="76" customWidth="1"/>
    <col min="6402" max="6404" width="11.42578125" style="76"/>
    <col min="6405" max="6405" width="21.5703125" style="76" customWidth="1"/>
    <col min="6406" max="6408" width="11.42578125" style="76"/>
    <col min="6409" max="6409" width="12.140625" style="76" customWidth="1"/>
    <col min="6410" max="6410" width="17.140625" style="76" bestFit="1" customWidth="1"/>
    <col min="6411" max="6656" width="11.42578125" style="76"/>
    <col min="6657" max="6657" width="3.28515625" style="76" customWidth="1"/>
    <col min="6658" max="6660" width="11.42578125" style="76"/>
    <col min="6661" max="6661" width="21.5703125" style="76" customWidth="1"/>
    <col min="6662" max="6664" width="11.42578125" style="76"/>
    <col min="6665" max="6665" width="12.140625" style="76" customWidth="1"/>
    <col min="6666" max="6666" width="17.140625" style="76" bestFit="1" customWidth="1"/>
    <col min="6667" max="6912" width="11.42578125" style="76"/>
    <col min="6913" max="6913" width="3.28515625" style="76" customWidth="1"/>
    <col min="6914" max="6916" width="11.42578125" style="76"/>
    <col min="6917" max="6917" width="21.5703125" style="76" customWidth="1"/>
    <col min="6918" max="6920" width="11.42578125" style="76"/>
    <col min="6921" max="6921" width="12.140625" style="76" customWidth="1"/>
    <col min="6922" max="6922" width="17.140625" style="76" bestFit="1" customWidth="1"/>
    <col min="6923" max="7168" width="11.42578125" style="76"/>
    <col min="7169" max="7169" width="3.28515625" style="76" customWidth="1"/>
    <col min="7170" max="7172" width="11.42578125" style="76"/>
    <col min="7173" max="7173" width="21.5703125" style="76" customWidth="1"/>
    <col min="7174" max="7176" width="11.42578125" style="76"/>
    <col min="7177" max="7177" width="12.140625" style="76" customWidth="1"/>
    <col min="7178" max="7178" width="17.140625" style="76" bestFit="1" customWidth="1"/>
    <col min="7179" max="7424" width="11.42578125" style="76"/>
    <col min="7425" max="7425" width="3.28515625" style="76" customWidth="1"/>
    <col min="7426" max="7428" width="11.42578125" style="76"/>
    <col min="7429" max="7429" width="21.5703125" style="76" customWidth="1"/>
    <col min="7430" max="7432" width="11.42578125" style="76"/>
    <col min="7433" max="7433" width="12.140625" style="76" customWidth="1"/>
    <col min="7434" max="7434" width="17.140625" style="76" bestFit="1" customWidth="1"/>
    <col min="7435" max="7680" width="11.42578125" style="76"/>
    <col min="7681" max="7681" width="3.28515625" style="76" customWidth="1"/>
    <col min="7682" max="7684" width="11.42578125" style="76"/>
    <col min="7685" max="7685" width="21.5703125" style="76" customWidth="1"/>
    <col min="7686" max="7688" width="11.42578125" style="76"/>
    <col min="7689" max="7689" width="12.140625" style="76" customWidth="1"/>
    <col min="7690" max="7690" width="17.140625" style="76" bestFit="1" customWidth="1"/>
    <col min="7691" max="7936" width="11.42578125" style="76"/>
    <col min="7937" max="7937" width="3.28515625" style="76" customWidth="1"/>
    <col min="7938" max="7940" width="11.42578125" style="76"/>
    <col min="7941" max="7941" width="21.5703125" style="76" customWidth="1"/>
    <col min="7942" max="7944" width="11.42578125" style="76"/>
    <col min="7945" max="7945" width="12.140625" style="76" customWidth="1"/>
    <col min="7946" max="7946" width="17.140625" style="76" bestFit="1" customWidth="1"/>
    <col min="7947" max="8192" width="11.42578125" style="76"/>
    <col min="8193" max="8193" width="3.28515625" style="76" customWidth="1"/>
    <col min="8194" max="8196" width="11.42578125" style="76"/>
    <col min="8197" max="8197" width="21.5703125" style="76" customWidth="1"/>
    <col min="8198" max="8200" width="11.42578125" style="76"/>
    <col min="8201" max="8201" width="12.140625" style="76" customWidth="1"/>
    <col min="8202" max="8202" width="17.140625" style="76" bestFit="1" customWidth="1"/>
    <col min="8203" max="8448" width="11.42578125" style="76"/>
    <col min="8449" max="8449" width="3.28515625" style="76" customWidth="1"/>
    <col min="8450" max="8452" width="11.42578125" style="76"/>
    <col min="8453" max="8453" width="21.5703125" style="76" customWidth="1"/>
    <col min="8454" max="8456" width="11.42578125" style="76"/>
    <col min="8457" max="8457" width="12.140625" style="76" customWidth="1"/>
    <col min="8458" max="8458" width="17.140625" style="76" bestFit="1" customWidth="1"/>
    <col min="8459" max="8704" width="11.42578125" style="76"/>
    <col min="8705" max="8705" width="3.28515625" style="76" customWidth="1"/>
    <col min="8706" max="8708" width="11.42578125" style="76"/>
    <col min="8709" max="8709" width="21.5703125" style="76" customWidth="1"/>
    <col min="8710" max="8712" width="11.42578125" style="76"/>
    <col min="8713" max="8713" width="12.140625" style="76" customWidth="1"/>
    <col min="8714" max="8714" width="17.140625" style="76" bestFit="1" customWidth="1"/>
    <col min="8715" max="8960" width="11.42578125" style="76"/>
    <col min="8961" max="8961" width="3.28515625" style="76" customWidth="1"/>
    <col min="8962" max="8964" width="11.42578125" style="76"/>
    <col min="8965" max="8965" width="21.5703125" style="76" customWidth="1"/>
    <col min="8966" max="8968" width="11.42578125" style="76"/>
    <col min="8969" max="8969" width="12.140625" style="76" customWidth="1"/>
    <col min="8970" max="8970" width="17.140625" style="76" bestFit="1" customWidth="1"/>
    <col min="8971" max="9216" width="11.42578125" style="76"/>
    <col min="9217" max="9217" width="3.28515625" style="76" customWidth="1"/>
    <col min="9218" max="9220" width="11.42578125" style="76"/>
    <col min="9221" max="9221" width="21.5703125" style="76" customWidth="1"/>
    <col min="9222" max="9224" width="11.42578125" style="76"/>
    <col min="9225" max="9225" width="12.140625" style="76" customWidth="1"/>
    <col min="9226" max="9226" width="17.140625" style="76" bestFit="1" customWidth="1"/>
    <col min="9227" max="9472" width="11.42578125" style="76"/>
    <col min="9473" max="9473" width="3.28515625" style="76" customWidth="1"/>
    <col min="9474" max="9476" width="11.42578125" style="76"/>
    <col min="9477" max="9477" width="21.5703125" style="76" customWidth="1"/>
    <col min="9478" max="9480" width="11.42578125" style="76"/>
    <col min="9481" max="9481" width="12.140625" style="76" customWidth="1"/>
    <col min="9482" max="9482" width="17.140625" style="76" bestFit="1" customWidth="1"/>
    <col min="9483" max="9728" width="11.42578125" style="76"/>
    <col min="9729" max="9729" width="3.28515625" style="76" customWidth="1"/>
    <col min="9730" max="9732" width="11.42578125" style="76"/>
    <col min="9733" max="9733" width="21.5703125" style="76" customWidth="1"/>
    <col min="9734" max="9736" width="11.42578125" style="76"/>
    <col min="9737" max="9737" width="12.140625" style="76" customWidth="1"/>
    <col min="9738" max="9738" width="17.140625" style="76" bestFit="1" customWidth="1"/>
    <col min="9739" max="9984" width="11.42578125" style="76"/>
    <col min="9985" max="9985" width="3.28515625" style="76" customWidth="1"/>
    <col min="9986" max="9988" width="11.42578125" style="76"/>
    <col min="9989" max="9989" width="21.5703125" style="76" customWidth="1"/>
    <col min="9990" max="9992" width="11.42578125" style="76"/>
    <col min="9993" max="9993" width="12.140625" style="76" customWidth="1"/>
    <col min="9994" max="9994" width="17.140625" style="76" bestFit="1" customWidth="1"/>
    <col min="9995" max="10240" width="11.42578125" style="76"/>
    <col min="10241" max="10241" width="3.28515625" style="76" customWidth="1"/>
    <col min="10242" max="10244" width="11.42578125" style="76"/>
    <col min="10245" max="10245" width="21.5703125" style="76" customWidth="1"/>
    <col min="10246" max="10248" width="11.42578125" style="76"/>
    <col min="10249" max="10249" width="12.140625" style="76" customWidth="1"/>
    <col min="10250" max="10250" width="17.140625" style="76" bestFit="1" customWidth="1"/>
    <col min="10251" max="10496" width="11.42578125" style="76"/>
    <col min="10497" max="10497" width="3.28515625" style="76" customWidth="1"/>
    <col min="10498" max="10500" width="11.42578125" style="76"/>
    <col min="10501" max="10501" width="21.5703125" style="76" customWidth="1"/>
    <col min="10502" max="10504" width="11.42578125" style="76"/>
    <col min="10505" max="10505" width="12.140625" style="76" customWidth="1"/>
    <col min="10506" max="10506" width="17.140625" style="76" bestFit="1" customWidth="1"/>
    <col min="10507" max="10752" width="11.42578125" style="76"/>
    <col min="10753" max="10753" width="3.28515625" style="76" customWidth="1"/>
    <col min="10754" max="10756" width="11.42578125" style="76"/>
    <col min="10757" max="10757" width="21.5703125" style="76" customWidth="1"/>
    <col min="10758" max="10760" width="11.42578125" style="76"/>
    <col min="10761" max="10761" width="12.140625" style="76" customWidth="1"/>
    <col min="10762" max="10762" width="17.140625" style="76" bestFit="1" customWidth="1"/>
    <col min="10763" max="11008" width="11.42578125" style="76"/>
    <col min="11009" max="11009" width="3.28515625" style="76" customWidth="1"/>
    <col min="11010" max="11012" width="11.42578125" style="76"/>
    <col min="11013" max="11013" width="21.5703125" style="76" customWidth="1"/>
    <col min="11014" max="11016" width="11.42578125" style="76"/>
    <col min="11017" max="11017" width="12.140625" style="76" customWidth="1"/>
    <col min="11018" max="11018" width="17.140625" style="76" bestFit="1" customWidth="1"/>
    <col min="11019" max="11264" width="11.42578125" style="76"/>
    <col min="11265" max="11265" width="3.28515625" style="76" customWidth="1"/>
    <col min="11266" max="11268" width="11.42578125" style="76"/>
    <col min="11269" max="11269" width="21.5703125" style="76" customWidth="1"/>
    <col min="11270" max="11272" width="11.42578125" style="76"/>
    <col min="11273" max="11273" width="12.140625" style="76" customWidth="1"/>
    <col min="11274" max="11274" width="17.140625" style="76" bestFit="1" customWidth="1"/>
    <col min="11275" max="11520" width="11.42578125" style="76"/>
    <col min="11521" max="11521" width="3.28515625" style="76" customWidth="1"/>
    <col min="11522" max="11524" width="11.42578125" style="76"/>
    <col min="11525" max="11525" width="21.5703125" style="76" customWidth="1"/>
    <col min="11526" max="11528" width="11.42578125" style="76"/>
    <col min="11529" max="11529" width="12.140625" style="76" customWidth="1"/>
    <col min="11530" max="11530" width="17.140625" style="76" bestFit="1" customWidth="1"/>
    <col min="11531" max="11776" width="11.42578125" style="76"/>
    <col min="11777" max="11777" width="3.28515625" style="76" customWidth="1"/>
    <col min="11778" max="11780" width="11.42578125" style="76"/>
    <col min="11781" max="11781" width="21.5703125" style="76" customWidth="1"/>
    <col min="11782" max="11784" width="11.42578125" style="76"/>
    <col min="11785" max="11785" width="12.140625" style="76" customWidth="1"/>
    <col min="11786" max="11786" width="17.140625" style="76" bestFit="1" customWidth="1"/>
    <col min="11787" max="12032" width="11.42578125" style="76"/>
    <col min="12033" max="12033" width="3.28515625" style="76" customWidth="1"/>
    <col min="12034" max="12036" width="11.42578125" style="76"/>
    <col min="12037" max="12037" width="21.5703125" style="76" customWidth="1"/>
    <col min="12038" max="12040" width="11.42578125" style="76"/>
    <col min="12041" max="12041" width="12.140625" style="76" customWidth="1"/>
    <col min="12042" max="12042" width="17.140625" style="76" bestFit="1" customWidth="1"/>
    <col min="12043" max="12288" width="11.42578125" style="76"/>
    <col min="12289" max="12289" width="3.28515625" style="76" customWidth="1"/>
    <col min="12290" max="12292" width="11.42578125" style="76"/>
    <col min="12293" max="12293" width="21.5703125" style="76" customWidth="1"/>
    <col min="12294" max="12296" width="11.42578125" style="76"/>
    <col min="12297" max="12297" width="12.140625" style="76" customWidth="1"/>
    <col min="12298" max="12298" width="17.140625" style="76" bestFit="1" customWidth="1"/>
    <col min="12299" max="12544" width="11.42578125" style="76"/>
    <col min="12545" max="12545" width="3.28515625" style="76" customWidth="1"/>
    <col min="12546" max="12548" width="11.42578125" style="76"/>
    <col min="12549" max="12549" width="21.5703125" style="76" customWidth="1"/>
    <col min="12550" max="12552" width="11.42578125" style="76"/>
    <col min="12553" max="12553" width="12.140625" style="76" customWidth="1"/>
    <col min="12554" max="12554" width="17.140625" style="76" bestFit="1" customWidth="1"/>
    <col min="12555" max="12800" width="11.42578125" style="76"/>
    <col min="12801" max="12801" width="3.28515625" style="76" customWidth="1"/>
    <col min="12802" max="12804" width="11.42578125" style="76"/>
    <col min="12805" max="12805" width="21.5703125" style="76" customWidth="1"/>
    <col min="12806" max="12808" width="11.42578125" style="76"/>
    <col min="12809" max="12809" width="12.140625" style="76" customWidth="1"/>
    <col min="12810" max="12810" width="17.140625" style="76" bestFit="1" customWidth="1"/>
    <col min="12811" max="13056" width="11.42578125" style="76"/>
    <col min="13057" max="13057" width="3.28515625" style="76" customWidth="1"/>
    <col min="13058" max="13060" width="11.42578125" style="76"/>
    <col min="13061" max="13061" width="21.5703125" style="76" customWidth="1"/>
    <col min="13062" max="13064" width="11.42578125" style="76"/>
    <col min="13065" max="13065" width="12.140625" style="76" customWidth="1"/>
    <col min="13066" max="13066" width="17.140625" style="76" bestFit="1" customWidth="1"/>
    <col min="13067" max="13312" width="11.42578125" style="76"/>
    <col min="13313" max="13313" width="3.28515625" style="76" customWidth="1"/>
    <col min="13314" max="13316" width="11.42578125" style="76"/>
    <col min="13317" max="13317" width="21.5703125" style="76" customWidth="1"/>
    <col min="13318" max="13320" width="11.42578125" style="76"/>
    <col min="13321" max="13321" width="12.140625" style="76" customWidth="1"/>
    <col min="13322" max="13322" width="17.140625" style="76" bestFit="1" customWidth="1"/>
    <col min="13323" max="13568" width="11.42578125" style="76"/>
    <col min="13569" max="13569" width="3.28515625" style="76" customWidth="1"/>
    <col min="13570" max="13572" width="11.42578125" style="76"/>
    <col min="13573" max="13573" width="21.5703125" style="76" customWidth="1"/>
    <col min="13574" max="13576" width="11.42578125" style="76"/>
    <col min="13577" max="13577" width="12.140625" style="76" customWidth="1"/>
    <col min="13578" max="13578" width="17.140625" style="76" bestFit="1" customWidth="1"/>
    <col min="13579" max="13824" width="11.42578125" style="76"/>
    <col min="13825" max="13825" width="3.28515625" style="76" customWidth="1"/>
    <col min="13826" max="13828" width="11.42578125" style="76"/>
    <col min="13829" max="13829" width="21.5703125" style="76" customWidth="1"/>
    <col min="13830" max="13832" width="11.42578125" style="76"/>
    <col min="13833" max="13833" width="12.140625" style="76" customWidth="1"/>
    <col min="13834" max="13834" width="17.140625" style="76" bestFit="1" customWidth="1"/>
    <col min="13835" max="14080" width="11.42578125" style="76"/>
    <col min="14081" max="14081" width="3.28515625" style="76" customWidth="1"/>
    <col min="14082" max="14084" width="11.42578125" style="76"/>
    <col min="14085" max="14085" width="21.5703125" style="76" customWidth="1"/>
    <col min="14086" max="14088" width="11.42578125" style="76"/>
    <col min="14089" max="14089" width="12.140625" style="76" customWidth="1"/>
    <col min="14090" max="14090" width="17.140625" style="76" bestFit="1" customWidth="1"/>
    <col min="14091" max="14336" width="11.42578125" style="76"/>
    <col min="14337" max="14337" width="3.28515625" style="76" customWidth="1"/>
    <col min="14338" max="14340" width="11.42578125" style="76"/>
    <col min="14341" max="14341" width="21.5703125" style="76" customWidth="1"/>
    <col min="14342" max="14344" width="11.42578125" style="76"/>
    <col min="14345" max="14345" width="12.140625" style="76" customWidth="1"/>
    <col min="14346" max="14346" width="17.140625" style="76" bestFit="1" customWidth="1"/>
    <col min="14347" max="14592" width="11.42578125" style="76"/>
    <col min="14593" max="14593" width="3.28515625" style="76" customWidth="1"/>
    <col min="14594" max="14596" width="11.42578125" style="76"/>
    <col min="14597" max="14597" width="21.5703125" style="76" customWidth="1"/>
    <col min="14598" max="14600" width="11.42578125" style="76"/>
    <col min="14601" max="14601" width="12.140625" style="76" customWidth="1"/>
    <col min="14602" max="14602" width="17.140625" style="76" bestFit="1" customWidth="1"/>
    <col min="14603" max="14848" width="11.42578125" style="76"/>
    <col min="14849" max="14849" width="3.28515625" style="76" customWidth="1"/>
    <col min="14850" max="14852" width="11.42578125" style="76"/>
    <col min="14853" max="14853" width="21.5703125" style="76" customWidth="1"/>
    <col min="14854" max="14856" width="11.42578125" style="76"/>
    <col min="14857" max="14857" width="12.140625" style="76" customWidth="1"/>
    <col min="14858" max="14858" width="17.140625" style="76" bestFit="1" customWidth="1"/>
    <col min="14859" max="15104" width="11.42578125" style="76"/>
    <col min="15105" max="15105" width="3.28515625" style="76" customWidth="1"/>
    <col min="15106" max="15108" width="11.42578125" style="76"/>
    <col min="15109" max="15109" width="21.5703125" style="76" customWidth="1"/>
    <col min="15110" max="15112" width="11.42578125" style="76"/>
    <col min="15113" max="15113" width="12.140625" style="76" customWidth="1"/>
    <col min="15114" max="15114" width="17.140625" style="76" bestFit="1" customWidth="1"/>
    <col min="15115" max="15360" width="11.42578125" style="76"/>
    <col min="15361" max="15361" width="3.28515625" style="76" customWidth="1"/>
    <col min="15362" max="15364" width="11.42578125" style="76"/>
    <col min="15365" max="15365" width="21.5703125" style="76" customWidth="1"/>
    <col min="15366" max="15368" width="11.42578125" style="76"/>
    <col min="15369" max="15369" width="12.140625" style="76" customWidth="1"/>
    <col min="15370" max="15370" width="17.140625" style="76" bestFit="1" customWidth="1"/>
    <col min="15371" max="15616" width="11.42578125" style="76"/>
    <col min="15617" max="15617" width="3.28515625" style="76" customWidth="1"/>
    <col min="15618" max="15620" width="11.42578125" style="76"/>
    <col min="15621" max="15621" width="21.5703125" style="76" customWidth="1"/>
    <col min="15622" max="15624" width="11.42578125" style="76"/>
    <col min="15625" max="15625" width="12.140625" style="76" customWidth="1"/>
    <col min="15626" max="15626" width="17.140625" style="76" bestFit="1" customWidth="1"/>
    <col min="15627" max="15872" width="11.42578125" style="76"/>
    <col min="15873" max="15873" width="3.28515625" style="76" customWidth="1"/>
    <col min="15874" max="15876" width="11.42578125" style="76"/>
    <col min="15877" max="15877" width="21.5703125" style="76" customWidth="1"/>
    <col min="15878" max="15880" width="11.42578125" style="76"/>
    <col min="15881" max="15881" width="12.140625" style="76" customWidth="1"/>
    <col min="15882" max="15882" width="17.140625" style="76" bestFit="1" customWidth="1"/>
    <col min="15883" max="16128" width="11.42578125" style="76"/>
    <col min="16129" max="16129" width="3.28515625" style="76" customWidth="1"/>
    <col min="16130" max="16132" width="11.42578125" style="76"/>
    <col min="16133" max="16133" width="21.5703125" style="76" customWidth="1"/>
    <col min="16134" max="16136" width="11.42578125" style="76"/>
    <col min="16137" max="16137" width="12.140625" style="76" customWidth="1"/>
    <col min="16138" max="16138" width="17.140625" style="76" bestFit="1" customWidth="1"/>
    <col min="16139" max="16384" width="11.42578125" style="76"/>
  </cols>
  <sheetData>
    <row r="1" spans="1:13" ht="15" hidden="1" customHeight="1">
      <c r="A1" s="453"/>
      <c r="B1" s="454"/>
      <c r="C1" s="459" t="s">
        <v>825</v>
      </c>
      <c r="D1" s="460"/>
      <c r="E1" s="460"/>
      <c r="F1" s="460"/>
      <c r="G1" s="460"/>
      <c r="H1" s="460"/>
      <c r="I1" s="460"/>
      <c r="J1" s="461"/>
      <c r="K1" s="102" t="s">
        <v>826</v>
      </c>
      <c r="L1" s="468" t="s">
        <v>827</v>
      </c>
      <c r="M1" s="469"/>
    </row>
    <row r="2" spans="1:13" ht="15" hidden="1" customHeight="1">
      <c r="A2" s="455"/>
      <c r="B2" s="456"/>
      <c r="C2" s="462"/>
      <c r="D2" s="463"/>
      <c r="E2" s="463"/>
      <c r="F2" s="463"/>
      <c r="G2" s="463"/>
      <c r="H2" s="463"/>
      <c r="I2" s="463"/>
      <c r="J2" s="464"/>
      <c r="K2" s="102" t="s">
        <v>208</v>
      </c>
      <c r="L2" s="468" t="s">
        <v>828</v>
      </c>
      <c r="M2" s="469"/>
    </row>
    <row r="3" spans="1:13" ht="15" hidden="1" customHeight="1">
      <c r="A3" s="455"/>
      <c r="B3" s="456"/>
      <c r="C3" s="462"/>
      <c r="D3" s="463"/>
      <c r="E3" s="463"/>
      <c r="F3" s="463"/>
      <c r="G3" s="463"/>
      <c r="H3" s="463"/>
      <c r="I3" s="463"/>
      <c r="J3" s="464"/>
      <c r="K3" s="102" t="s">
        <v>829</v>
      </c>
      <c r="L3" s="468" t="s">
        <v>830</v>
      </c>
      <c r="M3" s="469"/>
    </row>
    <row r="4" spans="1:13" ht="15" hidden="1" customHeight="1">
      <c r="A4" s="457"/>
      <c r="B4" s="458"/>
      <c r="C4" s="465"/>
      <c r="D4" s="466"/>
      <c r="E4" s="466"/>
      <c r="F4" s="466"/>
      <c r="G4" s="466"/>
      <c r="H4" s="466"/>
      <c r="I4" s="466"/>
      <c r="J4" s="467"/>
      <c r="K4" s="102" t="s">
        <v>831</v>
      </c>
      <c r="L4" s="470" t="s">
        <v>832</v>
      </c>
      <c r="M4" s="471"/>
    </row>
    <row r="5" spans="1:13" hidden="1">
      <c r="B5" s="103"/>
      <c r="C5" s="103"/>
      <c r="D5" s="104"/>
      <c r="E5" s="104"/>
      <c r="F5" s="104"/>
      <c r="G5" s="104"/>
      <c r="H5" s="104"/>
      <c r="I5" s="77"/>
      <c r="J5" s="105"/>
      <c r="K5" s="105"/>
    </row>
    <row r="6" spans="1:13" s="44" customFormat="1" ht="63.75" hidden="1" customHeight="1">
      <c r="A6" s="106" t="s">
        <v>833</v>
      </c>
      <c r="B6" s="106" t="s">
        <v>834</v>
      </c>
      <c r="C6" s="107" t="s">
        <v>835</v>
      </c>
      <c r="D6" s="106" t="s">
        <v>836</v>
      </c>
      <c r="E6" s="106" t="s">
        <v>837</v>
      </c>
      <c r="F6" s="106" t="s">
        <v>838</v>
      </c>
      <c r="G6" s="106" t="s">
        <v>839</v>
      </c>
      <c r="H6" s="108" t="s">
        <v>840</v>
      </c>
      <c r="I6" s="108" t="s">
        <v>841</v>
      </c>
      <c r="J6" s="108" t="s">
        <v>842</v>
      </c>
      <c r="K6" s="106" t="s">
        <v>843</v>
      </c>
      <c r="L6" s="109" t="s">
        <v>844</v>
      </c>
      <c r="M6" s="110" t="s">
        <v>337</v>
      </c>
    </row>
    <row r="7" spans="1:13" s="44" customFormat="1" ht="33.75" customHeight="1">
      <c r="A7" s="111">
        <v>1</v>
      </c>
      <c r="B7" s="111" t="s">
        <v>420</v>
      </c>
      <c r="C7" s="112" t="s">
        <v>121</v>
      </c>
      <c r="D7" s="111" t="s">
        <v>102</v>
      </c>
      <c r="E7" s="111" t="s">
        <v>845</v>
      </c>
      <c r="F7" s="111" t="s">
        <v>846</v>
      </c>
      <c r="G7" s="111">
        <v>6</v>
      </c>
      <c r="H7" s="111">
        <v>3.31E-3</v>
      </c>
      <c r="I7" s="113">
        <v>230</v>
      </c>
      <c r="J7" s="114">
        <f>(2.72/2.2)</f>
        <v>1.2363636363636363</v>
      </c>
      <c r="K7" s="115">
        <f>(0.08/2.2)</f>
        <v>3.6363636363636362E-2</v>
      </c>
      <c r="L7" s="111"/>
      <c r="M7" s="111"/>
    </row>
    <row r="8" spans="1:13" s="44" customFormat="1" ht="31.5" customHeight="1">
      <c r="A8" s="106">
        <v>5</v>
      </c>
      <c r="B8" s="106" t="s">
        <v>847</v>
      </c>
      <c r="C8" s="107" t="s">
        <v>122</v>
      </c>
      <c r="D8" s="106" t="s">
        <v>803</v>
      </c>
      <c r="E8" s="106" t="s">
        <v>848</v>
      </c>
      <c r="F8" s="106" t="s">
        <v>846</v>
      </c>
      <c r="G8" s="106">
        <v>10</v>
      </c>
      <c r="H8" s="106">
        <v>3.4200000000000001E-2</v>
      </c>
      <c r="I8" s="108">
        <v>25</v>
      </c>
      <c r="J8" s="108">
        <f>3.137</f>
        <v>3.137</v>
      </c>
      <c r="K8" s="116">
        <f>1.3/2.2</f>
        <v>0.59090909090909083</v>
      </c>
      <c r="L8" s="117"/>
      <c r="M8" s="117"/>
    </row>
    <row r="9" spans="1:13" s="44" customFormat="1" ht="31.5" customHeight="1">
      <c r="A9" s="106">
        <v>7</v>
      </c>
      <c r="B9" s="106" t="s">
        <v>847</v>
      </c>
      <c r="C9" s="107">
        <v>512520</v>
      </c>
      <c r="D9" s="106" t="s">
        <v>116</v>
      </c>
      <c r="E9" s="106" t="s">
        <v>849</v>
      </c>
      <c r="F9" s="106" t="s">
        <v>846</v>
      </c>
      <c r="G9" s="106">
        <v>16</v>
      </c>
      <c r="H9" s="106">
        <v>3.3550000000000003E-2</v>
      </c>
      <c r="I9" s="108">
        <v>55</v>
      </c>
      <c r="J9" s="108">
        <v>3.5459999999999998</v>
      </c>
      <c r="K9" s="106">
        <v>0.52</v>
      </c>
      <c r="L9" s="117"/>
      <c r="M9" s="117"/>
    </row>
    <row r="10" spans="1:13" s="44" customFormat="1" ht="31.5" customHeight="1">
      <c r="A10" s="106">
        <v>8</v>
      </c>
      <c r="B10" s="106" t="s">
        <v>847</v>
      </c>
      <c r="C10" s="107" t="s">
        <v>769</v>
      </c>
      <c r="D10" s="107" t="s">
        <v>630</v>
      </c>
      <c r="E10" s="107" t="s">
        <v>850</v>
      </c>
      <c r="F10" s="107" t="s">
        <v>850</v>
      </c>
      <c r="G10" s="107">
        <v>0</v>
      </c>
      <c r="H10" s="106">
        <v>0</v>
      </c>
      <c r="I10" s="108">
        <v>0</v>
      </c>
      <c r="J10" s="108">
        <v>0.01</v>
      </c>
      <c r="K10" s="106">
        <v>1E-4</v>
      </c>
      <c r="L10" s="117"/>
      <c r="M10" s="117"/>
    </row>
    <row r="11" spans="1:13" s="44" customFormat="1" ht="31.5" customHeight="1">
      <c r="A11" s="106">
        <v>9</v>
      </c>
      <c r="B11" s="106" t="s">
        <v>847</v>
      </c>
      <c r="C11" s="107">
        <v>4571</v>
      </c>
      <c r="D11" s="106" t="s">
        <v>124</v>
      </c>
      <c r="E11" s="106" t="s">
        <v>845</v>
      </c>
      <c r="F11" s="106" t="s">
        <v>846</v>
      </c>
      <c r="G11" s="106">
        <v>40</v>
      </c>
      <c r="H11" s="106">
        <v>0.37458000000000002</v>
      </c>
      <c r="I11" s="108">
        <v>40</v>
      </c>
      <c r="J11" s="108">
        <v>0.67</v>
      </c>
      <c r="K11" s="118">
        <f>2/2.2</f>
        <v>0.90909090909090906</v>
      </c>
      <c r="L11" s="117"/>
      <c r="M11" s="117"/>
    </row>
    <row r="12" spans="1:13" s="44" customFormat="1" ht="31.5" customHeight="1">
      <c r="A12" s="106">
        <v>10</v>
      </c>
      <c r="B12" s="106" t="s">
        <v>847</v>
      </c>
      <c r="C12" s="107" t="s">
        <v>136</v>
      </c>
      <c r="D12" s="106" t="s">
        <v>136</v>
      </c>
      <c r="E12" s="106" t="s">
        <v>845</v>
      </c>
      <c r="F12" s="106" t="s">
        <v>846</v>
      </c>
      <c r="G12" s="106">
        <v>30</v>
      </c>
      <c r="H12" s="107">
        <v>0.14499999999999999</v>
      </c>
      <c r="I12" s="108">
        <v>55</v>
      </c>
      <c r="J12" s="108">
        <v>0.67</v>
      </c>
      <c r="K12" s="107">
        <v>0.42</v>
      </c>
      <c r="L12" s="117"/>
      <c r="M12" s="117"/>
    </row>
    <row r="13" spans="1:13" s="44" customFormat="1" ht="31.5" customHeight="1">
      <c r="A13" s="106">
        <v>15</v>
      </c>
      <c r="B13" s="106" t="s">
        <v>420</v>
      </c>
      <c r="C13" s="119" t="s">
        <v>851</v>
      </c>
      <c r="D13" s="106" t="s">
        <v>137</v>
      </c>
      <c r="E13" s="106" t="s">
        <v>845</v>
      </c>
      <c r="F13" s="106" t="s">
        <v>846</v>
      </c>
      <c r="G13" s="106">
        <v>28</v>
      </c>
      <c r="H13" s="107">
        <v>0.1179</v>
      </c>
      <c r="I13" s="107">
        <v>60</v>
      </c>
      <c r="J13" s="120">
        <f>2.465/2.2</f>
        <v>1.1204545454545454</v>
      </c>
      <c r="K13" s="121">
        <f>1.3/2.2</f>
        <v>0.59090909090909083</v>
      </c>
      <c r="L13" s="106"/>
      <c r="M13" s="106"/>
    </row>
    <row r="14" spans="1:13" s="44" customFormat="1" ht="31.5" customHeight="1">
      <c r="A14" s="106">
        <v>16</v>
      </c>
      <c r="B14" s="106" t="s">
        <v>420</v>
      </c>
      <c r="C14" s="107" t="s">
        <v>852</v>
      </c>
      <c r="D14" s="106" t="s">
        <v>853</v>
      </c>
      <c r="E14" s="107" t="s">
        <v>845</v>
      </c>
      <c r="F14" s="107" t="s">
        <v>846</v>
      </c>
      <c r="G14" s="107">
        <v>25</v>
      </c>
      <c r="H14" s="107">
        <v>0.26269999999999999</v>
      </c>
      <c r="I14" s="107">
        <v>45</v>
      </c>
      <c r="J14" s="107">
        <v>1.05</v>
      </c>
      <c r="K14" s="122">
        <f>1.3/2.2</f>
        <v>0.59090909090909083</v>
      </c>
      <c r="L14" s="106"/>
      <c r="M14" s="106"/>
    </row>
    <row r="15" spans="1:13" s="44" customFormat="1" ht="31.5" customHeight="1">
      <c r="A15" s="106">
        <v>17</v>
      </c>
      <c r="B15" s="106" t="s">
        <v>420</v>
      </c>
      <c r="C15" s="119" t="s">
        <v>854</v>
      </c>
      <c r="D15" s="123" t="s">
        <v>855</v>
      </c>
      <c r="E15" s="107" t="s">
        <v>845</v>
      </c>
      <c r="F15" s="107" t="s">
        <v>846</v>
      </c>
      <c r="G15" s="107">
        <v>40</v>
      </c>
      <c r="H15" s="107">
        <v>0.36099999999999999</v>
      </c>
      <c r="I15" s="107">
        <v>30</v>
      </c>
      <c r="J15" s="107">
        <v>0.67</v>
      </c>
      <c r="K15" s="122">
        <f>2.25/2.2</f>
        <v>1.0227272727272727</v>
      </c>
      <c r="L15" s="106"/>
      <c r="M15" s="106"/>
    </row>
    <row r="16" spans="1:13" s="44" customFormat="1" ht="31.5" customHeight="1">
      <c r="A16" s="106">
        <v>18</v>
      </c>
      <c r="B16" s="106" t="s">
        <v>420</v>
      </c>
      <c r="C16" s="106" t="s">
        <v>140</v>
      </c>
      <c r="D16" s="106" t="s">
        <v>138</v>
      </c>
      <c r="E16" s="107" t="s">
        <v>845</v>
      </c>
      <c r="F16" s="107" t="s">
        <v>856</v>
      </c>
      <c r="G16" s="107">
        <v>21</v>
      </c>
      <c r="H16" s="107">
        <v>0.1</v>
      </c>
      <c r="I16" s="107">
        <v>50</v>
      </c>
      <c r="J16" s="107">
        <f>3.3/2.2</f>
        <v>1.4999999999999998</v>
      </c>
      <c r="K16" s="121">
        <f>0.37/2.2</f>
        <v>0.16818181818181815</v>
      </c>
      <c r="L16" s="106"/>
      <c r="M16" s="106"/>
    </row>
    <row r="17" spans="1:13" s="44" customFormat="1" ht="31.5" customHeight="1">
      <c r="A17" s="106">
        <v>20</v>
      </c>
      <c r="B17" s="106" t="s">
        <v>420</v>
      </c>
      <c r="C17" s="107" t="s">
        <v>461</v>
      </c>
      <c r="D17" s="108" t="s">
        <v>146</v>
      </c>
      <c r="E17" s="106" t="s">
        <v>845</v>
      </c>
      <c r="F17" s="106" t="s">
        <v>856</v>
      </c>
      <c r="G17" s="106">
        <v>21</v>
      </c>
      <c r="H17" s="106">
        <v>6.5000000000000002E-2</v>
      </c>
      <c r="I17" s="108">
        <v>90</v>
      </c>
      <c r="J17" s="108">
        <f>3.3/2.2</f>
        <v>1.4999999999999998</v>
      </c>
      <c r="K17" s="118">
        <f>0.328/2.2</f>
        <v>0.14909090909090908</v>
      </c>
      <c r="L17" s="106"/>
      <c r="M17" s="106"/>
    </row>
    <row r="18" spans="1:13" s="44" customFormat="1" ht="31.5" customHeight="1">
      <c r="A18" s="106">
        <v>21</v>
      </c>
      <c r="B18" s="106" t="s">
        <v>420</v>
      </c>
      <c r="C18" s="119" t="s">
        <v>857</v>
      </c>
      <c r="D18" s="106" t="s">
        <v>858</v>
      </c>
      <c r="E18" s="106" t="s">
        <v>859</v>
      </c>
      <c r="F18" s="106" t="s">
        <v>846</v>
      </c>
      <c r="G18" s="106">
        <v>10</v>
      </c>
      <c r="H18" s="106">
        <v>0.108</v>
      </c>
      <c r="I18" s="108">
        <v>140</v>
      </c>
      <c r="J18" s="124">
        <f>2.5/2.2</f>
        <v>1.1363636363636362</v>
      </c>
      <c r="K18" s="118">
        <f>0.414/2.2</f>
        <v>0.18818181818181814</v>
      </c>
      <c r="L18" s="106"/>
      <c r="M18" s="106"/>
    </row>
    <row r="19" spans="1:13" s="44" customFormat="1" ht="31.5" customHeight="1">
      <c r="A19" s="106">
        <v>22</v>
      </c>
      <c r="B19" s="106" t="s">
        <v>420</v>
      </c>
      <c r="C19" s="119" t="s">
        <v>860</v>
      </c>
      <c r="D19" s="106" t="s">
        <v>141</v>
      </c>
      <c r="E19" s="106" t="s">
        <v>845</v>
      </c>
      <c r="F19" s="106" t="s">
        <v>846</v>
      </c>
      <c r="G19" s="106">
        <v>25</v>
      </c>
      <c r="H19" s="106">
        <v>0.23799999999999999</v>
      </c>
      <c r="I19" s="108">
        <v>50</v>
      </c>
      <c r="J19" s="124">
        <f>2.36/2.2</f>
        <v>1.0727272727272725</v>
      </c>
      <c r="K19" s="118">
        <f>1.46/2.2</f>
        <v>0.66363636363636358</v>
      </c>
      <c r="L19" s="106"/>
      <c r="M19" s="106"/>
    </row>
    <row r="20" spans="1:13" s="44" customFormat="1" ht="31.5" customHeight="1">
      <c r="A20" s="106">
        <v>23</v>
      </c>
      <c r="B20" s="106" t="s">
        <v>420</v>
      </c>
      <c r="C20" s="107" t="s">
        <v>861</v>
      </c>
      <c r="D20" s="106" t="s">
        <v>145</v>
      </c>
      <c r="E20" s="106" t="s">
        <v>859</v>
      </c>
      <c r="F20" s="106" t="s">
        <v>846</v>
      </c>
      <c r="G20" s="106">
        <v>10</v>
      </c>
      <c r="H20" s="106">
        <v>0.109</v>
      </c>
      <c r="I20" s="108">
        <v>140</v>
      </c>
      <c r="J20" s="124">
        <f>2.5/2.2</f>
        <v>1.1363636363636362</v>
      </c>
      <c r="K20" s="118">
        <f>0.414/2.2</f>
        <v>0.18818181818181814</v>
      </c>
      <c r="L20" s="106"/>
      <c r="M20" s="106"/>
    </row>
    <row r="21" spans="1:13" s="44" customFormat="1" ht="31.5" customHeight="1">
      <c r="A21" s="106">
        <v>24</v>
      </c>
      <c r="B21" s="106" t="s">
        <v>420</v>
      </c>
      <c r="C21" s="119" t="s">
        <v>147</v>
      </c>
      <c r="D21" s="106" t="s">
        <v>147</v>
      </c>
      <c r="E21" s="106" t="s">
        <v>845</v>
      </c>
      <c r="F21" s="106" t="s">
        <v>856</v>
      </c>
      <c r="G21" s="106">
        <v>11</v>
      </c>
      <c r="H21" s="106">
        <v>2.1000000000000001E-2</v>
      </c>
      <c r="I21" s="108">
        <v>120</v>
      </c>
      <c r="J21" s="108">
        <f>3.3/2.2</f>
        <v>1.4999999999999998</v>
      </c>
      <c r="K21" s="125">
        <f>0.2/2.2</f>
        <v>9.0909090909090912E-2</v>
      </c>
      <c r="L21" s="106"/>
      <c r="M21" s="106"/>
    </row>
    <row r="22" spans="1:13" s="44" customFormat="1" ht="31.5" customHeight="1">
      <c r="A22" s="106">
        <v>25</v>
      </c>
      <c r="B22" s="106" t="s">
        <v>420</v>
      </c>
      <c r="C22" s="107" t="s">
        <v>149</v>
      </c>
      <c r="D22" s="106" t="s">
        <v>148</v>
      </c>
      <c r="E22" s="106" t="s">
        <v>862</v>
      </c>
      <c r="F22" s="106" t="s">
        <v>856</v>
      </c>
      <c r="G22" s="106">
        <v>24</v>
      </c>
      <c r="H22" s="106">
        <v>0.33300000000000002</v>
      </c>
      <c r="I22" s="108">
        <v>100</v>
      </c>
      <c r="J22" s="124">
        <f>1.79/2.2</f>
        <v>0.8136363636363636</v>
      </c>
      <c r="K22" s="125">
        <f>0.921/2.2</f>
        <v>0.41863636363636364</v>
      </c>
      <c r="L22" s="106"/>
      <c r="M22" s="106"/>
    </row>
    <row r="23" spans="1:13" s="44" customFormat="1" ht="31.5" customHeight="1">
      <c r="A23" s="106">
        <v>26</v>
      </c>
      <c r="B23" s="106" t="s">
        <v>420</v>
      </c>
      <c r="C23" s="107" t="s">
        <v>863</v>
      </c>
      <c r="D23" s="106" t="s">
        <v>864</v>
      </c>
      <c r="E23" s="106" t="s">
        <v>845</v>
      </c>
      <c r="F23" s="106" t="s">
        <v>856</v>
      </c>
      <c r="G23" s="106">
        <v>21</v>
      </c>
      <c r="H23" s="106">
        <v>0.11680519</v>
      </c>
      <c r="I23" s="108">
        <v>60</v>
      </c>
      <c r="J23" s="124">
        <f>2.363/2.2</f>
        <v>1.074090909090909</v>
      </c>
      <c r="K23" s="125">
        <f>1.24/2.9</f>
        <v>0.42758620689655175</v>
      </c>
      <c r="L23" s="106"/>
      <c r="M23" s="106"/>
    </row>
    <row r="24" spans="1:13" s="44" customFormat="1" ht="31.5" customHeight="1">
      <c r="A24" s="106">
        <v>27</v>
      </c>
      <c r="B24" s="106" t="s">
        <v>420</v>
      </c>
      <c r="C24" s="107" t="s">
        <v>865</v>
      </c>
      <c r="D24" s="106" t="s">
        <v>151</v>
      </c>
      <c r="E24" s="106" t="s">
        <v>866</v>
      </c>
      <c r="F24" s="106" t="s">
        <v>846</v>
      </c>
      <c r="G24" s="106">
        <v>11</v>
      </c>
      <c r="H24" s="106">
        <v>0.1492</v>
      </c>
      <c r="I24" s="108">
        <v>120</v>
      </c>
      <c r="J24" s="124">
        <f>1.602/2.2</f>
        <v>0.72818181818181815</v>
      </c>
      <c r="K24" s="125">
        <f>0.5/2.2</f>
        <v>0.22727272727272727</v>
      </c>
      <c r="L24" s="106"/>
      <c r="M24" s="106"/>
    </row>
    <row r="25" spans="1:13" s="44" customFormat="1" ht="31.5" customHeight="1">
      <c r="A25" s="106">
        <v>28</v>
      </c>
      <c r="B25" s="106" t="s">
        <v>420</v>
      </c>
      <c r="C25" s="107" t="s">
        <v>867</v>
      </c>
      <c r="D25" s="106" t="s">
        <v>152</v>
      </c>
      <c r="E25" s="106" t="s">
        <v>866</v>
      </c>
      <c r="F25" s="106" t="s">
        <v>846</v>
      </c>
      <c r="G25" s="106">
        <v>11</v>
      </c>
      <c r="H25" s="106">
        <v>0.13164699999999999</v>
      </c>
      <c r="I25" s="108">
        <v>120</v>
      </c>
      <c r="J25" s="124">
        <f>1.602/2.2</f>
        <v>0.72818181818181815</v>
      </c>
      <c r="K25" s="125">
        <f>0.472/2.2</f>
        <v>0.21454545454545451</v>
      </c>
      <c r="L25" s="106"/>
      <c r="M25" s="106"/>
    </row>
    <row r="26" spans="1:13" s="44" customFormat="1" ht="31.5" customHeight="1">
      <c r="A26" s="106">
        <v>29</v>
      </c>
      <c r="B26" s="106" t="s">
        <v>847</v>
      </c>
      <c r="C26" s="107" t="s">
        <v>868</v>
      </c>
      <c r="D26" s="106" t="s">
        <v>869</v>
      </c>
      <c r="E26" s="106" t="s">
        <v>845</v>
      </c>
      <c r="F26" s="106" t="s">
        <v>846</v>
      </c>
      <c r="G26" s="106">
        <v>13</v>
      </c>
      <c r="H26" s="106">
        <v>0.2084</v>
      </c>
      <c r="I26" s="108">
        <v>150</v>
      </c>
      <c r="J26" s="108">
        <v>1</v>
      </c>
      <c r="K26" s="106">
        <v>0.47</v>
      </c>
      <c r="L26" s="117"/>
      <c r="M26" s="117"/>
    </row>
    <row r="27" spans="1:13" s="44" customFormat="1" ht="31.5" customHeight="1">
      <c r="A27" s="106">
        <v>33</v>
      </c>
      <c r="B27" s="106" t="s">
        <v>847</v>
      </c>
      <c r="C27" s="108" t="s">
        <v>153</v>
      </c>
      <c r="D27" s="106" t="s">
        <v>153</v>
      </c>
      <c r="E27" s="106" t="s">
        <v>845</v>
      </c>
      <c r="F27" s="106" t="s">
        <v>846</v>
      </c>
      <c r="G27" s="106">
        <v>5</v>
      </c>
      <c r="H27" s="106">
        <v>1.42E-3</v>
      </c>
      <c r="I27" s="106">
        <v>120</v>
      </c>
      <c r="J27" s="106">
        <v>1</v>
      </c>
      <c r="K27" s="106">
        <v>1.38</v>
      </c>
      <c r="L27" s="117"/>
      <c r="M27" s="117"/>
    </row>
    <row r="28" spans="1:13" s="44" customFormat="1" ht="31.5" customHeight="1">
      <c r="A28" s="106">
        <v>34</v>
      </c>
      <c r="B28" s="106" t="s">
        <v>847</v>
      </c>
      <c r="C28" s="107" t="s">
        <v>155</v>
      </c>
      <c r="D28" s="106" t="s">
        <v>813</v>
      </c>
      <c r="E28" s="106" t="s">
        <v>849</v>
      </c>
      <c r="F28" s="106" t="s">
        <v>856</v>
      </c>
      <c r="G28" s="106">
        <v>7</v>
      </c>
      <c r="H28" s="106">
        <v>1.448E-2</v>
      </c>
      <c r="I28" s="106">
        <v>24</v>
      </c>
      <c r="J28" s="106">
        <v>5.8209999999999997</v>
      </c>
      <c r="K28" s="106">
        <v>1.75</v>
      </c>
      <c r="L28" s="117"/>
      <c r="M28" s="117"/>
    </row>
    <row r="29" spans="1:13" s="44" customFormat="1" ht="31.5" customHeight="1">
      <c r="A29" s="106">
        <v>35</v>
      </c>
      <c r="B29" s="106" t="s">
        <v>420</v>
      </c>
      <c r="C29" s="107" t="s">
        <v>867</v>
      </c>
      <c r="D29" s="108" t="s">
        <v>870</v>
      </c>
      <c r="E29" s="106" t="s">
        <v>845</v>
      </c>
      <c r="F29" s="106" t="s">
        <v>856</v>
      </c>
      <c r="G29" s="106">
        <v>17</v>
      </c>
      <c r="H29" s="106">
        <v>1.6500000000000001E-2</v>
      </c>
      <c r="I29" s="108">
        <v>120</v>
      </c>
      <c r="J29" s="108">
        <v>0.99</v>
      </c>
      <c r="K29" s="118">
        <f>0.17/2.2</f>
        <v>7.7272727272727271E-2</v>
      </c>
      <c r="L29" s="106"/>
      <c r="M29" s="106"/>
    </row>
    <row r="30" spans="1:13" s="44" customFormat="1" ht="31.5" customHeight="1">
      <c r="A30" s="126">
        <v>37</v>
      </c>
      <c r="B30" s="126" t="s">
        <v>420</v>
      </c>
      <c r="C30" s="126" t="s">
        <v>158</v>
      </c>
      <c r="D30" s="127" t="s">
        <v>871</v>
      </c>
      <c r="E30" s="126" t="s">
        <v>845</v>
      </c>
      <c r="F30" s="126" t="s">
        <v>856</v>
      </c>
      <c r="G30" s="126">
        <v>19</v>
      </c>
      <c r="H30" s="126">
        <v>2.0914773000000001E-2</v>
      </c>
      <c r="I30" s="126">
        <v>120</v>
      </c>
      <c r="J30" s="128">
        <f>1.59/2.2</f>
        <v>0.72272727272727266</v>
      </c>
      <c r="K30" s="128">
        <f>0.18/2.2</f>
        <v>8.1818181818181804E-2</v>
      </c>
      <c r="L30" s="126"/>
      <c r="M30" s="126"/>
    </row>
    <row r="31" spans="1:13" s="44" customFormat="1" ht="31.5" customHeight="1">
      <c r="A31" s="106">
        <v>39</v>
      </c>
      <c r="B31" s="106" t="s">
        <v>420</v>
      </c>
      <c r="C31" s="107" t="s">
        <v>160</v>
      </c>
      <c r="D31" s="108" t="s">
        <v>161</v>
      </c>
      <c r="E31" s="106" t="s">
        <v>845</v>
      </c>
      <c r="F31" s="106" t="s">
        <v>846</v>
      </c>
      <c r="G31" s="106">
        <v>20</v>
      </c>
      <c r="H31" s="106">
        <v>0.11738</v>
      </c>
      <c r="I31" s="106">
        <v>30</v>
      </c>
      <c r="J31" s="106">
        <v>0</v>
      </c>
      <c r="K31" s="106">
        <f>0.985/2.2</f>
        <v>0.4477272727272727</v>
      </c>
      <c r="L31" s="106"/>
      <c r="M31" s="106"/>
    </row>
    <row r="32" spans="1:13" s="74" customFormat="1" ht="31.5" customHeight="1">
      <c r="A32" s="106">
        <v>40</v>
      </c>
      <c r="B32" s="106" t="s">
        <v>420</v>
      </c>
      <c r="C32" s="107" t="s">
        <v>872</v>
      </c>
      <c r="D32" s="108" t="s">
        <v>873</v>
      </c>
      <c r="E32" s="106" t="s">
        <v>874</v>
      </c>
      <c r="F32" s="106" t="s">
        <v>846</v>
      </c>
      <c r="G32" s="106">
        <v>16.2</v>
      </c>
      <c r="H32" s="106">
        <v>0.41199999999999998</v>
      </c>
      <c r="I32" s="106">
        <v>48</v>
      </c>
      <c r="J32" s="118">
        <f>1.602/2.2</f>
        <v>0.72818181818181815</v>
      </c>
      <c r="K32" s="118">
        <f>1.341/2.2</f>
        <v>0.6095454545454545</v>
      </c>
      <c r="L32" s="106"/>
      <c r="M32" s="106"/>
    </row>
    <row r="33" spans="1:13" s="74" customFormat="1" ht="31.5" customHeight="1">
      <c r="A33" s="106">
        <v>41</v>
      </c>
      <c r="B33" s="106" t="s">
        <v>420</v>
      </c>
      <c r="C33" s="106" t="s">
        <v>159</v>
      </c>
      <c r="D33" s="108" t="s">
        <v>875</v>
      </c>
      <c r="E33" s="106" t="s">
        <v>845</v>
      </c>
      <c r="F33" s="106" t="s">
        <v>856</v>
      </c>
      <c r="G33" s="106">
        <v>19</v>
      </c>
      <c r="H33" s="106">
        <v>4.3299999999999998E-2</v>
      </c>
      <c r="I33" s="106">
        <v>120</v>
      </c>
      <c r="J33" s="118">
        <f>1.59/2.2</f>
        <v>0.72272727272727266</v>
      </c>
      <c r="K33" s="118">
        <f>0.275/2.2</f>
        <v>0.125</v>
      </c>
      <c r="L33" s="106"/>
      <c r="M33" s="106"/>
    </row>
    <row r="34" spans="1:13" s="74" customFormat="1" ht="31.5" customHeight="1">
      <c r="A34" s="106">
        <v>42</v>
      </c>
      <c r="B34" s="106" t="s">
        <v>420</v>
      </c>
      <c r="C34" s="106" t="s">
        <v>876</v>
      </c>
      <c r="D34" s="108" t="s">
        <v>877</v>
      </c>
      <c r="E34" s="106" t="s">
        <v>845</v>
      </c>
      <c r="F34" s="106" t="s">
        <v>846</v>
      </c>
      <c r="G34" s="106">
        <v>16</v>
      </c>
      <c r="H34" s="106">
        <v>2.7830000000000001E-2</v>
      </c>
      <c r="I34" s="106">
        <v>120</v>
      </c>
      <c r="J34" s="118">
        <f>1.544/2.2</f>
        <v>0.70181818181818179</v>
      </c>
      <c r="K34" s="118">
        <f>0.204/2.2</f>
        <v>9.2727272727272714E-2</v>
      </c>
      <c r="L34" s="106"/>
      <c r="M34" s="106"/>
    </row>
    <row r="35" spans="1:13" s="74" customFormat="1" ht="31.5" customHeight="1">
      <c r="A35" s="106">
        <v>43</v>
      </c>
      <c r="B35" s="106" t="s">
        <v>420</v>
      </c>
      <c r="C35" s="106" t="s">
        <v>164</v>
      </c>
      <c r="D35" s="108" t="s">
        <v>163</v>
      </c>
      <c r="E35" s="106" t="s">
        <v>845</v>
      </c>
      <c r="F35" s="106" t="s">
        <v>856</v>
      </c>
      <c r="G35" s="106">
        <v>17</v>
      </c>
      <c r="H35" s="106">
        <v>1.6500000000000001E-2</v>
      </c>
      <c r="I35" s="106">
        <v>120</v>
      </c>
      <c r="J35" s="118">
        <f>1.59/2.2</f>
        <v>0.72272727272727266</v>
      </c>
      <c r="K35" s="118">
        <f>0.164/2.2</f>
        <v>7.454545454545454E-2</v>
      </c>
      <c r="L35" s="106"/>
      <c r="M35" s="106"/>
    </row>
    <row r="36" spans="1:13" s="74" customFormat="1" ht="31.5" customHeight="1">
      <c r="A36" s="106">
        <v>44</v>
      </c>
      <c r="B36" s="106" t="s">
        <v>420</v>
      </c>
      <c r="C36" s="106" t="s">
        <v>166</v>
      </c>
      <c r="D36" s="106" t="s">
        <v>165</v>
      </c>
      <c r="E36" s="106" t="s">
        <v>866</v>
      </c>
      <c r="F36" s="106" t="s">
        <v>846</v>
      </c>
      <c r="G36" s="106">
        <v>12</v>
      </c>
      <c r="H36" s="106">
        <v>0.1774</v>
      </c>
      <c r="I36" s="106">
        <v>110</v>
      </c>
      <c r="J36" s="118">
        <f>1.602/2.2</f>
        <v>0.72818181818181815</v>
      </c>
      <c r="K36" s="118">
        <f>0.589/2.2</f>
        <v>0.2677272727272727</v>
      </c>
      <c r="L36" s="106"/>
      <c r="M36" s="106"/>
    </row>
    <row r="37" spans="1:13" s="74" customFormat="1" ht="31.5" customHeight="1">
      <c r="A37" s="106">
        <v>46</v>
      </c>
      <c r="B37" s="106" t="s">
        <v>420</v>
      </c>
      <c r="C37" s="106" t="s">
        <v>878</v>
      </c>
      <c r="D37" s="106" t="s">
        <v>879</v>
      </c>
      <c r="E37" s="106" t="s">
        <v>880</v>
      </c>
      <c r="F37" s="106" t="s">
        <v>846</v>
      </c>
      <c r="G37" s="106" t="s">
        <v>881</v>
      </c>
      <c r="H37" s="106">
        <v>7.0999999999999994E-2</v>
      </c>
      <c r="I37" s="106">
        <v>90</v>
      </c>
      <c r="J37" s="118">
        <f>3/2.2</f>
        <v>1.3636363636363635</v>
      </c>
      <c r="K37" s="118">
        <f>0.454/2.2</f>
        <v>0.20636363636363636</v>
      </c>
      <c r="L37" s="106"/>
      <c r="M37" s="106"/>
    </row>
    <row r="38" spans="1:13" s="129" customFormat="1" ht="31.5" customHeight="1">
      <c r="A38" s="106">
        <v>48</v>
      </c>
      <c r="B38" s="106" t="s">
        <v>420</v>
      </c>
      <c r="C38" s="107">
        <v>5947</v>
      </c>
      <c r="D38" s="106" t="s">
        <v>171</v>
      </c>
      <c r="E38" s="106" t="s">
        <v>880</v>
      </c>
      <c r="F38" s="106" t="s">
        <v>846</v>
      </c>
      <c r="G38" s="106" t="s">
        <v>881</v>
      </c>
      <c r="H38" s="106">
        <v>6.8599999999999994E-2</v>
      </c>
      <c r="I38" s="106">
        <v>90</v>
      </c>
      <c r="J38" s="106">
        <f>3/2.4</f>
        <v>1.25</v>
      </c>
      <c r="K38" s="118">
        <f>0.48/2.4</f>
        <v>0.2</v>
      </c>
      <c r="L38" s="106"/>
      <c r="M38" s="106"/>
    </row>
    <row r="39" spans="1:13" s="131" customFormat="1" ht="31.5" customHeight="1">
      <c r="A39" s="106">
        <v>50</v>
      </c>
      <c r="B39" s="130" t="s">
        <v>847</v>
      </c>
      <c r="C39" s="130" t="s">
        <v>177</v>
      </c>
      <c r="D39" s="130" t="s">
        <v>176</v>
      </c>
      <c r="E39" s="130" t="s">
        <v>845</v>
      </c>
      <c r="F39" s="130" t="s">
        <v>846</v>
      </c>
      <c r="G39" s="130">
        <v>10</v>
      </c>
      <c r="H39" s="130">
        <v>2.1000000000000001E-2</v>
      </c>
      <c r="I39" s="130">
        <v>150</v>
      </c>
      <c r="J39" s="130">
        <v>1</v>
      </c>
      <c r="K39" s="130">
        <v>0.48</v>
      </c>
      <c r="L39" s="130"/>
      <c r="M39" s="130"/>
    </row>
    <row r="40" spans="1:13" s="44" customFormat="1" ht="31.5" customHeight="1">
      <c r="A40" s="106">
        <v>51</v>
      </c>
      <c r="B40" s="106" t="s">
        <v>420</v>
      </c>
      <c r="C40" s="107">
        <v>6069</v>
      </c>
      <c r="D40" s="106" t="s">
        <v>882</v>
      </c>
      <c r="E40" s="106" t="s">
        <v>880</v>
      </c>
      <c r="F40" s="106" t="s">
        <v>846</v>
      </c>
      <c r="G40" s="106" t="s">
        <v>881</v>
      </c>
      <c r="H40" s="106">
        <v>0.05</v>
      </c>
      <c r="I40" s="108">
        <v>90</v>
      </c>
      <c r="J40" s="108">
        <v>1.8</v>
      </c>
      <c r="K40" s="118">
        <f>0.4/2.2</f>
        <v>0.18181818181818182</v>
      </c>
      <c r="L40" s="106"/>
      <c r="M40" s="106"/>
    </row>
    <row r="41" spans="1:13" s="44" customFormat="1" ht="24.75" customHeight="1">
      <c r="A41" s="106">
        <v>53</v>
      </c>
      <c r="B41" s="106" t="s">
        <v>847</v>
      </c>
      <c r="C41" s="107" t="s">
        <v>185</v>
      </c>
      <c r="D41" s="108" t="s">
        <v>179</v>
      </c>
      <c r="E41" s="106" t="s">
        <v>845</v>
      </c>
      <c r="F41" s="106" t="s">
        <v>846</v>
      </c>
      <c r="G41" s="106">
        <v>10</v>
      </c>
      <c r="H41" s="106">
        <v>3.2000000000000001E-2</v>
      </c>
      <c r="I41" s="108">
        <v>70</v>
      </c>
      <c r="J41" s="108">
        <v>1</v>
      </c>
      <c r="K41" s="106">
        <v>0.7</v>
      </c>
      <c r="L41" s="106"/>
      <c r="M41" s="106"/>
    </row>
    <row r="42" spans="1:13" s="44" customFormat="1" ht="31.5" customHeight="1">
      <c r="A42" s="106">
        <v>54</v>
      </c>
      <c r="B42" s="106" t="s">
        <v>420</v>
      </c>
      <c r="C42" s="119" t="s">
        <v>883</v>
      </c>
      <c r="D42" s="106" t="s">
        <v>178</v>
      </c>
      <c r="E42" s="106" t="s">
        <v>880</v>
      </c>
      <c r="F42" s="106" t="s">
        <v>846</v>
      </c>
      <c r="G42" s="106" t="s">
        <v>884</v>
      </c>
      <c r="H42" s="106">
        <v>6.3E-2</v>
      </c>
      <c r="I42" s="108">
        <v>90</v>
      </c>
      <c r="J42" s="108">
        <v>1.4</v>
      </c>
      <c r="K42" s="118">
        <f>0.709/2.2</f>
        <v>0.32227272727272721</v>
      </c>
      <c r="L42" s="106"/>
      <c r="M42" s="106"/>
    </row>
    <row r="43" spans="1:13" s="44" customFormat="1" ht="31.5" customHeight="1">
      <c r="A43" s="106">
        <v>54</v>
      </c>
      <c r="B43" s="106" t="s">
        <v>420</v>
      </c>
      <c r="C43" s="119" t="s">
        <v>742</v>
      </c>
      <c r="D43" s="106" t="s">
        <v>885</v>
      </c>
      <c r="E43" s="106" t="s">
        <v>880</v>
      </c>
      <c r="F43" s="106" t="s">
        <v>846</v>
      </c>
      <c r="G43" s="106" t="s">
        <v>886</v>
      </c>
      <c r="H43" s="106">
        <v>0.03</v>
      </c>
      <c r="I43" s="108">
        <v>90</v>
      </c>
      <c r="J43" s="108">
        <v>1.65</v>
      </c>
      <c r="K43" s="118">
        <f>0.38/2.2</f>
        <v>0.1727272727272727</v>
      </c>
      <c r="L43" s="106"/>
      <c r="M43" s="106" t="s">
        <v>887</v>
      </c>
    </row>
    <row r="44" spans="1:13" s="74" customFormat="1" ht="31.5" customHeight="1">
      <c r="A44" s="106">
        <v>55</v>
      </c>
      <c r="B44" s="106" t="s">
        <v>420</v>
      </c>
      <c r="C44" s="119" t="s">
        <v>888</v>
      </c>
      <c r="D44" s="106" t="s">
        <v>181</v>
      </c>
      <c r="E44" s="106" t="s">
        <v>880</v>
      </c>
      <c r="F44" s="106" t="s">
        <v>846</v>
      </c>
      <c r="G44" s="106" t="s">
        <v>886</v>
      </c>
      <c r="H44" s="106">
        <v>0.03</v>
      </c>
      <c r="I44" s="108">
        <v>90</v>
      </c>
      <c r="J44" s="108">
        <v>1.65</v>
      </c>
      <c r="K44" s="118">
        <f>0.38/2.2</f>
        <v>0.1727272727272727</v>
      </c>
      <c r="L44" s="106"/>
      <c r="M44" s="106" t="s">
        <v>887</v>
      </c>
    </row>
    <row r="45" spans="1:13" s="74" customFormat="1" ht="31.5" customHeight="1">
      <c r="A45" s="106">
        <v>56</v>
      </c>
      <c r="B45" s="106" t="s">
        <v>420</v>
      </c>
      <c r="C45" s="106" t="s">
        <v>182</v>
      </c>
      <c r="D45" s="108" t="s">
        <v>189</v>
      </c>
      <c r="E45" s="106" t="s">
        <v>880</v>
      </c>
      <c r="F45" s="106" t="s">
        <v>846</v>
      </c>
      <c r="G45" s="132" t="s">
        <v>889</v>
      </c>
      <c r="H45" s="106">
        <v>0.06</v>
      </c>
      <c r="I45" s="106">
        <v>90</v>
      </c>
      <c r="J45" s="118">
        <f>1.35/2.2</f>
        <v>0.61363636363636365</v>
      </c>
      <c r="K45" s="118">
        <f>0.331/2.2</f>
        <v>0.15045454545454545</v>
      </c>
      <c r="L45" s="106"/>
      <c r="M45" s="106"/>
    </row>
    <row r="46" spans="1:13" s="74" customFormat="1" ht="31.5" customHeight="1">
      <c r="A46" s="106">
        <v>57</v>
      </c>
      <c r="B46" s="106" t="s">
        <v>847</v>
      </c>
      <c r="C46" s="133" t="s">
        <v>890</v>
      </c>
      <c r="D46" s="106" t="s">
        <v>183</v>
      </c>
      <c r="E46" s="106" t="s">
        <v>845</v>
      </c>
      <c r="F46" s="106" t="s">
        <v>856</v>
      </c>
      <c r="G46" s="106">
        <v>24</v>
      </c>
      <c r="H46" s="106">
        <v>0.216</v>
      </c>
      <c r="I46" s="106">
        <v>32</v>
      </c>
      <c r="J46" s="106">
        <v>1</v>
      </c>
      <c r="K46" s="106">
        <v>0.95</v>
      </c>
      <c r="L46" s="106"/>
      <c r="M46" s="106"/>
    </row>
    <row r="47" spans="1:13" s="74" customFormat="1" ht="31.5" customHeight="1">
      <c r="A47" s="106">
        <v>58</v>
      </c>
      <c r="B47" s="106" t="s">
        <v>847</v>
      </c>
      <c r="C47" s="108" t="s">
        <v>186</v>
      </c>
      <c r="D47" s="106" t="s">
        <v>891</v>
      </c>
      <c r="E47" s="106" t="s">
        <v>845</v>
      </c>
      <c r="F47" s="106" t="s">
        <v>856</v>
      </c>
      <c r="G47" s="106">
        <v>19</v>
      </c>
      <c r="H47" s="106">
        <v>5.5E-2</v>
      </c>
      <c r="I47" s="106">
        <v>45</v>
      </c>
      <c r="J47" s="106">
        <v>1</v>
      </c>
      <c r="K47" s="106">
        <v>0.75</v>
      </c>
      <c r="L47" s="106"/>
      <c r="M47" s="106"/>
    </row>
    <row r="48" spans="1:13" s="74" customFormat="1" ht="31.5" customHeight="1">
      <c r="A48" s="106">
        <v>59</v>
      </c>
      <c r="B48" s="106"/>
      <c r="C48" s="106" t="s">
        <v>892</v>
      </c>
      <c r="D48" s="106" t="s">
        <v>187</v>
      </c>
      <c r="E48" s="106" t="s">
        <v>893</v>
      </c>
      <c r="F48" s="106" t="s">
        <v>846</v>
      </c>
      <c r="G48" s="106">
        <v>10</v>
      </c>
      <c r="H48" s="106">
        <v>1.6999999999999999E-3</v>
      </c>
      <c r="I48" s="106">
        <v>90</v>
      </c>
      <c r="J48" s="106">
        <v>43.4</v>
      </c>
      <c r="K48" s="106">
        <v>0.64</v>
      </c>
      <c r="L48" s="106"/>
      <c r="M48" s="106"/>
    </row>
    <row r="49" spans="1:13" s="74" customFormat="1" ht="31.5" customHeight="1">
      <c r="A49" s="106">
        <v>60</v>
      </c>
      <c r="B49" s="126"/>
      <c r="C49" s="126"/>
      <c r="D49" s="126" t="s">
        <v>894</v>
      </c>
      <c r="E49" s="126"/>
      <c r="F49" s="126"/>
      <c r="G49" s="126"/>
      <c r="H49" s="126"/>
      <c r="I49" s="126"/>
      <c r="J49" s="126"/>
      <c r="K49" s="126"/>
      <c r="L49" s="106"/>
      <c r="M49" s="106"/>
    </row>
    <row r="50" spans="1:13" s="74" customFormat="1" ht="31.5" customHeight="1">
      <c r="A50" s="106">
        <v>61</v>
      </c>
      <c r="B50" s="106"/>
      <c r="C50" s="106"/>
      <c r="D50" s="106" t="s">
        <v>895</v>
      </c>
      <c r="E50" s="106" t="s">
        <v>896</v>
      </c>
      <c r="F50" s="106" t="s">
        <v>846</v>
      </c>
      <c r="G50" s="106">
        <v>8.1999999999999993</v>
      </c>
      <c r="H50" s="106">
        <v>5.2499999999999998E-2</v>
      </c>
      <c r="I50" s="106">
        <v>60</v>
      </c>
      <c r="J50" s="106">
        <v>2.5409999999999999</v>
      </c>
      <c r="K50" s="106">
        <v>0.28000000000000003</v>
      </c>
      <c r="L50" s="106"/>
      <c r="M50" s="106"/>
    </row>
    <row r="51" spans="1:13" s="74" customFormat="1" ht="31.5" customHeight="1">
      <c r="A51" s="106">
        <v>62</v>
      </c>
      <c r="B51" s="106"/>
      <c r="C51" s="106" t="s">
        <v>897</v>
      </c>
      <c r="D51" s="106" t="s">
        <v>188</v>
      </c>
      <c r="E51" s="106" t="s">
        <v>898</v>
      </c>
      <c r="F51" s="106" t="s">
        <v>846</v>
      </c>
      <c r="G51" s="106">
        <v>25</v>
      </c>
      <c r="H51" s="106">
        <v>4.7399999999999998E-2</v>
      </c>
      <c r="I51" s="106">
        <v>40</v>
      </c>
      <c r="J51" s="118">
        <f>13.45/2.2</f>
        <v>6.1136363636363624</v>
      </c>
      <c r="K51" s="118">
        <f>1.5/2.2</f>
        <v>0.68181818181818177</v>
      </c>
      <c r="L51" s="106"/>
      <c r="M51" s="106"/>
    </row>
    <row r="52" spans="1:13" s="74" customFormat="1" ht="31.5" customHeight="1">
      <c r="A52" s="106">
        <v>64</v>
      </c>
      <c r="B52" s="126" t="s">
        <v>899</v>
      </c>
      <c r="C52" s="126" t="s">
        <v>900</v>
      </c>
      <c r="D52" s="127" t="s">
        <v>193</v>
      </c>
      <c r="E52" s="126"/>
      <c r="F52" s="126"/>
      <c r="G52" s="126"/>
      <c r="H52" s="126"/>
      <c r="I52" s="126"/>
      <c r="J52" s="126"/>
      <c r="K52" s="126"/>
      <c r="L52" s="106"/>
      <c r="M52" s="106"/>
    </row>
    <row r="53" spans="1:13" s="74" customFormat="1" ht="31.5" customHeight="1">
      <c r="A53" s="106">
        <v>65</v>
      </c>
      <c r="B53" s="106" t="s">
        <v>420</v>
      </c>
      <c r="C53" s="106" t="s">
        <v>195</v>
      </c>
      <c r="D53" s="106" t="s">
        <v>194</v>
      </c>
      <c r="E53" s="106" t="s">
        <v>845</v>
      </c>
      <c r="F53" s="106" t="s">
        <v>846</v>
      </c>
      <c r="G53" s="106">
        <v>28</v>
      </c>
      <c r="H53" s="106">
        <v>0.221</v>
      </c>
      <c r="I53" s="106">
        <v>120</v>
      </c>
      <c r="J53" s="106">
        <f>3.3/2.2</f>
        <v>1.4999999999999998</v>
      </c>
      <c r="K53" s="106">
        <f>1.186/2.2</f>
        <v>0.53909090909090907</v>
      </c>
      <c r="L53" s="106"/>
      <c r="M53" s="106"/>
    </row>
    <row r="54" spans="1:13" s="74" customFormat="1" ht="31.5" customHeight="1">
      <c r="A54" s="106">
        <v>67</v>
      </c>
      <c r="B54" s="106"/>
      <c r="C54" s="106" t="s">
        <v>420</v>
      </c>
      <c r="D54" s="106" t="s">
        <v>198</v>
      </c>
      <c r="E54" s="106"/>
      <c r="F54" s="106"/>
      <c r="G54" s="106"/>
      <c r="H54" s="106"/>
      <c r="I54" s="106"/>
      <c r="J54" s="106"/>
      <c r="K54" s="106"/>
      <c r="L54" s="106"/>
      <c r="M54" s="106"/>
    </row>
    <row r="55" spans="1:13" s="74" customFormat="1" ht="31.5" customHeight="1">
      <c r="A55" s="106">
        <v>69</v>
      </c>
      <c r="B55" s="106"/>
      <c r="C55" s="106" t="s">
        <v>420</v>
      </c>
      <c r="D55" s="106" t="s">
        <v>901</v>
      </c>
      <c r="E55" s="106"/>
      <c r="F55" s="106"/>
      <c r="G55" s="106"/>
      <c r="H55" s="106"/>
      <c r="I55" s="106"/>
      <c r="J55" s="106"/>
      <c r="K55" s="106"/>
      <c r="L55" s="106"/>
      <c r="M55" s="106"/>
    </row>
    <row r="56" spans="1:13" s="74" customFormat="1" ht="31.5" customHeight="1">
      <c r="A56" s="106">
        <v>70</v>
      </c>
      <c r="B56" s="106"/>
      <c r="C56" s="106" t="s">
        <v>902</v>
      </c>
      <c r="D56" s="106" t="s">
        <v>199</v>
      </c>
      <c r="E56" s="106" t="s">
        <v>903</v>
      </c>
      <c r="F56" s="106" t="s">
        <v>846</v>
      </c>
      <c r="G56" s="106">
        <v>8</v>
      </c>
      <c r="H56" s="106">
        <v>2.8000000000000001E-2</v>
      </c>
      <c r="I56" s="106">
        <v>42</v>
      </c>
      <c r="J56" s="106">
        <v>4.2270000000000003</v>
      </c>
      <c r="K56" s="106"/>
      <c r="L56" s="106"/>
      <c r="M56" s="106"/>
    </row>
    <row r="57" spans="1:13" s="74" customFormat="1" ht="31.5" customHeight="1">
      <c r="A57" s="106">
        <v>71</v>
      </c>
      <c r="B57" s="106"/>
      <c r="C57" s="106" t="s">
        <v>420</v>
      </c>
      <c r="D57" s="108" t="s">
        <v>202</v>
      </c>
      <c r="E57" s="106"/>
      <c r="F57" s="106"/>
      <c r="G57" s="106"/>
      <c r="H57" s="106"/>
      <c r="I57" s="106"/>
      <c r="J57" s="106"/>
      <c r="K57" s="106"/>
      <c r="L57" s="106"/>
      <c r="M57" s="106"/>
    </row>
    <row r="58" spans="1:13" s="74" customFormat="1" ht="31.5" customHeight="1" thickBot="1">
      <c r="A58" s="134"/>
      <c r="B58" s="134"/>
      <c r="C58" s="134" t="s">
        <v>420</v>
      </c>
      <c r="D58" s="134" t="s">
        <v>212</v>
      </c>
      <c r="E58" s="134"/>
      <c r="F58" s="134"/>
      <c r="G58" s="134"/>
      <c r="H58" s="134"/>
      <c r="I58" s="134"/>
      <c r="J58" s="134"/>
      <c r="K58" s="134"/>
      <c r="L58" s="134"/>
      <c r="M58" s="134"/>
    </row>
    <row r="59" spans="1:13" s="74" customFormat="1" ht="31.5" customHeight="1" thickBot="1">
      <c r="A59" s="450" t="s">
        <v>904</v>
      </c>
      <c r="B59" s="451"/>
      <c r="C59" s="451"/>
      <c r="D59" s="451"/>
      <c r="E59" s="451"/>
      <c r="F59" s="451"/>
      <c r="G59" s="451"/>
      <c r="H59" s="451"/>
      <c r="I59" s="451"/>
      <c r="J59" s="451"/>
      <c r="K59" s="451"/>
      <c r="L59" s="451"/>
      <c r="M59" s="452"/>
    </row>
    <row r="60" spans="1:13" s="74" customFormat="1" ht="31.5" customHeight="1" thickBot="1">
      <c r="A60" s="135">
        <v>1</v>
      </c>
      <c r="B60" s="136" t="s">
        <v>420</v>
      </c>
      <c r="C60" s="136" t="s">
        <v>287</v>
      </c>
      <c r="D60" s="136" t="s">
        <v>288</v>
      </c>
      <c r="E60" s="136" t="s">
        <v>866</v>
      </c>
      <c r="F60" s="136" t="s">
        <v>846</v>
      </c>
      <c r="G60" s="136">
        <v>10</v>
      </c>
      <c r="H60" s="136">
        <v>0.1232</v>
      </c>
      <c r="I60" s="136">
        <v>150</v>
      </c>
      <c r="J60" s="136">
        <v>1.83</v>
      </c>
      <c r="K60" s="137"/>
      <c r="L60" s="136"/>
      <c r="M60" s="138"/>
    </row>
    <row r="61" spans="1:13" s="74" customFormat="1" ht="31.5" customHeight="1" thickBot="1">
      <c r="A61" s="135">
        <v>54</v>
      </c>
      <c r="B61" s="136" t="s">
        <v>420</v>
      </c>
      <c r="C61" s="139" t="s">
        <v>742</v>
      </c>
      <c r="D61" s="136" t="s">
        <v>885</v>
      </c>
      <c r="E61" s="136" t="s">
        <v>880</v>
      </c>
      <c r="F61" s="136" t="s">
        <v>846</v>
      </c>
      <c r="G61" s="136" t="s">
        <v>886</v>
      </c>
      <c r="H61" s="136">
        <v>0.03</v>
      </c>
      <c r="I61" s="139">
        <v>90</v>
      </c>
      <c r="J61" s="139">
        <v>1.65</v>
      </c>
      <c r="K61" s="140">
        <f>0.38/2.2</f>
        <v>0.1727272727272727</v>
      </c>
      <c r="L61" s="136"/>
      <c r="M61" s="138" t="s">
        <v>887</v>
      </c>
    </row>
    <row r="62" spans="1:13" s="74" customFormat="1" ht="31.5" customHeight="1" thickBot="1">
      <c r="A62" s="135">
        <v>90</v>
      </c>
      <c r="B62" s="136" t="s">
        <v>420</v>
      </c>
      <c r="C62" s="136" t="s">
        <v>294</v>
      </c>
      <c r="D62" s="136" t="s">
        <v>293</v>
      </c>
      <c r="E62" s="136"/>
      <c r="F62" s="136"/>
      <c r="G62" s="136"/>
      <c r="H62" s="136"/>
      <c r="I62" s="136"/>
      <c r="J62" s="136"/>
      <c r="K62" s="137"/>
      <c r="L62" s="136"/>
      <c r="M62" s="138" t="s">
        <v>887</v>
      </c>
    </row>
    <row r="63" spans="1:13" s="74" customFormat="1" ht="31.5" customHeight="1" thickBot="1">
      <c r="A63" s="141">
        <v>76</v>
      </c>
      <c r="B63" s="142" t="s">
        <v>420</v>
      </c>
      <c r="C63" s="143" t="s">
        <v>905</v>
      </c>
      <c r="D63" s="143" t="s">
        <v>286</v>
      </c>
      <c r="E63" s="143" t="s">
        <v>906</v>
      </c>
      <c r="F63" s="143" t="s">
        <v>846</v>
      </c>
      <c r="G63" s="143">
        <v>16</v>
      </c>
      <c r="H63" s="143">
        <v>3.1300000000000001E-2</v>
      </c>
      <c r="I63" s="143">
        <v>120</v>
      </c>
      <c r="J63" s="143">
        <v>1.83</v>
      </c>
      <c r="K63" s="144">
        <f>0.26/2.4</f>
        <v>0.10833333333333334</v>
      </c>
      <c r="L63" s="143">
        <v>152</v>
      </c>
      <c r="M63" s="145" t="s">
        <v>907</v>
      </c>
    </row>
    <row r="64" spans="1:13" s="74" customFormat="1" ht="31.5" customHeight="1" thickBot="1">
      <c r="A64" s="141">
        <v>138</v>
      </c>
      <c r="B64" s="142" t="s">
        <v>420</v>
      </c>
      <c r="C64" s="146" t="s">
        <v>283</v>
      </c>
      <c r="D64" s="143" t="s">
        <v>282</v>
      </c>
      <c r="E64" s="143" t="s">
        <v>908</v>
      </c>
      <c r="F64" s="143" t="s">
        <v>846</v>
      </c>
      <c r="G64" s="143" t="s">
        <v>909</v>
      </c>
      <c r="H64" s="143">
        <v>0</v>
      </c>
      <c r="I64" s="143">
        <v>130</v>
      </c>
      <c r="J64" s="143">
        <v>0</v>
      </c>
      <c r="K64" s="143">
        <f>0.15/2.4</f>
        <v>6.25E-2</v>
      </c>
      <c r="L64" s="143"/>
      <c r="M64" s="145"/>
    </row>
    <row r="65" spans="1:14" s="74" customFormat="1" ht="31.5" customHeight="1" thickBot="1">
      <c r="A65" s="147">
        <v>1</v>
      </c>
      <c r="B65" s="142" t="s">
        <v>420</v>
      </c>
      <c r="C65" s="142" t="s">
        <v>284</v>
      </c>
      <c r="D65" s="142" t="s">
        <v>281</v>
      </c>
      <c r="E65" s="142" t="s">
        <v>906</v>
      </c>
      <c r="F65" s="142" t="s">
        <v>856</v>
      </c>
      <c r="G65" s="142">
        <v>19</v>
      </c>
      <c r="H65" s="142">
        <v>9.2999999999999999E-2</v>
      </c>
      <c r="I65" s="142">
        <v>51</v>
      </c>
      <c r="J65" s="142">
        <f>1.83/2.4</f>
        <v>0.76250000000000007</v>
      </c>
      <c r="K65" s="148">
        <f>1.734/2.4</f>
        <v>0.72250000000000003</v>
      </c>
      <c r="L65" s="142">
        <v>0</v>
      </c>
      <c r="M65" s="149" t="s">
        <v>887</v>
      </c>
    </row>
    <row r="66" spans="1:14" s="74" customFormat="1" ht="31.5" customHeight="1" thickBot="1">
      <c r="A66" s="147">
        <v>2</v>
      </c>
      <c r="B66" s="142" t="s">
        <v>420</v>
      </c>
      <c r="C66" s="142">
        <v>181261</v>
      </c>
      <c r="D66" s="142" t="s">
        <v>298</v>
      </c>
      <c r="E66" s="142" t="s">
        <v>906</v>
      </c>
      <c r="F66" s="142" t="s">
        <v>846</v>
      </c>
      <c r="G66" s="142">
        <v>25</v>
      </c>
      <c r="H66" s="142">
        <v>0.26269999999999999</v>
      </c>
      <c r="I66" s="142">
        <v>47</v>
      </c>
      <c r="J66" s="142">
        <f>2.31/2.4</f>
        <v>0.96250000000000002</v>
      </c>
      <c r="K66" s="148">
        <f>1.3/2.4</f>
        <v>0.54166666666666674</v>
      </c>
      <c r="L66" s="142">
        <v>44</v>
      </c>
      <c r="M66" s="149" t="s">
        <v>907</v>
      </c>
    </row>
    <row r="67" spans="1:14" s="74" customFormat="1" ht="31.5" customHeight="1" thickBot="1">
      <c r="A67" s="147">
        <v>3</v>
      </c>
      <c r="B67" s="142" t="s">
        <v>420</v>
      </c>
      <c r="C67" s="142" t="s">
        <v>300</v>
      </c>
      <c r="D67" s="142" t="s">
        <v>299</v>
      </c>
      <c r="E67" s="142" t="s">
        <v>906</v>
      </c>
      <c r="F67" s="142" t="s">
        <v>856</v>
      </c>
      <c r="G67" s="142">
        <v>19</v>
      </c>
      <c r="H67" s="142">
        <v>4.9700000000000001E-2</v>
      </c>
      <c r="I67" s="142">
        <v>90</v>
      </c>
      <c r="J67" s="142">
        <f>1.83/2.4</f>
        <v>0.76250000000000007</v>
      </c>
      <c r="K67" s="148">
        <f>0.618/2.4</f>
        <v>0.25750000000000001</v>
      </c>
      <c r="L67" s="142">
        <v>144</v>
      </c>
      <c r="M67" s="149" t="s">
        <v>887</v>
      </c>
      <c r="N67" s="150"/>
    </row>
    <row r="68" spans="1:14" s="74" customFormat="1" ht="31.5" customHeight="1" thickBot="1">
      <c r="A68" s="147">
        <v>4</v>
      </c>
      <c r="B68" s="142" t="s">
        <v>420</v>
      </c>
      <c r="C68" s="142" t="s">
        <v>290</v>
      </c>
      <c r="D68" s="142" t="s">
        <v>289</v>
      </c>
      <c r="E68" s="142" t="s">
        <v>910</v>
      </c>
      <c r="F68" s="142" t="s">
        <v>846</v>
      </c>
      <c r="G68" s="142">
        <v>6</v>
      </c>
      <c r="H68" s="142">
        <v>2.3999999999999998E-3</v>
      </c>
      <c r="I68" s="151">
        <v>240</v>
      </c>
      <c r="J68" s="142">
        <f>12.25/2.4</f>
        <v>5.104166666666667</v>
      </c>
      <c r="K68" s="148">
        <f>0.08/2.4</f>
        <v>3.3333333333333333E-2</v>
      </c>
      <c r="L68" s="142">
        <v>296</v>
      </c>
      <c r="M68" s="149" t="s">
        <v>907</v>
      </c>
      <c r="N68" s="150"/>
    </row>
    <row r="69" spans="1:14" s="74" customFormat="1" ht="31.5" customHeight="1" thickBot="1">
      <c r="A69" s="147">
        <v>5</v>
      </c>
      <c r="B69" s="152" t="s">
        <v>420</v>
      </c>
      <c r="C69" s="152">
        <v>181241</v>
      </c>
      <c r="D69" s="152" t="s">
        <v>301</v>
      </c>
      <c r="E69" s="152" t="s">
        <v>906</v>
      </c>
      <c r="F69" s="152" t="s">
        <v>846</v>
      </c>
      <c r="G69" s="152">
        <v>25</v>
      </c>
      <c r="H69" s="152">
        <v>0.17780000000000001</v>
      </c>
      <c r="I69" s="152">
        <v>60</v>
      </c>
      <c r="J69" s="152">
        <f>2.36/2.4</f>
        <v>0.98333333333333328</v>
      </c>
      <c r="K69" s="153">
        <f>0.86/2.4</f>
        <v>0.35833333333333334</v>
      </c>
      <c r="L69" s="152">
        <v>65</v>
      </c>
      <c r="M69" s="154" t="s">
        <v>907</v>
      </c>
      <c r="N69" s="150"/>
    </row>
    <row r="70" spans="1:14" s="74" customFormat="1" ht="31.5" customHeight="1" thickBot="1">
      <c r="A70" s="147">
        <v>6</v>
      </c>
      <c r="B70" s="143" t="s">
        <v>420</v>
      </c>
      <c r="C70" s="143" t="s">
        <v>296</v>
      </c>
      <c r="D70" s="143" t="s">
        <v>295</v>
      </c>
      <c r="E70" s="143" t="s">
        <v>906</v>
      </c>
      <c r="F70" s="143" t="s">
        <v>911</v>
      </c>
      <c r="G70" s="143">
        <v>19</v>
      </c>
      <c r="H70" s="143">
        <v>3.1300000000000001E-2</v>
      </c>
      <c r="I70" s="143">
        <v>90</v>
      </c>
      <c r="J70" s="143">
        <f>2.04/2.4</f>
        <v>0.85000000000000009</v>
      </c>
      <c r="K70" s="144">
        <f>0.333/2.4</f>
        <v>0.13875000000000001</v>
      </c>
      <c r="L70" s="143">
        <v>235</v>
      </c>
      <c r="M70" s="145" t="s">
        <v>887</v>
      </c>
      <c r="N70" s="150"/>
    </row>
    <row r="71" spans="1:14" s="74" customFormat="1" ht="31.5" customHeight="1" thickBot="1">
      <c r="A71" s="147">
        <v>7</v>
      </c>
      <c r="B71" s="155" t="s">
        <v>420</v>
      </c>
      <c r="C71" s="155" t="s">
        <v>819</v>
      </c>
      <c r="D71" s="155" t="s">
        <v>912</v>
      </c>
      <c r="E71" s="155" t="s">
        <v>906</v>
      </c>
      <c r="F71" s="155" t="s">
        <v>846</v>
      </c>
      <c r="G71" s="155">
        <v>10</v>
      </c>
      <c r="H71" s="155">
        <v>1.84E-2</v>
      </c>
      <c r="I71" s="155">
        <v>120</v>
      </c>
      <c r="J71" s="156">
        <f>1.726/2.4</f>
        <v>0.71916666666666673</v>
      </c>
      <c r="K71" s="156">
        <f>0.135/2.4</f>
        <v>5.6250000000000008E-2</v>
      </c>
      <c r="L71" s="155">
        <v>100</v>
      </c>
      <c r="M71" s="155" t="s">
        <v>907</v>
      </c>
      <c r="N71" s="150"/>
    </row>
    <row r="72" spans="1:14" s="74" customFormat="1" ht="31.5" customHeight="1" thickBot="1">
      <c r="A72" s="147">
        <v>8</v>
      </c>
      <c r="B72" s="143" t="s">
        <v>420</v>
      </c>
      <c r="C72" s="146">
        <v>551435</v>
      </c>
      <c r="D72" s="157" t="s">
        <v>306</v>
      </c>
      <c r="E72" s="143" t="s">
        <v>906</v>
      </c>
      <c r="F72" s="143" t="s">
        <v>856</v>
      </c>
      <c r="G72" s="143">
        <v>17</v>
      </c>
      <c r="H72" s="143">
        <v>1.9099999999999999E-2</v>
      </c>
      <c r="I72" s="143">
        <v>120</v>
      </c>
      <c r="J72" s="151">
        <f>2.294/2.4</f>
        <v>0.95583333333333342</v>
      </c>
      <c r="K72" s="158">
        <f>0.18/2.4</f>
        <v>7.4999999999999997E-2</v>
      </c>
      <c r="L72" s="143">
        <v>308</v>
      </c>
      <c r="M72" s="145" t="s">
        <v>887</v>
      </c>
      <c r="N72" s="150"/>
    </row>
    <row r="73" spans="1:14" s="74" customFormat="1" ht="31.5" customHeight="1" thickBot="1">
      <c r="A73" s="147">
        <v>9</v>
      </c>
      <c r="B73" s="152" t="s">
        <v>420</v>
      </c>
      <c r="C73" s="152" t="s">
        <v>190</v>
      </c>
      <c r="D73" s="152" t="s">
        <v>191</v>
      </c>
      <c r="E73" s="152" t="s">
        <v>845</v>
      </c>
      <c r="F73" s="152" t="s">
        <v>846</v>
      </c>
      <c r="G73" s="152">
        <v>11.5</v>
      </c>
      <c r="H73" s="152">
        <v>2.3599999999999999E-2</v>
      </c>
      <c r="I73" s="152">
        <v>120</v>
      </c>
      <c r="J73" s="159">
        <f>1.754/2.4</f>
        <v>0.73083333333333333</v>
      </c>
      <c r="K73" s="159">
        <f>0.17/2.4</f>
        <v>7.0833333333333345E-2</v>
      </c>
      <c r="L73" s="152">
        <v>102</v>
      </c>
      <c r="M73" s="154" t="s">
        <v>907</v>
      </c>
      <c r="N73" s="150"/>
    </row>
    <row r="74" spans="1:14" s="74" customFormat="1" ht="31.5" customHeight="1">
      <c r="A74" s="160">
        <v>10</v>
      </c>
      <c r="B74" s="161" t="s">
        <v>420</v>
      </c>
      <c r="C74" s="162">
        <v>5402</v>
      </c>
      <c r="D74" s="161" t="s">
        <v>27</v>
      </c>
      <c r="E74" s="161" t="s">
        <v>845</v>
      </c>
      <c r="F74" s="161" t="s">
        <v>856</v>
      </c>
      <c r="G74" s="161">
        <v>11</v>
      </c>
      <c r="H74" s="162">
        <v>5.7000000000000002E-3</v>
      </c>
      <c r="I74" s="163">
        <v>180</v>
      </c>
      <c r="J74" s="164">
        <f>2.363/2.4</f>
        <v>0.98458333333333337</v>
      </c>
      <c r="K74" s="164">
        <f>0.084/2.4</f>
        <v>3.5000000000000003E-2</v>
      </c>
      <c r="L74" s="161">
        <v>433</v>
      </c>
      <c r="M74" s="161" t="s">
        <v>907</v>
      </c>
      <c r="N74" s="150"/>
    </row>
    <row r="75" spans="1:14" s="74" customFormat="1" ht="31.5" customHeight="1" thickBot="1">
      <c r="A75" s="111">
        <v>17</v>
      </c>
      <c r="B75" s="111" t="s">
        <v>420</v>
      </c>
      <c r="C75" s="112">
        <v>5016</v>
      </c>
      <c r="D75" s="111" t="s">
        <v>264</v>
      </c>
      <c r="E75" s="111" t="s">
        <v>845</v>
      </c>
      <c r="F75" s="111" t="s">
        <v>846</v>
      </c>
      <c r="G75" s="111">
        <v>16</v>
      </c>
      <c r="H75" s="111">
        <v>3.2000000000000001E-2</v>
      </c>
      <c r="I75" s="111">
        <v>120</v>
      </c>
      <c r="J75" s="115">
        <f>2.2/2.4</f>
        <v>0.91666666666666674</v>
      </c>
      <c r="K75" s="115">
        <f>0.165/2.4</f>
        <v>6.8750000000000006E-2</v>
      </c>
      <c r="L75" s="111">
        <v>144</v>
      </c>
      <c r="M75" s="111" t="s">
        <v>907</v>
      </c>
      <c r="N75" s="150"/>
    </row>
    <row r="76" spans="1:14" s="74" customFormat="1" ht="31.5" customHeight="1" thickBot="1">
      <c r="A76" s="165">
        <v>11</v>
      </c>
      <c r="B76" s="166" t="s">
        <v>420</v>
      </c>
      <c r="C76" s="167" t="s">
        <v>312</v>
      </c>
      <c r="D76" s="166" t="s">
        <v>118</v>
      </c>
      <c r="E76" s="166" t="s">
        <v>845</v>
      </c>
      <c r="F76" s="166" t="s">
        <v>846</v>
      </c>
      <c r="G76" s="166">
        <v>51</v>
      </c>
      <c r="H76" s="166">
        <v>0.47110000000000002</v>
      </c>
      <c r="I76" s="168">
        <v>35</v>
      </c>
      <c r="J76" s="168">
        <v>0</v>
      </c>
      <c r="K76" s="169">
        <f>0.2285/2.4</f>
        <v>9.5208333333333339E-2</v>
      </c>
      <c r="L76" s="166">
        <v>0</v>
      </c>
      <c r="M76" s="170" t="s">
        <v>887</v>
      </c>
      <c r="N76" s="150"/>
    </row>
    <row r="77" spans="1:14" s="74" customFormat="1" ht="31.5" customHeight="1" thickBot="1">
      <c r="A77" s="165">
        <v>12</v>
      </c>
      <c r="B77" s="166" t="s">
        <v>420</v>
      </c>
      <c r="C77" s="171" t="s">
        <v>316</v>
      </c>
      <c r="D77" s="166" t="s">
        <v>315</v>
      </c>
      <c r="E77" s="166" t="s">
        <v>845</v>
      </c>
      <c r="F77" s="166" t="s">
        <v>846</v>
      </c>
      <c r="G77" s="166">
        <v>51</v>
      </c>
      <c r="H77" s="166">
        <v>0.47110000000000002</v>
      </c>
      <c r="I77" s="168">
        <v>30</v>
      </c>
      <c r="J77" s="168">
        <v>0</v>
      </c>
      <c r="K77" s="169">
        <f>0.2285/2.4</f>
        <v>9.5208333333333339E-2</v>
      </c>
      <c r="L77" s="166">
        <v>0</v>
      </c>
      <c r="M77" s="170" t="s">
        <v>887</v>
      </c>
      <c r="N77" s="150"/>
    </row>
    <row r="78" spans="1:14" s="74" customFormat="1" ht="36.75" customHeight="1" thickBot="1">
      <c r="A78" s="165">
        <v>13</v>
      </c>
      <c r="B78" s="166" t="s">
        <v>420</v>
      </c>
      <c r="C78" s="171" t="s">
        <v>320</v>
      </c>
      <c r="D78" s="166" t="s">
        <v>913</v>
      </c>
      <c r="E78" s="166" t="s">
        <v>845</v>
      </c>
      <c r="F78" s="166" t="s">
        <v>846</v>
      </c>
      <c r="G78" s="166">
        <v>51</v>
      </c>
      <c r="H78" s="166">
        <v>0.47110000000000002</v>
      </c>
      <c r="I78" s="168">
        <v>30</v>
      </c>
      <c r="J78" s="168">
        <v>0</v>
      </c>
      <c r="K78" s="169">
        <f>0.2667/2.4</f>
        <v>0.111125</v>
      </c>
      <c r="L78" s="166">
        <v>0</v>
      </c>
      <c r="M78" s="170" t="s">
        <v>887</v>
      </c>
      <c r="N78" s="150"/>
    </row>
    <row r="79" spans="1:14" s="74" customFormat="1" ht="37.5" customHeight="1" thickBot="1">
      <c r="A79" s="165">
        <v>14</v>
      </c>
      <c r="B79" s="166" t="s">
        <v>420</v>
      </c>
      <c r="C79" s="167" t="s">
        <v>314</v>
      </c>
      <c r="D79" s="166" t="s">
        <v>313</v>
      </c>
      <c r="E79" s="166" t="s">
        <v>898</v>
      </c>
      <c r="F79" s="166" t="s">
        <v>846</v>
      </c>
      <c r="G79" s="166">
        <v>16</v>
      </c>
      <c r="H79" s="166">
        <v>1.0200000000000001E-2</v>
      </c>
      <c r="I79" s="172">
        <v>120</v>
      </c>
      <c r="J79" s="168">
        <f>13/2.4</f>
        <v>5.416666666666667</v>
      </c>
      <c r="K79" s="173">
        <f>0.3/2.4</f>
        <v>0.125</v>
      </c>
      <c r="L79" s="166">
        <v>165</v>
      </c>
      <c r="M79" s="170" t="s">
        <v>887</v>
      </c>
      <c r="N79" s="150"/>
    </row>
    <row r="80" spans="1:14" s="74" customFormat="1" ht="31.5" customHeight="1" thickBot="1">
      <c r="A80" s="165">
        <v>15</v>
      </c>
      <c r="B80" s="166" t="s">
        <v>420</v>
      </c>
      <c r="C80" s="167" t="s">
        <v>324</v>
      </c>
      <c r="D80" s="166" t="s">
        <v>914</v>
      </c>
      <c r="E80" s="166" t="s">
        <v>898</v>
      </c>
      <c r="F80" s="166" t="s">
        <v>846</v>
      </c>
      <c r="G80" s="166">
        <v>16</v>
      </c>
      <c r="H80" s="166">
        <v>1.0200000000000001E-2</v>
      </c>
      <c r="I80" s="172">
        <v>120</v>
      </c>
      <c r="J80" s="168">
        <f>13/2.4</f>
        <v>5.416666666666667</v>
      </c>
      <c r="K80" s="173">
        <f>0.3/2.4</f>
        <v>0.125</v>
      </c>
      <c r="L80" s="166">
        <v>165</v>
      </c>
      <c r="M80" s="170" t="s">
        <v>887</v>
      </c>
      <c r="N80" s="150"/>
    </row>
    <row r="81" spans="1:15" s="74" customFormat="1" ht="31.5" customHeight="1" thickBot="1">
      <c r="A81" s="165">
        <v>16</v>
      </c>
      <c r="B81" s="166" t="s">
        <v>420</v>
      </c>
      <c r="C81" s="167">
        <v>6069</v>
      </c>
      <c r="D81" s="166" t="s">
        <v>270</v>
      </c>
      <c r="E81" s="166" t="s">
        <v>915</v>
      </c>
      <c r="F81" s="166" t="s">
        <v>908</v>
      </c>
      <c r="G81" s="166" t="s">
        <v>881</v>
      </c>
      <c r="H81" s="166">
        <v>5.8000000000000003E-2</v>
      </c>
      <c r="I81" s="172">
        <v>120</v>
      </c>
      <c r="J81" s="168">
        <f>3/2.4</f>
        <v>1.25</v>
      </c>
      <c r="K81" s="173">
        <f>0.43/2.4</f>
        <v>0.17916666666666667</v>
      </c>
      <c r="L81" s="166">
        <v>65</v>
      </c>
      <c r="M81" s="170" t="s">
        <v>887</v>
      </c>
      <c r="N81" s="150"/>
    </row>
    <row r="82" spans="1:15" s="74" customFormat="1" ht="31.5" customHeight="1" thickBot="1">
      <c r="A82" s="165">
        <v>17</v>
      </c>
      <c r="B82" s="166" t="s">
        <v>420</v>
      </c>
      <c r="C82" s="167" t="s">
        <v>329</v>
      </c>
      <c r="D82" s="166" t="s">
        <v>916</v>
      </c>
      <c r="E82" s="166" t="s">
        <v>906</v>
      </c>
      <c r="F82" s="166" t="s">
        <v>856</v>
      </c>
      <c r="G82" s="166">
        <v>11</v>
      </c>
      <c r="H82" s="166">
        <v>1.5900000000000001E-2</v>
      </c>
      <c r="I82" s="172">
        <v>90</v>
      </c>
      <c r="J82" s="168">
        <f>1.83/2.4</f>
        <v>0.76250000000000007</v>
      </c>
      <c r="K82" s="173">
        <f>0.25/2.4</f>
        <v>0.10416666666666667</v>
      </c>
      <c r="L82" s="166">
        <v>155</v>
      </c>
      <c r="M82" s="170" t="s">
        <v>887</v>
      </c>
      <c r="N82" s="150"/>
    </row>
    <row r="83" spans="1:15" s="74" customFormat="1" ht="31.5" customHeight="1" thickBot="1">
      <c r="A83" s="165">
        <v>18</v>
      </c>
      <c r="B83" s="166" t="s">
        <v>420</v>
      </c>
      <c r="C83" s="167" t="s">
        <v>328</v>
      </c>
      <c r="D83" s="166" t="s">
        <v>327</v>
      </c>
      <c r="E83" s="166" t="s">
        <v>906</v>
      </c>
      <c r="F83" s="166" t="s">
        <v>856</v>
      </c>
      <c r="G83" s="166">
        <v>19</v>
      </c>
      <c r="H83" s="166">
        <v>0.1082</v>
      </c>
      <c r="I83" s="172">
        <v>90</v>
      </c>
      <c r="J83" s="168">
        <f>1.755/2.4</f>
        <v>0.73124999999999996</v>
      </c>
      <c r="K83" s="173">
        <f>0.42/2.4</f>
        <v>0.17499999999999999</v>
      </c>
      <c r="L83" s="166">
        <v>68</v>
      </c>
      <c r="M83" s="170" t="s">
        <v>887</v>
      </c>
      <c r="N83" s="150"/>
    </row>
    <row r="84" spans="1:15" s="74" customFormat="1" ht="31.5" customHeight="1" thickBot="1">
      <c r="A84" s="165">
        <v>19</v>
      </c>
      <c r="B84" s="166" t="s">
        <v>420</v>
      </c>
      <c r="C84" s="167">
        <v>4630</v>
      </c>
      <c r="D84" s="166" t="s">
        <v>334</v>
      </c>
      <c r="E84" s="166" t="s">
        <v>906</v>
      </c>
      <c r="F84" s="166" t="s">
        <v>856</v>
      </c>
      <c r="G84" s="166">
        <v>11</v>
      </c>
      <c r="H84" s="166">
        <v>6.1000000000000004E-3</v>
      </c>
      <c r="I84" s="172">
        <v>180</v>
      </c>
      <c r="J84" s="168">
        <f>2.363/2.4</f>
        <v>0.98458333333333337</v>
      </c>
      <c r="K84" s="173">
        <f>0.084/2.4</f>
        <v>3.5000000000000003E-2</v>
      </c>
      <c r="L84" s="166">
        <v>402</v>
      </c>
      <c r="M84" s="170" t="s">
        <v>907</v>
      </c>
      <c r="N84" s="174" t="s">
        <v>917</v>
      </c>
      <c r="O84" s="175" t="s">
        <v>918</v>
      </c>
    </row>
    <row r="85" spans="1:15" s="74" customFormat="1" ht="31.5" customHeight="1" thickBot="1">
      <c r="A85" s="165">
        <v>20</v>
      </c>
      <c r="B85" s="166" t="s">
        <v>420</v>
      </c>
      <c r="C85" s="166" t="s">
        <v>168</v>
      </c>
      <c r="D85" s="166" t="s">
        <v>167</v>
      </c>
      <c r="E85" s="166" t="s">
        <v>845</v>
      </c>
      <c r="F85" s="166" t="s">
        <v>846</v>
      </c>
      <c r="G85" s="166">
        <v>28</v>
      </c>
      <c r="H85" s="166">
        <v>0.31509999999999999</v>
      </c>
      <c r="I85" s="166">
        <v>30</v>
      </c>
      <c r="J85" s="176">
        <f>2.046/2.4</f>
        <v>0.85249999999999992</v>
      </c>
      <c r="K85" s="176">
        <f>1.14/2.4</f>
        <v>0.47499999999999998</v>
      </c>
      <c r="L85" s="166">
        <v>46</v>
      </c>
      <c r="M85" s="170" t="s">
        <v>907</v>
      </c>
      <c r="N85" s="177"/>
      <c r="O85" s="177"/>
    </row>
    <row r="86" spans="1:15" s="74" customFormat="1" ht="31.5" customHeight="1" thickBot="1">
      <c r="A86" s="165">
        <v>21</v>
      </c>
      <c r="B86" s="166" t="s">
        <v>420</v>
      </c>
      <c r="C86" s="166" t="s">
        <v>336</v>
      </c>
      <c r="D86" s="166" t="s">
        <v>335</v>
      </c>
      <c r="E86" s="166" t="s">
        <v>919</v>
      </c>
      <c r="F86" s="166" t="s">
        <v>846</v>
      </c>
      <c r="G86" s="166">
        <v>20</v>
      </c>
      <c r="H86" s="166">
        <v>0.1719</v>
      </c>
      <c r="I86" s="166">
        <v>30</v>
      </c>
      <c r="J86" s="176">
        <v>0</v>
      </c>
      <c r="K86" s="176">
        <f>0.533/2.4</f>
        <v>0.22208333333333335</v>
      </c>
      <c r="L86" s="166">
        <v>43</v>
      </c>
      <c r="M86" s="170" t="s">
        <v>887</v>
      </c>
      <c r="N86" s="177"/>
      <c r="O86" s="177"/>
    </row>
    <row r="87" spans="1:15" s="74" customFormat="1" ht="31.5" customHeight="1" thickBot="1">
      <c r="A87" s="165">
        <v>21</v>
      </c>
      <c r="B87" s="178" t="s">
        <v>420</v>
      </c>
      <c r="C87" s="167" t="s">
        <v>175</v>
      </c>
      <c r="D87" s="169" t="s">
        <v>174</v>
      </c>
      <c r="E87" s="169" t="s">
        <v>845</v>
      </c>
      <c r="F87" s="169" t="s">
        <v>846</v>
      </c>
      <c r="G87" s="169">
        <v>22</v>
      </c>
      <c r="H87" s="169">
        <v>3.49E-2</v>
      </c>
      <c r="I87" s="172">
        <v>120</v>
      </c>
      <c r="J87" s="172">
        <f>2.225/2.4</f>
        <v>0.92708333333333337</v>
      </c>
      <c r="K87" s="179">
        <f>0.505/2.4</f>
        <v>0.21041666666666667</v>
      </c>
      <c r="L87" s="180">
        <v>256</v>
      </c>
      <c r="M87" s="181" t="s">
        <v>907</v>
      </c>
      <c r="N87" s="175" t="s">
        <v>920</v>
      </c>
      <c r="O87" s="175" t="s">
        <v>921</v>
      </c>
    </row>
    <row r="88" spans="1:15" s="74" customFormat="1" ht="31.5" customHeight="1" thickBot="1">
      <c r="A88" s="165">
        <v>22</v>
      </c>
      <c r="B88" s="178" t="s">
        <v>420</v>
      </c>
      <c r="C88" s="182" t="s">
        <v>922</v>
      </c>
      <c r="D88" s="183" t="s">
        <v>263</v>
      </c>
      <c r="E88" s="183" t="s">
        <v>923</v>
      </c>
      <c r="F88" s="183" t="s">
        <v>908</v>
      </c>
      <c r="G88" s="183" t="s">
        <v>924</v>
      </c>
      <c r="H88" s="183">
        <v>1.49E-2</v>
      </c>
      <c r="I88" s="184">
        <v>140</v>
      </c>
      <c r="J88" s="184">
        <v>0</v>
      </c>
      <c r="K88" s="183">
        <f>0.114/2.4</f>
        <v>4.7500000000000001E-2</v>
      </c>
      <c r="L88" s="183">
        <v>78</v>
      </c>
      <c r="M88" s="185" t="s">
        <v>887</v>
      </c>
      <c r="N88" s="177"/>
      <c r="O88" s="177"/>
    </row>
    <row r="89" spans="1:15" s="74" customFormat="1" ht="31.5" customHeight="1" thickBot="1">
      <c r="A89" s="186">
        <v>23</v>
      </c>
      <c r="B89" s="187" t="s">
        <v>420</v>
      </c>
      <c r="C89" s="182">
        <v>504</v>
      </c>
      <c r="D89" s="183" t="s">
        <v>230</v>
      </c>
      <c r="E89" s="183" t="s">
        <v>906</v>
      </c>
      <c r="F89" s="183" t="s">
        <v>856</v>
      </c>
      <c r="G89" s="183">
        <v>11</v>
      </c>
      <c r="H89" s="183">
        <v>1.5900000000000001E-2</v>
      </c>
      <c r="I89" s="188">
        <v>90</v>
      </c>
      <c r="J89" s="184">
        <f>1.83/2.4</f>
        <v>0.76250000000000007</v>
      </c>
      <c r="K89" s="189">
        <f>0.25/2.4</f>
        <v>0.10416666666666667</v>
      </c>
      <c r="L89" s="183">
        <v>155</v>
      </c>
      <c r="M89" s="185" t="s">
        <v>887</v>
      </c>
      <c r="N89" s="175">
        <v>300</v>
      </c>
      <c r="O89" s="177"/>
    </row>
    <row r="90" spans="1:15" s="74" customFormat="1" ht="31.5" customHeight="1" thickBot="1">
      <c r="A90" s="165">
        <v>24</v>
      </c>
      <c r="B90" s="178" t="s">
        <v>420</v>
      </c>
      <c r="C90" s="167">
        <v>181075</v>
      </c>
      <c r="D90" s="166" t="s">
        <v>339</v>
      </c>
      <c r="E90" s="166" t="s">
        <v>906</v>
      </c>
      <c r="F90" s="166" t="s">
        <v>846</v>
      </c>
      <c r="G90" s="166">
        <v>24</v>
      </c>
      <c r="H90" s="166">
        <v>0.29591659999999997</v>
      </c>
      <c r="I90" s="172">
        <v>50</v>
      </c>
      <c r="J90" s="168">
        <f>2.35/2.4</f>
        <v>0.97916666666666674</v>
      </c>
      <c r="K90" s="173">
        <f>1.46/2.4</f>
        <v>0.60833333333333339</v>
      </c>
      <c r="L90" s="166">
        <v>36</v>
      </c>
      <c r="M90" s="170" t="s">
        <v>907</v>
      </c>
      <c r="N90" s="177"/>
      <c r="O90" s="177"/>
    </row>
    <row r="91" spans="1:15" s="74" customFormat="1" ht="31.5" customHeight="1" thickBot="1">
      <c r="A91" s="165">
        <v>25</v>
      </c>
      <c r="B91" s="178" t="s">
        <v>420</v>
      </c>
      <c r="C91" s="167" t="s">
        <v>544</v>
      </c>
      <c r="D91" s="166" t="s">
        <v>342</v>
      </c>
      <c r="E91" s="166" t="s">
        <v>906</v>
      </c>
      <c r="F91" s="166" t="s">
        <v>846</v>
      </c>
      <c r="G91" s="166">
        <v>24</v>
      </c>
      <c r="H91" s="166">
        <v>0.23669999999999999</v>
      </c>
      <c r="I91" s="172">
        <v>45</v>
      </c>
      <c r="J91" s="168">
        <f>2.1/2.4</f>
        <v>0.87500000000000011</v>
      </c>
      <c r="K91" s="173">
        <f>1.652/2.4</f>
        <v>0.68833333333333335</v>
      </c>
      <c r="L91" s="166">
        <v>45</v>
      </c>
      <c r="M91" s="170" t="s">
        <v>887</v>
      </c>
      <c r="N91" s="177"/>
      <c r="O91" s="177"/>
    </row>
    <row r="92" spans="1:15" s="74" customFormat="1" ht="31.5" customHeight="1" thickBot="1">
      <c r="A92" s="165">
        <v>24</v>
      </c>
      <c r="B92" s="178" t="s">
        <v>420</v>
      </c>
      <c r="C92" s="167" t="s">
        <v>925</v>
      </c>
      <c r="D92" s="166" t="s">
        <v>343</v>
      </c>
      <c r="E92" s="166" t="s">
        <v>919</v>
      </c>
      <c r="F92" s="166" t="s">
        <v>846</v>
      </c>
      <c r="G92" s="166">
        <v>8</v>
      </c>
      <c r="H92" s="166">
        <v>5.57E-2</v>
      </c>
      <c r="I92" s="172">
        <v>140</v>
      </c>
      <c r="J92" s="168">
        <f>2/2.4</f>
        <v>0.83333333333333337</v>
      </c>
      <c r="K92" s="173">
        <f>0.661/2.4</f>
        <v>0.2754166666666667</v>
      </c>
      <c r="L92" s="166">
        <v>21</v>
      </c>
      <c r="M92" s="170" t="s">
        <v>887</v>
      </c>
      <c r="N92" s="177"/>
      <c r="O92" s="177"/>
    </row>
    <row r="93" spans="1:15" s="74" customFormat="1" ht="31.5" customHeight="1" thickBot="1">
      <c r="A93" s="165">
        <v>25</v>
      </c>
      <c r="B93" s="178" t="s">
        <v>420</v>
      </c>
      <c r="C93" s="167" t="s">
        <v>205</v>
      </c>
      <c r="D93" s="166" t="s">
        <v>204</v>
      </c>
      <c r="E93" s="166" t="s">
        <v>926</v>
      </c>
      <c r="F93" s="166" t="s">
        <v>846</v>
      </c>
      <c r="G93" s="166">
        <v>18</v>
      </c>
      <c r="H93" s="166">
        <v>0.24959999999999999</v>
      </c>
      <c r="I93" s="172">
        <v>45</v>
      </c>
      <c r="J93" s="168">
        <f>2/2.4</f>
        <v>0.83333333333333337</v>
      </c>
      <c r="K93" s="173">
        <f>1.44/2.4</f>
        <v>0.6</v>
      </c>
      <c r="L93" s="166">
        <v>24</v>
      </c>
      <c r="M93" s="170" t="s">
        <v>887</v>
      </c>
      <c r="N93" s="177"/>
      <c r="O93" s="177"/>
    </row>
    <row r="94" spans="1:15" s="74" customFormat="1" ht="31.5" customHeight="1" thickBot="1">
      <c r="A94" s="165">
        <v>26</v>
      </c>
      <c r="B94" s="178" t="s">
        <v>420</v>
      </c>
      <c r="C94" s="167">
        <v>7159</v>
      </c>
      <c r="D94" s="166" t="s">
        <v>446</v>
      </c>
      <c r="E94" s="166" t="s">
        <v>906</v>
      </c>
      <c r="F94" s="166" t="s">
        <v>846</v>
      </c>
      <c r="G94" s="166">
        <v>25</v>
      </c>
      <c r="H94" s="166">
        <v>4.5150000000000003E-2</v>
      </c>
      <c r="I94" s="172">
        <v>120</v>
      </c>
      <c r="J94" s="168">
        <f>0.271/2.4</f>
        <v>0.11291666666666668</v>
      </c>
      <c r="K94" s="173">
        <f>0.248/2.4</f>
        <v>0.10333333333333333</v>
      </c>
      <c r="L94" s="166">
        <v>256</v>
      </c>
      <c r="M94" s="170" t="s">
        <v>907</v>
      </c>
      <c r="N94" s="175" t="s">
        <v>927</v>
      </c>
      <c r="O94" s="177"/>
    </row>
    <row r="95" spans="1:15" s="74" customFormat="1" ht="31.5" customHeight="1" thickBot="1">
      <c r="A95" s="165">
        <v>27</v>
      </c>
      <c r="B95" s="178" t="s">
        <v>420</v>
      </c>
      <c r="C95" s="167" t="s">
        <v>150</v>
      </c>
      <c r="D95" s="166" t="s">
        <v>346</v>
      </c>
      <c r="E95" s="166" t="s">
        <v>906</v>
      </c>
      <c r="F95" s="166" t="s">
        <v>911</v>
      </c>
      <c r="G95" s="166">
        <v>21</v>
      </c>
      <c r="H95" s="166">
        <v>0.1168</v>
      </c>
      <c r="I95" s="172">
        <v>90</v>
      </c>
      <c r="J95" s="168">
        <f>2.363/2.4</f>
        <v>0.98458333333333337</v>
      </c>
      <c r="K95" s="173">
        <f>1.24/2.4</f>
        <v>0.51666666666666672</v>
      </c>
      <c r="L95" s="166">
        <v>77</v>
      </c>
      <c r="M95" s="170" t="s">
        <v>887</v>
      </c>
      <c r="N95" s="177"/>
      <c r="O95" s="177"/>
    </row>
    <row r="96" spans="1:15" s="74" customFormat="1" ht="31.5" customHeight="1" thickBot="1">
      <c r="A96" s="165">
        <v>27</v>
      </c>
      <c r="B96" s="178" t="s">
        <v>420</v>
      </c>
      <c r="C96" s="167" t="s">
        <v>350</v>
      </c>
      <c r="D96" s="166" t="s">
        <v>349</v>
      </c>
      <c r="E96" s="166" t="s">
        <v>906</v>
      </c>
      <c r="F96" s="166" t="s">
        <v>856</v>
      </c>
      <c r="G96" s="166">
        <v>21</v>
      </c>
      <c r="H96" s="166">
        <v>8.6400000000000005E-2</v>
      </c>
      <c r="I96" s="172">
        <v>90</v>
      </c>
      <c r="J96" s="168">
        <f>2.225/2.4</f>
        <v>0.92708333333333337</v>
      </c>
      <c r="K96" s="173">
        <f>1.938/2.4</f>
        <v>0.8075</v>
      </c>
      <c r="L96" s="166">
        <v>104</v>
      </c>
      <c r="M96" s="170" t="s">
        <v>887</v>
      </c>
      <c r="N96" s="177"/>
      <c r="O96" s="177"/>
    </row>
    <row r="97" spans="1:15" s="74" customFormat="1" ht="31.5" customHeight="1" thickBot="1">
      <c r="A97" s="165">
        <v>28</v>
      </c>
      <c r="B97" s="178" t="s">
        <v>420</v>
      </c>
      <c r="C97" s="167" t="s">
        <v>352</v>
      </c>
      <c r="D97" s="166" t="s">
        <v>351</v>
      </c>
      <c r="E97" s="166" t="s">
        <v>898</v>
      </c>
      <c r="F97" s="166" t="s">
        <v>846</v>
      </c>
      <c r="G97" s="166">
        <v>38</v>
      </c>
      <c r="H97" s="166">
        <v>7.9299999999999995E-2</v>
      </c>
      <c r="I97" s="172">
        <v>73</v>
      </c>
      <c r="J97" s="168"/>
      <c r="K97" s="173">
        <f>0.46429/2.4</f>
        <v>0.19345416666666668</v>
      </c>
      <c r="L97" s="166"/>
      <c r="M97" s="170" t="s">
        <v>887</v>
      </c>
      <c r="N97" s="175" t="s">
        <v>928</v>
      </c>
      <c r="O97" s="177"/>
    </row>
    <row r="98" spans="1:15" s="74" customFormat="1" ht="31.5" customHeight="1" thickBot="1">
      <c r="A98" s="165">
        <v>29</v>
      </c>
      <c r="B98" s="178" t="s">
        <v>420</v>
      </c>
      <c r="C98" s="167" t="s">
        <v>354</v>
      </c>
      <c r="D98" s="166" t="s">
        <v>353</v>
      </c>
      <c r="E98" s="166" t="s">
        <v>906</v>
      </c>
      <c r="F98" s="166" t="s">
        <v>856</v>
      </c>
      <c r="G98" s="166">
        <v>21</v>
      </c>
      <c r="H98" s="166">
        <v>8.3199999999999996E-2</v>
      </c>
      <c r="I98" s="172">
        <v>90</v>
      </c>
      <c r="J98" s="168">
        <f>2.225/2.4</f>
        <v>0.92708333333333337</v>
      </c>
      <c r="K98" s="173">
        <f>0.534/2.4</f>
        <v>0.22250000000000003</v>
      </c>
      <c r="L98" s="166">
        <v>108</v>
      </c>
      <c r="M98" s="170" t="s">
        <v>887</v>
      </c>
      <c r="N98" s="175" t="s">
        <v>929</v>
      </c>
      <c r="O98" s="177"/>
    </row>
    <row r="99" spans="1:15" s="74" customFormat="1" ht="31.5" customHeight="1" thickBot="1">
      <c r="A99" s="165">
        <v>30</v>
      </c>
      <c r="B99" s="178" t="s">
        <v>420</v>
      </c>
      <c r="C99" s="167" t="s">
        <v>359</v>
      </c>
      <c r="D99" s="166" t="s">
        <v>358</v>
      </c>
      <c r="E99" s="166" t="s">
        <v>910</v>
      </c>
      <c r="F99" s="166" t="s">
        <v>846</v>
      </c>
      <c r="G99" s="166">
        <v>6</v>
      </c>
      <c r="H99" s="166">
        <v>3.0999999999999999E-3</v>
      </c>
      <c r="I99" s="172">
        <v>150</v>
      </c>
      <c r="J99" s="168">
        <f>15.668/2.4</f>
        <v>6.5283333333333333</v>
      </c>
      <c r="K99" s="173">
        <f>0.18/2.4</f>
        <v>7.4999999999999997E-2</v>
      </c>
      <c r="L99" s="166">
        <v>235</v>
      </c>
      <c r="M99" s="170" t="s">
        <v>887</v>
      </c>
      <c r="N99" s="175" t="s">
        <v>930</v>
      </c>
      <c r="O99" s="175" t="s">
        <v>931</v>
      </c>
    </row>
    <row r="100" spans="1:15" s="74" customFormat="1" ht="31.5" customHeight="1" thickBot="1">
      <c r="A100" s="165">
        <v>31</v>
      </c>
      <c r="B100" s="178" t="s">
        <v>420</v>
      </c>
      <c r="C100" s="167">
        <v>7932</v>
      </c>
      <c r="D100" s="166" t="s">
        <v>357</v>
      </c>
      <c r="E100" s="166" t="s">
        <v>906</v>
      </c>
      <c r="F100" s="166" t="s">
        <v>846</v>
      </c>
      <c r="G100" s="166">
        <v>18</v>
      </c>
      <c r="H100" s="190"/>
      <c r="I100" s="168">
        <v>120</v>
      </c>
      <c r="J100" s="190"/>
      <c r="K100" s="166">
        <f>0.365/2.4</f>
        <v>0.15208333333333335</v>
      </c>
      <c r="L100" s="190"/>
      <c r="M100" s="170" t="s">
        <v>887</v>
      </c>
      <c r="N100" s="175" t="s">
        <v>932</v>
      </c>
      <c r="O100" s="177"/>
    </row>
    <row r="101" spans="1:15" s="74" customFormat="1" ht="31.5" customHeight="1" thickBot="1">
      <c r="A101" s="165">
        <v>32</v>
      </c>
      <c r="B101" s="178" t="s">
        <v>420</v>
      </c>
      <c r="C101" s="167">
        <v>7348</v>
      </c>
      <c r="D101" s="166" t="s">
        <v>360</v>
      </c>
      <c r="E101" s="166" t="s">
        <v>906</v>
      </c>
      <c r="F101" s="166" t="s">
        <v>846</v>
      </c>
      <c r="G101" s="190"/>
      <c r="H101" s="190"/>
      <c r="I101" s="168">
        <v>120</v>
      </c>
      <c r="J101" s="190"/>
      <c r="K101" s="166">
        <f>0.15/2.4</f>
        <v>6.25E-2</v>
      </c>
      <c r="L101" s="190"/>
      <c r="M101" s="170" t="s">
        <v>887</v>
      </c>
      <c r="N101" s="177"/>
      <c r="O101" s="177"/>
    </row>
    <row r="102" spans="1:15" s="74" customFormat="1" ht="31.5" customHeight="1" thickBot="1">
      <c r="A102" s="165">
        <v>33</v>
      </c>
      <c r="B102" s="178" t="s">
        <v>420</v>
      </c>
      <c r="C102" s="167" t="s">
        <v>250</v>
      </c>
      <c r="D102" s="166" t="s">
        <v>362</v>
      </c>
      <c r="E102" s="166" t="s">
        <v>906</v>
      </c>
      <c r="F102" s="166" t="s">
        <v>846</v>
      </c>
      <c r="G102" s="190"/>
      <c r="H102" s="190"/>
      <c r="I102" s="168">
        <v>120</v>
      </c>
      <c r="J102" s="190"/>
      <c r="K102" s="176">
        <f>0.2/2.4</f>
        <v>8.3333333333333343E-2</v>
      </c>
      <c r="L102" s="190"/>
      <c r="M102" s="170" t="s">
        <v>887</v>
      </c>
      <c r="N102" s="177"/>
      <c r="O102" s="177"/>
    </row>
    <row r="103" spans="1:15" s="74" customFormat="1" ht="31.5" customHeight="1" thickBot="1">
      <c r="A103" s="165">
        <v>34</v>
      </c>
      <c r="B103" s="178" t="s">
        <v>420</v>
      </c>
      <c r="C103" s="167" t="s">
        <v>376</v>
      </c>
      <c r="D103" s="166" t="s">
        <v>364</v>
      </c>
      <c r="E103" s="166" t="s">
        <v>906</v>
      </c>
      <c r="F103" s="166" t="s">
        <v>846</v>
      </c>
      <c r="G103" s="190"/>
      <c r="H103" s="190"/>
      <c r="I103" s="168">
        <v>120</v>
      </c>
      <c r="J103" s="190"/>
      <c r="K103" s="176">
        <f>0.15/2.4</f>
        <v>6.25E-2</v>
      </c>
      <c r="L103" s="190"/>
      <c r="M103" s="170" t="s">
        <v>887</v>
      </c>
      <c r="N103" s="175" t="s">
        <v>933</v>
      </c>
      <c r="O103" s="177"/>
    </row>
    <row r="104" spans="1:15" s="74" customFormat="1" ht="31.5" customHeight="1" thickBot="1">
      <c r="A104" s="165">
        <v>35</v>
      </c>
      <c r="B104" s="178" t="s">
        <v>420</v>
      </c>
      <c r="C104" s="167" t="s">
        <v>365</v>
      </c>
      <c r="D104" s="166" t="s">
        <v>366</v>
      </c>
      <c r="E104" s="166" t="s">
        <v>906</v>
      </c>
      <c r="F104" s="166" t="s">
        <v>846</v>
      </c>
      <c r="G104" s="190"/>
      <c r="H104" s="190"/>
      <c r="I104" s="168">
        <v>120</v>
      </c>
      <c r="J104" s="190"/>
      <c r="K104" s="176">
        <f>0.2/2.4</f>
        <v>8.3333333333333343E-2</v>
      </c>
      <c r="L104" s="190"/>
      <c r="M104" s="170" t="s">
        <v>887</v>
      </c>
      <c r="N104" s="175" t="s">
        <v>933</v>
      </c>
      <c r="O104" s="177"/>
    </row>
    <row r="105" spans="1:15" s="74" customFormat="1" ht="31.5" customHeight="1" thickBot="1">
      <c r="A105" s="165">
        <v>36</v>
      </c>
      <c r="B105" s="178" t="s">
        <v>420</v>
      </c>
      <c r="C105" s="167" t="s">
        <v>368</v>
      </c>
      <c r="D105" s="166" t="s">
        <v>367</v>
      </c>
      <c r="E105" s="166" t="s">
        <v>906</v>
      </c>
      <c r="F105" s="166" t="s">
        <v>846</v>
      </c>
      <c r="G105" s="166">
        <v>11</v>
      </c>
      <c r="H105" s="166">
        <v>1.865E-2</v>
      </c>
      <c r="I105" s="168">
        <v>120</v>
      </c>
      <c r="J105" s="168">
        <f>2.1/2.4</f>
        <v>0.87500000000000011</v>
      </c>
      <c r="K105" s="166">
        <f>0.3/2.4</f>
        <v>0.125</v>
      </c>
      <c r="L105" s="166">
        <v>120</v>
      </c>
      <c r="M105" s="170" t="s">
        <v>887</v>
      </c>
      <c r="N105" s="175" t="s">
        <v>933</v>
      </c>
      <c r="O105" s="177"/>
    </row>
    <row r="106" spans="1:15" s="74" customFormat="1" ht="31.5" customHeight="1" thickBot="1">
      <c r="A106" s="165">
        <v>37</v>
      </c>
      <c r="B106" s="178" t="s">
        <v>420</v>
      </c>
      <c r="C106" s="167">
        <v>5972</v>
      </c>
      <c r="D106" s="166" t="s">
        <v>369</v>
      </c>
      <c r="E106" s="166" t="s">
        <v>906</v>
      </c>
      <c r="F106" s="166" t="s">
        <v>846</v>
      </c>
      <c r="G106" s="190"/>
      <c r="H106" s="190"/>
      <c r="I106" s="168">
        <v>120</v>
      </c>
      <c r="J106" s="190"/>
      <c r="K106" s="176">
        <f>0.15/2.4</f>
        <v>6.25E-2</v>
      </c>
      <c r="L106" s="190"/>
      <c r="M106" s="170" t="s">
        <v>887</v>
      </c>
      <c r="N106" s="175">
        <v>400</v>
      </c>
      <c r="O106" s="177"/>
    </row>
    <row r="107" spans="1:15" s="74" customFormat="1" ht="31.5" customHeight="1" thickBot="1">
      <c r="A107" s="165">
        <v>38</v>
      </c>
      <c r="B107" s="178" t="s">
        <v>420</v>
      </c>
      <c r="C107" s="167" t="s">
        <v>934</v>
      </c>
      <c r="D107" s="166" t="s">
        <v>370</v>
      </c>
      <c r="E107" s="166" t="s">
        <v>906</v>
      </c>
      <c r="F107" s="166" t="s">
        <v>911</v>
      </c>
      <c r="G107" s="166">
        <v>14</v>
      </c>
      <c r="H107" s="166">
        <v>1.5599999999999999E-2</v>
      </c>
      <c r="I107" s="168">
        <v>120</v>
      </c>
      <c r="J107" s="168">
        <f>2.1/2.4</f>
        <v>0.87500000000000011</v>
      </c>
      <c r="K107" s="166">
        <f>0.28/2.4</f>
        <v>0.11666666666666668</v>
      </c>
      <c r="L107" s="166">
        <v>282</v>
      </c>
      <c r="M107" s="170" t="s">
        <v>887</v>
      </c>
      <c r="N107" s="175" t="s">
        <v>933</v>
      </c>
      <c r="O107" s="177"/>
    </row>
    <row r="108" spans="1:15" s="74" customFormat="1" ht="31.5" customHeight="1" thickBot="1">
      <c r="A108" s="165">
        <v>39</v>
      </c>
      <c r="B108" s="178" t="s">
        <v>420</v>
      </c>
      <c r="C108" s="167" t="s">
        <v>935</v>
      </c>
      <c r="D108" s="166" t="s">
        <v>372</v>
      </c>
      <c r="E108" s="166" t="s">
        <v>906</v>
      </c>
      <c r="F108" s="166" t="s">
        <v>846</v>
      </c>
      <c r="G108" s="190"/>
      <c r="H108" s="190"/>
      <c r="I108" s="168">
        <v>120</v>
      </c>
      <c r="J108" s="190"/>
      <c r="K108" s="176">
        <f>0.15/2.4</f>
        <v>6.25E-2</v>
      </c>
      <c r="L108" s="190"/>
      <c r="M108" s="170" t="s">
        <v>887</v>
      </c>
      <c r="N108" s="175" t="s">
        <v>936</v>
      </c>
      <c r="O108" s="175" t="s">
        <v>933</v>
      </c>
    </row>
    <row r="109" spans="1:15" s="74" customFormat="1" ht="31.5" customHeight="1" thickBot="1">
      <c r="A109" s="165">
        <v>40</v>
      </c>
      <c r="B109" s="178" t="s">
        <v>420</v>
      </c>
      <c r="C109" s="167" t="s">
        <v>937</v>
      </c>
      <c r="D109" s="168" t="s">
        <v>373</v>
      </c>
      <c r="E109" s="166" t="s">
        <v>906</v>
      </c>
      <c r="F109" s="166" t="s">
        <v>856</v>
      </c>
      <c r="G109" s="166">
        <v>15</v>
      </c>
      <c r="H109" s="168">
        <v>5.5899999999999998E-2</v>
      </c>
      <c r="I109" s="168">
        <v>90</v>
      </c>
      <c r="J109" s="176">
        <f>2.3/2.4</f>
        <v>0.95833333333333326</v>
      </c>
      <c r="K109" s="176">
        <f>0.876/2.4</f>
        <v>0.36499999999999999</v>
      </c>
      <c r="L109" s="166">
        <v>82</v>
      </c>
      <c r="M109" s="170" t="s">
        <v>887</v>
      </c>
      <c r="N109" s="175" t="s">
        <v>933</v>
      </c>
      <c r="O109" s="177"/>
    </row>
    <row r="110" spans="1:15" s="74" customFormat="1" ht="31.5" customHeight="1" thickBot="1">
      <c r="A110" s="165">
        <v>40</v>
      </c>
      <c r="B110" s="178" t="s">
        <v>420</v>
      </c>
      <c r="C110" s="167" t="s">
        <v>937</v>
      </c>
      <c r="D110" s="168" t="s">
        <v>379</v>
      </c>
      <c r="E110" s="166" t="s">
        <v>906</v>
      </c>
      <c r="F110" s="166" t="s">
        <v>856</v>
      </c>
      <c r="G110" s="166">
        <v>15</v>
      </c>
      <c r="H110" s="168">
        <v>5.5899999999999998E-2</v>
      </c>
      <c r="I110" s="168">
        <v>90</v>
      </c>
      <c r="J110" s="176">
        <f>2.3/2.4</f>
        <v>0.95833333333333326</v>
      </c>
      <c r="K110" s="176">
        <f>0.876/2.4</f>
        <v>0.36499999999999999</v>
      </c>
      <c r="L110" s="166">
        <v>82</v>
      </c>
      <c r="M110" s="170" t="s">
        <v>887</v>
      </c>
      <c r="N110" s="175" t="s">
        <v>938</v>
      </c>
      <c r="O110" s="177"/>
    </row>
    <row r="111" spans="1:15" s="74" customFormat="1" ht="31.5" customHeight="1" thickBot="1">
      <c r="A111" s="165">
        <v>41</v>
      </c>
      <c r="B111" s="178" t="s">
        <v>420</v>
      </c>
      <c r="C111" s="167" t="s">
        <v>939</v>
      </c>
      <c r="D111" s="168" t="s">
        <v>375</v>
      </c>
      <c r="E111" s="166" t="s">
        <v>906</v>
      </c>
      <c r="F111" s="166" t="s">
        <v>846</v>
      </c>
      <c r="G111" s="190"/>
      <c r="H111" s="190"/>
      <c r="I111" s="168">
        <v>120</v>
      </c>
      <c r="J111" s="190"/>
      <c r="K111" s="176">
        <f>0.15/2.4</f>
        <v>6.25E-2</v>
      </c>
      <c r="L111" s="190"/>
      <c r="M111" s="170" t="s">
        <v>887</v>
      </c>
      <c r="N111" s="175" t="s">
        <v>938</v>
      </c>
      <c r="O111" s="177"/>
    </row>
    <row r="112" spans="1:15" s="74" customFormat="1" ht="31.5" customHeight="1" thickBot="1">
      <c r="A112" s="165">
        <v>42</v>
      </c>
      <c r="B112" s="178" t="s">
        <v>420</v>
      </c>
      <c r="C112" s="167" t="s">
        <v>378</v>
      </c>
      <c r="D112" s="168" t="s">
        <v>377</v>
      </c>
      <c r="E112" s="166" t="s">
        <v>906</v>
      </c>
      <c r="F112" s="166" t="s">
        <v>846</v>
      </c>
      <c r="G112" s="190"/>
      <c r="H112" s="190"/>
      <c r="I112" s="168">
        <v>120</v>
      </c>
      <c r="J112" s="190"/>
      <c r="K112" s="176">
        <f>0.15/2.4</f>
        <v>6.25E-2</v>
      </c>
      <c r="L112" s="190"/>
      <c r="M112" s="170" t="s">
        <v>887</v>
      </c>
      <c r="N112" s="175" t="s">
        <v>933</v>
      </c>
      <c r="O112" s="177"/>
    </row>
    <row r="113" spans="1:15" s="74" customFormat="1" ht="31.5" customHeight="1" thickBot="1">
      <c r="A113" s="165">
        <v>43</v>
      </c>
      <c r="B113" s="178" t="s">
        <v>420</v>
      </c>
      <c r="C113" s="167" t="s">
        <v>123</v>
      </c>
      <c r="D113" s="168" t="s">
        <v>940</v>
      </c>
      <c r="E113" s="166" t="s">
        <v>898</v>
      </c>
      <c r="F113" s="166" t="s">
        <v>846</v>
      </c>
      <c r="G113" s="190"/>
      <c r="H113" s="190"/>
      <c r="I113" s="168">
        <v>90</v>
      </c>
      <c r="J113" s="190"/>
      <c r="K113" s="176">
        <f>0.25/2.4</f>
        <v>0.10416666666666667</v>
      </c>
      <c r="L113" s="190"/>
      <c r="M113" s="170" t="s">
        <v>887</v>
      </c>
      <c r="N113" s="175" t="s">
        <v>933</v>
      </c>
      <c r="O113" s="177"/>
    </row>
    <row r="114" spans="1:15" s="74" customFormat="1" ht="31.5" customHeight="1" thickBot="1">
      <c r="A114" s="165">
        <v>44</v>
      </c>
      <c r="B114" s="178" t="s">
        <v>420</v>
      </c>
      <c r="C114" s="167" t="s">
        <v>382</v>
      </c>
      <c r="D114" s="168" t="s">
        <v>381</v>
      </c>
      <c r="E114" s="166" t="s">
        <v>906</v>
      </c>
      <c r="F114" s="166" t="s">
        <v>846</v>
      </c>
      <c r="G114" s="190"/>
      <c r="H114" s="190"/>
      <c r="I114" s="168">
        <v>120</v>
      </c>
      <c r="J114" s="190"/>
      <c r="K114" s="176">
        <f>0.15/2.4</f>
        <v>6.25E-2</v>
      </c>
      <c r="L114" s="190"/>
      <c r="M114" s="170" t="s">
        <v>887</v>
      </c>
      <c r="N114" s="177"/>
      <c r="O114" s="177"/>
    </row>
    <row r="115" spans="1:15" s="74" customFormat="1" ht="31.5" customHeight="1" thickBot="1">
      <c r="A115" s="165">
        <v>45</v>
      </c>
      <c r="B115" s="178" t="s">
        <v>420</v>
      </c>
      <c r="C115" s="167" t="s">
        <v>384</v>
      </c>
      <c r="D115" s="168" t="s">
        <v>383</v>
      </c>
      <c r="E115" s="166" t="s">
        <v>906</v>
      </c>
      <c r="F115" s="166" t="s">
        <v>846</v>
      </c>
      <c r="G115" s="190"/>
      <c r="H115" s="190"/>
      <c r="I115" s="168">
        <v>120</v>
      </c>
      <c r="J115" s="190"/>
      <c r="K115" s="176">
        <f>0.15/2.4</f>
        <v>6.25E-2</v>
      </c>
      <c r="L115" s="190"/>
      <c r="M115" s="170" t="s">
        <v>887</v>
      </c>
      <c r="N115" s="175" t="s">
        <v>933</v>
      </c>
      <c r="O115" s="177"/>
    </row>
    <row r="116" spans="1:15" s="74" customFormat="1" ht="31.5" customHeight="1" thickBot="1">
      <c r="A116" s="165">
        <v>46</v>
      </c>
      <c r="B116" s="178" t="s">
        <v>420</v>
      </c>
      <c r="C116" s="167" t="s">
        <v>386</v>
      </c>
      <c r="D116" s="168" t="s">
        <v>385</v>
      </c>
      <c r="E116" s="166" t="s">
        <v>906</v>
      </c>
      <c r="F116" s="166" t="s">
        <v>846</v>
      </c>
      <c r="G116" s="190"/>
      <c r="H116" s="190"/>
      <c r="I116" s="168">
        <v>120</v>
      </c>
      <c r="J116" s="190"/>
      <c r="K116" s="176">
        <f>0.15/2.4</f>
        <v>6.25E-2</v>
      </c>
      <c r="L116" s="190"/>
      <c r="M116" s="170" t="s">
        <v>887</v>
      </c>
      <c r="N116" s="175" t="s">
        <v>933</v>
      </c>
      <c r="O116" s="177"/>
    </row>
    <row r="117" spans="1:15" s="74" customFormat="1" ht="31.5" customHeight="1" thickBot="1">
      <c r="A117" s="165">
        <v>47</v>
      </c>
      <c r="B117" s="178" t="s">
        <v>420</v>
      </c>
      <c r="C117" s="167" t="s">
        <v>941</v>
      </c>
      <c r="D117" s="168" t="s">
        <v>388</v>
      </c>
      <c r="E117" s="166" t="s">
        <v>910</v>
      </c>
      <c r="F117" s="166" t="s">
        <v>846</v>
      </c>
      <c r="G117" s="166">
        <v>13</v>
      </c>
      <c r="H117" s="191">
        <v>1.507E-2</v>
      </c>
      <c r="I117" s="168">
        <v>180</v>
      </c>
      <c r="J117" s="176">
        <f>13.25/2.4</f>
        <v>5.5208333333333339</v>
      </c>
      <c r="K117" s="176">
        <f>0.37/2.4</f>
        <v>0.15416666666666667</v>
      </c>
      <c r="L117" s="166">
        <v>227</v>
      </c>
      <c r="M117" s="170" t="s">
        <v>907</v>
      </c>
      <c r="N117" s="175" t="s">
        <v>933</v>
      </c>
      <c r="O117" s="177"/>
    </row>
    <row r="118" spans="1:15" s="74" customFormat="1" ht="31.5" customHeight="1" thickBot="1">
      <c r="A118" s="165">
        <v>48</v>
      </c>
      <c r="B118" s="178" t="s">
        <v>420</v>
      </c>
      <c r="C118" s="167" t="s">
        <v>942</v>
      </c>
      <c r="D118" s="168" t="s">
        <v>389</v>
      </c>
      <c r="E118" s="166"/>
      <c r="F118" s="166"/>
      <c r="G118" s="166"/>
      <c r="H118" s="191"/>
      <c r="I118" s="168">
        <v>120</v>
      </c>
      <c r="J118" s="176"/>
      <c r="K118" s="176"/>
      <c r="L118" s="166"/>
      <c r="M118" s="170" t="s">
        <v>907</v>
      </c>
      <c r="N118" s="177"/>
      <c r="O118" s="177"/>
    </row>
    <row r="119" spans="1:15" s="74" customFormat="1" ht="35.25" customHeight="1" thickBot="1">
      <c r="A119" s="165">
        <v>49</v>
      </c>
      <c r="B119" s="178" t="s">
        <v>420</v>
      </c>
      <c r="C119" s="167" t="s">
        <v>395</v>
      </c>
      <c r="D119" s="168" t="s">
        <v>394</v>
      </c>
      <c r="E119" s="166" t="s">
        <v>906</v>
      </c>
      <c r="F119" s="166" t="s">
        <v>846</v>
      </c>
      <c r="G119" s="190"/>
      <c r="H119" s="190"/>
      <c r="I119" s="168">
        <v>120</v>
      </c>
      <c r="J119" s="190"/>
      <c r="K119" s="176">
        <f>0.2/2.4</f>
        <v>8.3333333333333343E-2</v>
      </c>
      <c r="L119" s="190"/>
      <c r="M119" s="170" t="s">
        <v>887</v>
      </c>
      <c r="N119" s="177"/>
      <c r="O119" s="177"/>
    </row>
    <row r="120" spans="1:15" s="74" customFormat="1" ht="35.25" customHeight="1" thickBot="1">
      <c r="A120" s="165">
        <v>50</v>
      </c>
      <c r="B120" s="178" t="s">
        <v>420</v>
      </c>
      <c r="C120" s="167" t="s">
        <v>943</v>
      </c>
      <c r="D120" s="168" t="s">
        <v>396</v>
      </c>
      <c r="E120" s="166" t="s">
        <v>906</v>
      </c>
      <c r="F120" s="166" t="s">
        <v>911</v>
      </c>
      <c r="G120" s="168">
        <v>17</v>
      </c>
      <c r="H120" s="168">
        <v>1.6740000000000001E-2</v>
      </c>
      <c r="I120" s="168">
        <v>120</v>
      </c>
      <c r="J120" s="192">
        <v>0.7</v>
      </c>
      <c r="K120" s="192">
        <v>0.12</v>
      </c>
      <c r="L120" s="168">
        <v>352</v>
      </c>
      <c r="M120" s="170" t="s">
        <v>887</v>
      </c>
      <c r="N120" s="175">
        <v>350</v>
      </c>
      <c r="O120" s="177"/>
    </row>
    <row r="121" spans="1:15" s="74" customFormat="1" ht="35.25" customHeight="1" thickBot="1">
      <c r="A121" s="165">
        <v>51</v>
      </c>
      <c r="B121" s="178" t="s">
        <v>420</v>
      </c>
      <c r="C121" s="167" t="s">
        <v>944</v>
      </c>
      <c r="D121" s="168" t="s">
        <v>397</v>
      </c>
      <c r="E121" s="166" t="s">
        <v>906</v>
      </c>
      <c r="F121" s="166" t="s">
        <v>846</v>
      </c>
      <c r="G121" s="190"/>
      <c r="H121" s="190"/>
      <c r="I121" s="168">
        <v>120</v>
      </c>
      <c r="J121" s="190"/>
      <c r="K121" s="176">
        <f>0.2/2.4</f>
        <v>8.3333333333333343E-2</v>
      </c>
      <c r="L121" s="190"/>
      <c r="M121" s="170" t="s">
        <v>887</v>
      </c>
      <c r="N121" s="175" t="s">
        <v>945</v>
      </c>
      <c r="O121" s="177"/>
    </row>
    <row r="122" spans="1:15" s="74" customFormat="1" ht="35.25" customHeight="1" thickBot="1">
      <c r="A122" s="165">
        <v>52</v>
      </c>
      <c r="B122" s="178" t="s">
        <v>420</v>
      </c>
      <c r="C122" s="167">
        <v>6131</v>
      </c>
      <c r="D122" s="168" t="s">
        <v>399</v>
      </c>
      <c r="E122" s="166" t="s">
        <v>906</v>
      </c>
      <c r="F122" s="166" t="s">
        <v>846</v>
      </c>
      <c r="G122" s="190"/>
      <c r="H122" s="190"/>
      <c r="I122" s="168">
        <v>120</v>
      </c>
      <c r="J122" s="190"/>
      <c r="K122" s="176">
        <f>0.15/2.4</f>
        <v>6.25E-2</v>
      </c>
      <c r="L122" s="190"/>
      <c r="M122" s="170" t="s">
        <v>887</v>
      </c>
      <c r="N122" s="175">
        <v>350</v>
      </c>
      <c r="O122" s="177"/>
    </row>
    <row r="123" spans="1:15" s="74" customFormat="1" ht="35.25" customHeight="1" thickBot="1">
      <c r="A123" s="165">
        <v>53</v>
      </c>
      <c r="B123" s="178" t="s">
        <v>420</v>
      </c>
      <c r="C123" s="167" t="s">
        <v>401</v>
      </c>
      <c r="D123" s="168" t="s">
        <v>400</v>
      </c>
      <c r="E123" s="166" t="s">
        <v>906</v>
      </c>
      <c r="F123" s="166" t="s">
        <v>846</v>
      </c>
      <c r="G123" s="168">
        <v>20</v>
      </c>
      <c r="H123" s="168">
        <v>1.3639999999999999E-2</v>
      </c>
      <c r="I123" s="168">
        <v>120</v>
      </c>
      <c r="J123" s="168">
        <f>2.5/2.4</f>
        <v>1.0416666666666667</v>
      </c>
      <c r="K123" s="168">
        <f>0.272/2.4</f>
        <v>0.11333333333333334</v>
      </c>
      <c r="L123" s="168">
        <v>542</v>
      </c>
      <c r="M123" s="170" t="s">
        <v>907</v>
      </c>
      <c r="N123" s="175">
        <v>350</v>
      </c>
      <c r="O123" s="177"/>
    </row>
    <row r="124" spans="1:15" s="74" customFormat="1" ht="35.25" customHeight="1" thickBot="1">
      <c r="A124" s="165">
        <v>54</v>
      </c>
      <c r="B124" s="178" t="s">
        <v>420</v>
      </c>
      <c r="C124" s="193" t="s">
        <v>410</v>
      </c>
      <c r="D124" s="194" t="s">
        <v>409</v>
      </c>
      <c r="E124" s="166" t="s">
        <v>906</v>
      </c>
      <c r="F124" s="166" t="s">
        <v>846</v>
      </c>
      <c r="G124" s="190"/>
      <c r="H124" s="190"/>
      <c r="I124" s="168">
        <v>120</v>
      </c>
      <c r="J124" s="190"/>
      <c r="K124" s="176">
        <f t="shared" ref="K124:K132" si="0">0.15/2.4</f>
        <v>6.25E-2</v>
      </c>
      <c r="L124" s="190"/>
      <c r="M124" s="170" t="s">
        <v>887</v>
      </c>
      <c r="N124" s="177"/>
      <c r="O124" s="177"/>
    </row>
    <row r="125" spans="1:15" s="74" customFormat="1" ht="35.25" customHeight="1" thickBot="1">
      <c r="A125" s="165">
        <v>55</v>
      </c>
      <c r="B125" s="178" t="s">
        <v>420</v>
      </c>
      <c r="C125" s="195" t="s">
        <v>412</v>
      </c>
      <c r="D125" s="194" t="s">
        <v>411</v>
      </c>
      <c r="E125" s="166" t="s">
        <v>906</v>
      </c>
      <c r="F125" s="166" t="s">
        <v>846</v>
      </c>
      <c r="G125" s="190"/>
      <c r="H125" s="190"/>
      <c r="I125" s="168">
        <v>120</v>
      </c>
      <c r="J125" s="190"/>
      <c r="K125" s="176">
        <f t="shared" si="0"/>
        <v>6.25E-2</v>
      </c>
      <c r="L125" s="190"/>
      <c r="M125" s="170" t="s">
        <v>887</v>
      </c>
      <c r="N125" s="175">
        <v>350</v>
      </c>
      <c r="O125" s="177"/>
    </row>
    <row r="126" spans="1:15" s="74" customFormat="1" ht="35.25" customHeight="1" thickBot="1">
      <c r="A126" s="165">
        <v>56</v>
      </c>
      <c r="B126" s="178" t="s">
        <v>420</v>
      </c>
      <c r="C126" s="195" t="s">
        <v>414</v>
      </c>
      <c r="D126" s="194" t="s">
        <v>413</v>
      </c>
      <c r="E126" s="166" t="s">
        <v>906</v>
      </c>
      <c r="F126" s="166" t="s">
        <v>846</v>
      </c>
      <c r="G126" s="190"/>
      <c r="H126" s="190"/>
      <c r="I126" s="168">
        <v>120</v>
      </c>
      <c r="J126" s="190"/>
      <c r="K126" s="176">
        <f t="shared" si="0"/>
        <v>6.25E-2</v>
      </c>
      <c r="L126" s="190"/>
      <c r="M126" s="170" t="s">
        <v>887</v>
      </c>
      <c r="N126" s="175">
        <v>350</v>
      </c>
      <c r="O126" s="177"/>
    </row>
    <row r="127" spans="1:15" s="74" customFormat="1" ht="35.25" customHeight="1" thickBot="1">
      <c r="A127" s="165">
        <v>57</v>
      </c>
      <c r="B127" s="178" t="s">
        <v>420</v>
      </c>
      <c r="C127" s="195" t="s">
        <v>283</v>
      </c>
      <c r="D127" s="194" t="s">
        <v>415</v>
      </c>
      <c r="E127" s="166" t="s">
        <v>906</v>
      </c>
      <c r="F127" s="166" t="s">
        <v>846</v>
      </c>
      <c r="G127" s="196"/>
      <c r="H127" s="196"/>
      <c r="I127" s="194">
        <v>120</v>
      </c>
      <c r="J127" s="196"/>
      <c r="K127" s="176">
        <f t="shared" si="0"/>
        <v>6.25E-2</v>
      </c>
      <c r="L127" s="196"/>
      <c r="M127" s="197" t="s">
        <v>887</v>
      </c>
      <c r="N127" s="175">
        <v>350</v>
      </c>
      <c r="O127" s="177"/>
    </row>
    <row r="128" spans="1:15" s="74" customFormat="1" ht="35.25" customHeight="1" thickBot="1">
      <c r="A128" s="165">
        <v>58</v>
      </c>
      <c r="B128" s="178" t="s">
        <v>420</v>
      </c>
      <c r="C128" s="167"/>
      <c r="D128" s="168" t="s">
        <v>419</v>
      </c>
      <c r="E128" s="166" t="s">
        <v>906</v>
      </c>
      <c r="F128" s="166" t="s">
        <v>846</v>
      </c>
      <c r="G128" s="190"/>
      <c r="H128" s="190"/>
      <c r="I128" s="194">
        <v>120</v>
      </c>
      <c r="J128" s="196"/>
      <c r="K128" s="176">
        <f t="shared" si="0"/>
        <v>6.25E-2</v>
      </c>
      <c r="L128" s="196"/>
      <c r="M128" s="197" t="s">
        <v>887</v>
      </c>
      <c r="N128" s="175">
        <v>350</v>
      </c>
      <c r="O128" s="177"/>
    </row>
    <row r="129" spans="1:15" s="74" customFormat="1" ht="35.25" customHeight="1" thickBot="1">
      <c r="A129" s="165">
        <v>59</v>
      </c>
      <c r="B129" s="178" t="s">
        <v>420</v>
      </c>
      <c r="C129" s="167" t="s">
        <v>239</v>
      </c>
      <c r="D129" s="168" t="s">
        <v>946</v>
      </c>
      <c r="E129" s="166"/>
      <c r="F129" s="166"/>
      <c r="G129" s="190"/>
      <c r="H129" s="190"/>
      <c r="I129" s="168">
        <v>30</v>
      </c>
      <c r="J129" s="190"/>
      <c r="K129" s="176">
        <f t="shared" si="0"/>
        <v>6.25E-2</v>
      </c>
      <c r="L129" s="196"/>
      <c r="M129" s="197" t="s">
        <v>887</v>
      </c>
      <c r="N129" s="175">
        <v>350</v>
      </c>
      <c r="O129" s="177"/>
    </row>
    <row r="130" spans="1:15" s="74" customFormat="1" ht="35.25" customHeight="1" thickBot="1">
      <c r="A130" s="165">
        <v>60</v>
      </c>
      <c r="B130" s="178" t="s">
        <v>420</v>
      </c>
      <c r="C130" s="167" t="s">
        <v>424</v>
      </c>
      <c r="D130" s="168" t="s">
        <v>423</v>
      </c>
      <c r="E130" s="166" t="s">
        <v>906</v>
      </c>
      <c r="F130" s="166" t="s">
        <v>846</v>
      </c>
      <c r="G130" s="190"/>
      <c r="H130" s="190"/>
      <c r="I130" s="168">
        <v>120</v>
      </c>
      <c r="J130" s="190"/>
      <c r="K130" s="176">
        <f t="shared" si="0"/>
        <v>6.25E-2</v>
      </c>
      <c r="L130" s="190"/>
      <c r="M130" s="197" t="s">
        <v>887</v>
      </c>
      <c r="N130" s="175">
        <v>350</v>
      </c>
      <c r="O130" s="177"/>
    </row>
    <row r="131" spans="1:15" s="74" customFormat="1" ht="35.25" customHeight="1" thickBot="1">
      <c r="A131" s="165">
        <v>61</v>
      </c>
      <c r="B131" s="178" t="s">
        <v>420</v>
      </c>
      <c r="C131" s="198" t="s">
        <v>426</v>
      </c>
      <c r="D131" s="168" t="s">
        <v>425</v>
      </c>
      <c r="E131" s="166" t="s">
        <v>906</v>
      </c>
      <c r="F131" s="166" t="s">
        <v>846</v>
      </c>
      <c r="G131" s="190"/>
      <c r="H131" s="190"/>
      <c r="I131" s="168">
        <v>120</v>
      </c>
      <c r="J131" s="190"/>
      <c r="K131" s="176">
        <f t="shared" si="0"/>
        <v>6.25E-2</v>
      </c>
      <c r="L131" s="190"/>
      <c r="M131" s="197" t="s">
        <v>887</v>
      </c>
      <c r="N131" s="175">
        <v>350</v>
      </c>
      <c r="O131" s="177"/>
    </row>
    <row r="132" spans="1:15" s="74" customFormat="1" ht="35.25" customHeight="1" thickBot="1">
      <c r="A132" s="165">
        <v>62</v>
      </c>
      <c r="B132" s="178" t="s">
        <v>420</v>
      </c>
      <c r="C132" s="198" t="s">
        <v>428</v>
      </c>
      <c r="D132" s="168" t="s">
        <v>430</v>
      </c>
      <c r="E132" s="166" t="s">
        <v>906</v>
      </c>
      <c r="F132" s="166" t="s">
        <v>846</v>
      </c>
      <c r="G132" s="190"/>
      <c r="H132" s="190"/>
      <c r="I132" s="168">
        <v>120</v>
      </c>
      <c r="J132" s="190"/>
      <c r="K132" s="176">
        <f t="shared" si="0"/>
        <v>6.25E-2</v>
      </c>
      <c r="L132" s="190"/>
      <c r="M132" s="170" t="s">
        <v>887</v>
      </c>
      <c r="N132" s="175">
        <v>350</v>
      </c>
      <c r="O132" s="177"/>
    </row>
    <row r="133" spans="1:15" s="74" customFormat="1" ht="35.25" customHeight="1" thickBot="1">
      <c r="A133" s="165">
        <v>63</v>
      </c>
      <c r="B133" s="178" t="s">
        <v>420</v>
      </c>
      <c r="C133" s="198" t="s">
        <v>433</v>
      </c>
      <c r="D133" s="168" t="s">
        <v>432</v>
      </c>
      <c r="E133" s="166" t="s">
        <v>906</v>
      </c>
      <c r="F133" s="166" t="s">
        <v>846</v>
      </c>
      <c r="G133" s="190"/>
      <c r="H133" s="190"/>
      <c r="I133" s="168">
        <v>120</v>
      </c>
      <c r="J133" s="190"/>
      <c r="K133" s="176">
        <f>0.311/2.4</f>
        <v>0.12958333333333333</v>
      </c>
      <c r="L133" s="190"/>
      <c r="M133" s="170" t="s">
        <v>887</v>
      </c>
      <c r="N133" s="175">
        <v>350</v>
      </c>
      <c r="O133" s="177"/>
    </row>
    <row r="134" spans="1:15" s="74" customFormat="1" ht="35.25" customHeight="1" thickBot="1">
      <c r="A134" s="199">
        <v>64</v>
      </c>
      <c r="B134" s="200" t="s">
        <v>420</v>
      </c>
      <c r="C134" s="201" t="s">
        <v>947</v>
      </c>
      <c r="D134" s="202" t="s">
        <v>434</v>
      </c>
      <c r="E134" s="203" t="s">
        <v>906</v>
      </c>
      <c r="F134" s="203" t="s">
        <v>846</v>
      </c>
      <c r="G134" s="204"/>
      <c r="H134" s="204"/>
      <c r="I134" s="202">
        <v>120</v>
      </c>
      <c r="J134" s="204"/>
      <c r="K134" s="205">
        <f>0.15/2.4</f>
        <v>6.25E-2</v>
      </c>
      <c r="L134" s="204"/>
      <c r="M134" s="206" t="s">
        <v>887</v>
      </c>
      <c r="N134" s="175">
        <v>350</v>
      </c>
      <c r="O134" s="177"/>
    </row>
    <row r="135" spans="1:15" s="74" customFormat="1" ht="35.25" customHeight="1" thickBot="1">
      <c r="A135" s="165">
        <v>65</v>
      </c>
      <c r="B135" s="178" t="s">
        <v>420</v>
      </c>
      <c r="C135" s="198" t="s">
        <v>436</v>
      </c>
      <c r="D135" s="168" t="s">
        <v>435</v>
      </c>
      <c r="E135" s="166" t="s">
        <v>906</v>
      </c>
      <c r="F135" s="166" t="s">
        <v>846</v>
      </c>
      <c r="G135" s="190"/>
      <c r="H135" s="190"/>
      <c r="I135" s="168">
        <v>90</v>
      </c>
      <c r="J135" s="190"/>
      <c r="K135" s="176">
        <f>1.627/2.4</f>
        <v>0.67791666666666672</v>
      </c>
      <c r="L135" s="190"/>
      <c r="M135" s="170" t="s">
        <v>887</v>
      </c>
      <c r="N135" s="207">
        <v>350</v>
      </c>
      <c r="O135" s="177"/>
    </row>
    <row r="136" spans="1:15" s="74" customFormat="1" ht="35.25" customHeight="1" thickBot="1">
      <c r="A136" s="165">
        <v>66</v>
      </c>
      <c r="B136" s="178" t="s">
        <v>420</v>
      </c>
      <c r="C136" s="193" t="s">
        <v>441</v>
      </c>
      <c r="D136" s="194" t="s">
        <v>440</v>
      </c>
      <c r="E136" s="166" t="s">
        <v>906</v>
      </c>
      <c r="F136" s="166" t="s">
        <v>846</v>
      </c>
      <c r="G136" s="190"/>
      <c r="H136" s="190"/>
      <c r="I136" s="168">
        <v>90</v>
      </c>
      <c r="J136" s="190"/>
      <c r="K136" s="176">
        <f>1.524/2.4</f>
        <v>0.63500000000000001</v>
      </c>
      <c r="L136" s="190"/>
      <c r="M136" s="170" t="s">
        <v>887</v>
      </c>
      <c r="N136" s="175">
        <v>350</v>
      </c>
      <c r="O136" s="177"/>
    </row>
    <row r="137" spans="1:15" s="74" customFormat="1" ht="35.25" customHeight="1" thickBot="1">
      <c r="A137" s="165">
        <v>67</v>
      </c>
      <c r="B137" s="178" t="s">
        <v>420</v>
      </c>
      <c r="C137" s="193" t="s">
        <v>948</v>
      </c>
      <c r="D137" s="194" t="s">
        <v>439</v>
      </c>
      <c r="E137" s="166" t="s">
        <v>906</v>
      </c>
      <c r="F137" s="166" t="s">
        <v>846</v>
      </c>
      <c r="G137" s="190"/>
      <c r="H137" s="190"/>
      <c r="I137" s="168">
        <v>90</v>
      </c>
      <c r="J137" s="190"/>
      <c r="K137" s="179">
        <f>1.624/2.4</f>
        <v>0.67666666666666675</v>
      </c>
      <c r="L137" s="190"/>
      <c r="M137" s="170" t="s">
        <v>887</v>
      </c>
      <c r="N137" s="175">
        <v>350</v>
      </c>
      <c r="O137" s="177"/>
    </row>
    <row r="138" spans="1:15" s="74" customFormat="1" ht="35.25" customHeight="1" thickBot="1">
      <c r="A138" s="165">
        <v>68</v>
      </c>
      <c r="B138" s="178" t="s">
        <v>420</v>
      </c>
      <c r="C138" s="193" t="s">
        <v>123</v>
      </c>
      <c r="D138" s="194" t="s">
        <v>949</v>
      </c>
      <c r="E138" s="166" t="s">
        <v>906</v>
      </c>
      <c r="F138" s="166" t="s">
        <v>846</v>
      </c>
      <c r="G138" s="190"/>
      <c r="H138" s="190"/>
      <c r="I138" s="168">
        <v>90</v>
      </c>
      <c r="J138" s="190"/>
      <c r="K138" s="179">
        <f>1.929/2.4</f>
        <v>0.80375000000000008</v>
      </c>
      <c r="L138" s="190"/>
      <c r="M138" s="170" t="s">
        <v>887</v>
      </c>
      <c r="N138" s="175">
        <v>350</v>
      </c>
      <c r="O138" s="177"/>
    </row>
    <row r="139" spans="1:15" s="74" customFormat="1" ht="35.25" customHeight="1" thickBot="1">
      <c r="A139" s="165">
        <v>69</v>
      </c>
      <c r="B139" s="178" t="s">
        <v>420</v>
      </c>
      <c r="C139" s="193" t="s">
        <v>443</v>
      </c>
      <c r="D139" s="194" t="s">
        <v>442</v>
      </c>
      <c r="E139" s="166" t="s">
        <v>906</v>
      </c>
      <c r="F139" s="166" t="s">
        <v>846</v>
      </c>
      <c r="G139" s="190"/>
      <c r="H139" s="190"/>
      <c r="I139" s="168">
        <v>90</v>
      </c>
      <c r="J139" s="190"/>
      <c r="K139" s="179">
        <f>0.591/2.4</f>
        <v>0.24625</v>
      </c>
      <c r="L139" s="190"/>
      <c r="M139" s="170" t="s">
        <v>887</v>
      </c>
      <c r="N139" s="175">
        <v>350</v>
      </c>
      <c r="O139" s="177"/>
    </row>
    <row r="140" spans="1:15" s="74" customFormat="1" ht="35.25" customHeight="1" thickBot="1">
      <c r="A140" s="165">
        <v>71</v>
      </c>
      <c r="B140" s="178" t="s">
        <v>420</v>
      </c>
      <c r="C140" s="193" t="s">
        <v>448</v>
      </c>
      <c r="D140" s="194" t="s">
        <v>447</v>
      </c>
      <c r="E140" s="166" t="s">
        <v>906</v>
      </c>
      <c r="F140" s="166" t="s">
        <v>846</v>
      </c>
      <c r="G140" s="190"/>
      <c r="H140" s="190"/>
      <c r="I140" s="168">
        <v>90</v>
      </c>
      <c r="J140" s="190"/>
      <c r="K140" s="179">
        <f>1.929/2.4</f>
        <v>0.80375000000000008</v>
      </c>
      <c r="L140" s="190"/>
      <c r="M140" s="170" t="s">
        <v>887</v>
      </c>
      <c r="N140" s="175">
        <v>350</v>
      </c>
      <c r="O140" s="177"/>
    </row>
    <row r="141" spans="1:15" s="74" customFormat="1" ht="35.25" customHeight="1" thickBot="1">
      <c r="A141" s="165">
        <v>72</v>
      </c>
      <c r="B141" s="178" t="s">
        <v>420</v>
      </c>
      <c r="C141" s="193" t="s">
        <v>451</v>
      </c>
      <c r="D141" s="194" t="s">
        <v>450</v>
      </c>
      <c r="E141" s="166" t="s">
        <v>906</v>
      </c>
      <c r="F141" s="166" t="s">
        <v>846</v>
      </c>
      <c r="G141" s="190"/>
      <c r="H141" s="190"/>
      <c r="I141" s="168">
        <v>120</v>
      </c>
      <c r="J141" s="190"/>
      <c r="K141" s="179">
        <f>0.393/2.4</f>
        <v>0.16375000000000001</v>
      </c>
      <c r="L141" s="190"/>
      <c r="M141" s="170" t="s">
        <v>887</v>
      </c>
      <c r="N141" s="175">
        <v>350</v>
      </c>
      <c r="O141" s="177"/>
    </row>
    <row r="142" spans="1:15" s="74" customFormat="1" ht="35.25" customHeight="1" thickBot="1">
      <c r="A142" s="165">
        <v>73</v>
      </c>
      <c r="B142" s="178" t="s">
        <v>420</v>
      </c>
      <c r="C142" s="193" t="s">
        <v>950</v>
      </c>
      <c r="D142" s="194" t="s">
        <v>452</v>
      </c>
      <c r="E142" s="166" t="s">
        <v>906</v>
      </c>
      <c r="F142" s="166" t="s">
        <v>846</v>
      </c>
      <c r="G142" s="190"/>
      <c r="H142" s="190"/>
      <c r="I142" s="194">
        <v>120</v>
      </c>
      <c r="J142" s="190"/>
      <c r="K142" s="179">
        <f>0.121/2.4</f>
        <v>5.0416666666666665E-2</v>
      </c>
      <c r="L142" s="190"/>
      <c r="M142" s="170" t="s">
        <v>907</v>
      </c>
      <c r="N142" s="175">
        <v>350</v>
      </c>
      <c r="O142" s="177"/>
    </row>
    <row r="143" spans="1:15" s="74" customFormat="1" ht="35.25" customHeight="1" thickBot="1">
      <c r="A143" s="165">
        <v>74</v>
      </c>
      <c r="B143" s="178" t="s">
        <v>420</v>
      </c>
      <c r="C143" s="193" t="s">
        <v>951</v>
      </c>
      <c r="D143" s="194" t="s">
        <v>952</v>
      </c>
      <c r="E143" s="166" t="s">
        <v>906</v>
      </c>
      <c r="F143" s="166" t="s">
        <v>846</v>
      </c>
      <c r="G143" s="190"/>
      <c r="H143" s="190"/>
      <c r="I143" s="194">
        <v>90</v>
      </c>
      <c r="J143" s="208"/>
      <c r="K143" s="179">
        <f>1.5/2.4</f>
        <v>0.625</v>
      </c>
      <c r="L143" s="190"/>
      <c r="M143" s="170" t="s">
        <v>887</v>
      </c>
      <c r="N143" s="175"/>
      <c r="O143" s="177"/>
    </row>
    <row r="144" spans="1:15" s="74" customFormat="1" ht="35.25" customHeight="1" thickBot="1">
      <c r="A144" s="165">
        <v>75</v>
      </c>
      <c r="B144" s="178" t="s">
        <v>420</v>
      </c>
      <c r="C144" s="193" t="s">
        <v>458</v>
      </c>
      <c r="D144" s="194" t="s">
        <v>457</v>
      </c>
      <c r="E144" s="166" t="s">
        <v>906</v>
      </c>
      <c r="F144" s="166" t="s">
        <v>911</v>
      </c>
      <c r="G144" s="190"/>
      <c r="H144" s="190"/>
      <c r="I144" s="194">
        <v>90</v>
      </c>
      <c r="J144" s="208"/>
      <c r="K144" s="166">
        <f>1.192/2.4</f>
        <v>0.49666666666666665</v>
      </c>
      <c r="L144" s="190"/>
      <c r="M144" s="170" t="s">
        <v>887</v>
      </c>
      <c r="N144" s="175">
        <v>300</v>
      </c>
      <c r="O144" s="177"/>
    </row>
    <row r="145" spans="1:15" s="74" customFormat="1" ht="35.25" customHeight="1" thickBot="1">
      <c r="A145" s="165">
        <v>76</v>
      </c>
      <c r="B145" s="178" t="s">
        <v>420</v>
      </c>
      <c r="C145" s="193" t="s">
        <v>953</v>
      </c>
      <c r="D145" s="194" t="s">
        <v>459</v>
      </c>
      <c r="E145" s="166" t="s">
        <v>906</v>
      </c>
      <c r="F145" s="166" t="s">
        <v>846</v>
      </c>
      <c r="G145" s="190"/>
      <c r="H145" s="190"/>
      <c r="I145" s="194">
        <v>90</v>
      </c>
      <c r="J145" s="208"/>
      <c r="K145" s="166">
        <f>0.85/2.4</f>
        <v>0.35416666666666669</v>
      </c>
      <c r="L145" s="190"/>
      <c r="M145" s="170" t="s">
        <v>887</v>
      </c>
      <c r="N145" s="175">
        <v>300</v>
      </c>
      <c r="O145" s="177"/>
    </row>
    <row r="146" spans="1:15" s="74" customFormat="1" ht="35.25" customHeight="1" thickBot="1">
      <c r="A146" s="165">
        <v>77</v>
      </c>
      <c r="B146" s="178" t="s">
        <v>420</v>
      </c>
      <c r="C146" s="193" t="s">
        <v>305</v>
      </c>
      <c r="D146" s="194" t="s">
        <v>304</v>
      </c>
      <c r="E146" s="166" t="s">
        <v>906</v>
      </c>
      <c r="F146" s="166" t="s">
        <v>846</v>
      </c>
      <c r="G146" s="190"/>
      <c r="H146" s="190"/>
      <c r="I146" s="194">
        <v>30</v>
      </c>
      <c r="J146" s="208"/>
      <c r="K146" s="166">
        <f>1.139/2.4</f>
        <v>0.47458333333333336</v>
      </c>
      <c r="L146" s="190"/>
      <c r="M146" s="170" t="s">
        <v>887</v>
      </c>
      <c r="N146" s="175"/>
      <c r="O146" s="177"/>
    </row>
    <row r="147" spans="1:15" s="74" customFormat="1" ht="35.25" customHeight="1" thickBot="1">
      <c r="A147" s="165">
        <v>78</v>
      </c>
      <c r="B147" s="178" t="s">
        <v>420</v>
      </c>
      <c r="C147" s="193" t="s">
        <v>468</v>
      </c>
      <c r="D147" s="194" t="s">
        <v>467</v>
      </c>
      <c r="E147" s="166" t="s">
        <v>906</v>
      </c>
      <c r="F147" s="166" t="s">
        <v>856</v>
      </c>
      <c r="G147" s="190"/>
      <c r="H147" s="190"/>
      <c r="I147" s="194">
        <v>60</v>
      </c>
      <c r="J147" s="208"/>
      <c r="K147" s="166">
        <f>0.5/2.4</f>
        <v>0.20833333333333334</v>
      </c>
      <c r="L147" s="190"/>
      <c r="M147" s="170" t="s">
        <v>887</v>
      </c>
      <c r="N147" s="175"/>
      <c r="O147" s="177"/>
    </row>
    <row r="148" spans="1:15" s="74" customFormat="1" ht="35.25" customHeight="1" thickBot="1">
      <c r="A148" s="165">
        <v>79</v>
      </c>
      <c r="B148" s="178" t="s">
        <v>420</v>
      </c>
      <c r="C148" s="193" t="s">
        <v>464</v>
      </c>
      <c r="D148" s="194" t="s">
        <v>463</v>
      </c>
      <c r="E148" s="166" t="s">
        <v>906</v>
      </c>
      <c r="F148" s="166" t="s">
        <v>846</v>
      </c>
      <c r="G148" s="190"/>
      <c r="H148" s="190"/>
      <c r="I148" s="194">
        <v>180</v>
      </c>
      <c r="J148" s="208"/>
      <c r="K148" s="166">
        <f>0.065/2.4</f>
        <v>2.7083333333333334E-2</v>
      </c>
      <c r="L148" s="190"/>
      <c r="M148" s="170" t="s">
        <v>907</v>
      </c>
      <c r="N148" s="175"/>
      <c r="O148" s="177"/>
    </row>
    <row r="149" spans="1:15" s="74" customFormat="1" ht="35.25" customHeight="1" thickBot="1">
      <c r="A149" s="209">
        <v>2</v>
      </c>
      <c r="B149" s="178" t="s">
        <v>420</v>
      </c>
      <c r="C149" s="193" t="s">
        <v>466</v>
      </c>
      <c r="D149" s="194" t="s">
        <v>465</v>
      </c>
      <c r="E149" s="166" t="s">
        <v>906</v>
      </c>
      <c r="F149" s="166" t="s">
        <v>846</v>
      </c>
      <c r="G149" s="210"/>
      <c r="H149" s="210"/>
      <c r="I149" s="194">
        <v>60</v>
      </c>
      <c r="J149" s="211"/>
      <c r="K149" s="166">
        <f>2/2.4</f>
        <v>0.83333333333333337</v>
      </c>
      <c r="L149" s="210"/>
      <c r="M149" s="170" t="s">
        <v>887</v>
      </c>
      <c r="N149" s="175"/>
      <c r="O149" s="177"/>
    </row>
    <row r="150" spans="1:15" s="74" customFormat="1" ht="35.25" customHeight="1" thickBot="1">
      <c r="A150" s="209">
        <v>2</v>
      </c>
      <c r="B150" s="178" t="s">
        <v>420</v>
      </c>
      <c r="C150" s="193" t="s">
        <v>954</v>
      </c>
      <c r="D150" s="194" t="s">
        <v>471</v>
      </c>
      <c r="E150" s="166" t="s">
        <v>906</v>
      </c>
      <c r="F150" s="166" t="s">
        <v>846</v>
      </c>
      <c r="G150" s="210"/>
      <c r="H150" s="210"/>
      <c r="I150" s="194">
        <v>80</v>
      </c>
      <c r="J150" s="211"/>
      <c r="K150" s="166">
        <f>10/2.4</f>
        <v>4.166666666666667</v>
      </c>
      <c r="L150" s="210"/>
      <c r="M150" s="170" t="s">
        <v>907</v>
      </c>
      <c r="N150" s="212">
        <v>300</v>
      </c>
      <c r="O150" s="177"/>
    </row>
    <row r="151" spans="1:15" s="74" customFormat="1" ht="35.25" customHeight="1" thickBot="1">
      <c r="A151" s="209">
        <v>3</v>
      </c>
      <c r="B151" s="178" t="s">
        <v>420</v>
      </c>
      <c r="C151" s="193" t="s">
        <v>955</v>
      </c>
      <c r="D151" s="194" t="s">
        <v>475</v>
      </c>
      <c r="E151" s="166" t="s">
        <v>906</v>
      </c>
      <c r="F151" s="166" t="s">
        <v>846</v>
      </c>
      <c r="G151" s="210"/>
      <c r="H151" s="210"/>
      <c r="I151" s="194">
        <v>60</v>
      </c>
      <c r="J151" s="211"/>
      <c r="K151" s="166">
        <f>1.03/2.4</f>
        <v>0.4291666666666667</v>
      </c>
      <c r="L151" s="210"/>
      <c r="M151" s="170" t="s">
        <v>907</v>
      </c>
      <c r="N151" s="212"/>
      <c r="O151" s="177"/>
    </row>
    <row r="152" spans="1:15" s="74" customFormat="1" ht="35.25" customHeight="1" thickBot="1">
      <c r="A152" s="209">
        <v>4</v>
      </c>
      <c r="B152" s="178" t="s">
        <v>420</v>
      </c>
      <c r="C152" s="193" t="s">
        <v>480</v>
      </c>
      <c r="D152" s="194" t="s">
        <v>479</v>
      </c>
      <c r="E152" s="166" t="s">
        <v>906</v>
      </c>
      <c r="F152" s="166" t="s">
        <v>956</v>
      </c>
      <c r="G152" s="210"/>
      <c r="H152" s="210"/>
      <c r="I152" s="194">
        <v>90</v>
      </c>
      <c r="J152" s="211"/>
      <c r="K152" s="176">
        <f>0.5/2.4</f>
        <v>0.20833333333333334</v>
      </c>
      <c r="L152" s="210"/>
      <c r="M152" s="170" t="s">
        <v>887</v>
      </c>
      <c r="N152" s="212"/>
      <c r="O152" s="177"/>
    </row>
    <row r="153" spans="1:15" s="74" customFormat="1" ht="35.25" customHeight="1" thickBot="1">
      <c r="A153" s="209">
        <v>6</v>
      </c>
      <c r="B153" s="178" t="s">
        <v>420</v>
      </c>
      <c r="C153" s="193" t="s">
        <v>487</v>
      </c>
      <c r="D153" s="194" t="s">
        <v>486</v>
      </c>
      <c r="E153" s="166" t="s">
        <v>898</v>
      </c>
      <c r="F153" s="166" t="s">
        <v>846</v>
      </c>
      <c r="G153" s="210"/>
      <c r="H153" s="210"/>
      <c r="I153" s="194">
        <v>90</v>
      </c>
      <c r="J153" s="211"/>
      <c r="K153" s="176">
        <f>2.385/2.4</f>
        <v>0.99374999999999991</v>
      </c>
      <c r="L153" s="213"/>
      <c r="M153" s="170" t="s">
        <v>907</v>
      </c>
      <c r="N153" s="212"/>
      <c r="O153" s="177"/>
    </row>
    <row r="154" spans="1:15" s="215" customFormat="1" ht="35.25" customHeight="1" thickBot="1">
      <c r="A154" s="209">
        <v>7</v>
      </c>
      <c r="B154" s="178" t="s">
        <v>420</v>
      </c>
      <c r="C154" s="193" t="s">
        <v>483</v>
      </c>
      <c r="D154" s="194" t="s">
        <v>484</v>
      </c>
      <c r="E154" s="169" t="s">
        <v>845</v>
      </c>
      <c r="F154" s="169" t="s">
        <v>846</v>
      </c>
      <c r="G154" s="169">
        <v>10</v>
      </c>
      <c r="H154" s="169">
        <v>0.41199999999999998</v>
      </c>
      <c r="I154" s="172">
        <v>120</v>
      </c>
      <c r="J154" s="179">
        <f>1.602/2.2</f>
        <v>0.72818181818181815</v>
      </c>
      <c r="K154" s="179">
        <v>0.14399999999999999</v>
      </c>
      <c r="L154" s="169">
        <v>11</v>
      </c>
      <c r="M154" s="214" t="s">
        <v>907</v>
      </c>
      <c r="N154" s="212"/>
      <c r="O154" s="177"/>
    </row>
    <row r="155" spans="1:15" s="215" customFormat="1" ht="35.25" customHeight="1" thickBot="1">
      <c r="A155" s="199">
        <v>8</v>
      </c>
      <c r="B155" s="187" t="s">
        <v>420</v>
      </c>
      <c r="C155" s="183" t="s">
        <v>957</v>
      </c>
      <c r="D155" s="216" t="s">
        <v>196</v>
      </c>
      <c r="E155" s="183" t="s">
        <v>906</v>
      </c>
      <c r="F155" s="183" t="s">
        <v>846</v>
      </c>
      <c r="G155" s="183">
        <v>6</v>
      </c>
      <c r="H155" s="183">
        <v>3.9880000000000002E-3</v>
      </c>
      <c r="I155" s="183">
        <v>180</v>
      </c>
      <c r="J155" s="183">
        <v>0.75</v>
      </c>
      <c r="K155" s="217">
        <f>0.07/2.4</f>
        <v>2.9166666666666671E-2</v>
      </c>
      <c r="L155" s="218"/>
      <c r="M155" s="185" t="s">
        <v>907</v>
      </c>
      <c r="N155" s="219"/>
      <c r="O155" s="177"/>
    </row>
    <row r="156" spans="1:15" s="215" customFormat="1" ht="35.25" customHeight="1" thickBot="1">
      <c r="A156" s="165">
        <v>9</v>
      </c>
      <c r="B156" s="178" t="s">
        <v>420</v>
      </c>
      <c r="C156" s="167" t="s">
        <v>958</v>
      </c>
      <c r="D156" s="168" t="s">
        <v>959</v>
      </c>
      <c r="E156" s="166" t="s">
        <v>906</v>
      </c>
      <c r="F156" s="166" t="s">
        <v>846</v>
      </c>
      <c r="G156" s="166">
        <v>12.75</v>
      </c>
      <c r="H156" s="210"/>
      <c r="I156" s="168">
        <v>120</v>
      </c>
      <c r="J156" s="168">
        <v>1.04</v>
      </c>
      <c r="K156" s="166">
        <f>0.252/2.4</f>
        <v>0.10500000000000001</v>
      </c>
      <c r="L156" s="166">
        <v>22</v>
      </c>
      <c r="M156" s="178" t="s">
        <v>887</v>
      </c>
      <c r="N156" s="220">
        <v>350</v>
      </c>
      <c r="O156" s="177"/>
    </row>
    <row r="157" spans="1:15" s="215" customFormat="1" ht="35.25" customHeight="1" thickBot="1">
      <c r="A157" s="209">
        <v>10</v>
      </c>
      <c r="B157" s="221" t="s">
        <v>420</v>
      </c>
      <c r="C157" s="195">
        <v>551275</v>
      </c>
      <c r="D157" s="222" t="s">
        <v>490</v>
      </c>
      <c r="E157" s="166" t="s">
        <v>906</v>
      </c>
      <c r="F157" s="222" t="s">
        <v>856</v>
      </c>
      <c r="G157" s="222" t="s">
        <v>960</v>
      </c>
      <c r="H157" s="210"/>
      <c r="I157" s="194">
        <v>30</v>
      </c>
      <c r="J157" s="194">
        <v>2.9750000000000001</v>
      </c>
      <c r="K157" s="222">
        <f>0.698/2.4</f>
        <v>0.29083333333333333</v>
      </c>
      <c r="L157" s="210"/>
      <c r="M157" s="221" t="s">
        <v>907</v>
      </c>
      <c r="N157" s="223"/>
      <c r="O157" s="177"/>
    </row>
    <row r="158" spans="1:15" s="215" customFormat="1" ht="35.25" customHeight="1" thickBot="1">
      <c r="A158" s="209">
        <v>11</v>
      </c>
      <c r="B158" s="221" t="s">
        <v>420</v>
      </c>
      <c r="C158" s="195" t="s">
        <v>961</v>
      </c>
      <c r="D158" s="222" t="s">
        <v>491</v>
      </c>
      <c r="E158" s="166" t="s">
        <v>906</v>
      </c>
      <c r="F158" s="222" t="s">
        <v>846</v>
      </c>
      <c r="G158" s="222" t="s">
        <v>962</v>
      </c>
      <c r="H158" s="222">
        <v>1.4999999999999999E-2</v>
      </c>
      <c r="I158" s="194">
        <v>110</v>
      </c>
      <c r="J158" s="194">
        <f>3/2.4</f>
        <v>1.25</v>
      </c>
      <c r="K158" s="222">
        <f>0.546/2.4</f>
        <v>0.22750000000000004</v>
      </c>
      <c r="L158" s="222"/>
      <c r="M158" s="221" t="s">
        <v>907</v>
      </c>
      <c r="N158" s="223"/>
      <c r="O158" s="177"/>
    </row>
    <row r="159" spans="1:15" s="215" customFormat="1" ht="35.25" customHeight="1" thickBot="1">
      <c r="A159" s="209">
        <v>12</v>
      </c>
      <c r="B159" s="221" t="s">
        <v>420</v>
      </c>
      <c r="C159" s="195" t="s">
        <v>963</v>
      </c>
      <c r="D159" s="222" t="s">
        <v>493</v>
      </c>
      <c r="E159" s="166" t="s">
        <v>906</v>
      </c>
      <c r="F159" s="222" t="s">
        <v>964</v>
      </c>
      <c r="G159" s="222">
        <v>14.5</v>
      </c>
      <c r="H159" s="222">
        <v>1.5100000000000001E-2</v>
      </c>
      <c r="I159" s="194">
        <v>120</v>
      </c>
      <c r="J159" s="194">
        <v>1.754</v>
      </c>
      <c r="K159" s="224">
        <f>0.14/2.4</f>
        <v>5.8333333333333341E-2</v>
      </c>
      <c r="L159" s="222">
        <v>256</v>
      </c>
      <c r="M159" s="221" t="s">
        <v>907</v>
      </c>
      <c r="N159" s="223"/>
      <c r="O159" s="177"/>
    </row>
    <row r="160" spans="1:15" s="215" customFormat="1" ht="35.25" customHeight="1" thickBot="1">
      <c r="A160" s="209">
        <v>13</v>
      </c>
      <c r="B160" s="221" t="s">
        <v>420</v>
      </c>
      <c r="C160" s="195" t="s">
        <v>965</v>
      </c>
      <c r="D160" s="194" t="s">
        <v>494</v>
      </c>
      <c r="E160" s="222" t="s">
        <v>910</v>
      </c>
      <c r="F160" s="222" t="s">
        <v>956</v>
      </c>
      <c r="G160" s="222" t="s">
        <v>966</v>
      </c>
      <c r="H160" s="222">
        <v>7.1999999999999995E-2</v>
      </c>
      <c r="I160" s="194">
        <v>40</v>
      </c>
      <c r="J160" s="194">
        <f>3.7/2.4</f>
        <v>1.5416666666666667</v>
      </c>
      <c r="K160" s="222">
        <f>2.9/2.4</f>
        <v>1.2083333333333333</v>
      </c>
      <c r="L160" s="222"/>
      <c r="M160" s="221" t="s">
        <v>907</v>
      </c>
      <c r="N160" s="223"/>
      <c r="O160" s="177"/>
    </row>
    <row r="161" spans="1:15" s="215" customFormat="1" ht="35.25" customHeight="1" thickBot="1">
      <c r="A161" s="209">
        <v>13</v>
      </c>
      <c r="B161" s="221" t="s">
        <v>420</v>
      </c>
      <c r="C161" s="195" t="s">
        <v>967</v>
      </c>
      <c r="D161" s="194" t="s">
        <v>496</v>
      </c>
      <c r="E161" s="222" t="s">
        <v>906</v>
      </c>
      <c r="F161" s="222" t="s">
        <v>856</v>
      </c>
      <c r="G161" s="222">
        <v>14</v>
      </c>
      <c r="H161" s="222">
        <v>6.9000000000000006E-2</v>
      </c>
      <c r="I161" s="194">
        <v>100</v>
      </c>
      <c r="J161" s="194"/>
      <c r="K161" s="222">
        <f>1.13/2.4</f>
        <v>0.47083333333333333</v>
      </c>
      <c r="L161" s="222"/>
      <c r="M161" s="221" t="s">
        <v>907</v>
      </c>
      <c r="N161" s="223"/>
      <c r="O161" s="177"/>
    </row>
    <row r="162" spans="1:15" s="215" customFormat="1" ht="35.25" customHeight="1" thickBot="1">
      <c r="A162" s="209">
        <v>14</v>
      </c>
      <c r="B162" s="221" t="s">
        <v>420</v>
      </c>
      <c r="C162" s="195" t="s">
        <v>968</v>
      </c>
      <c r="D162" s="194" t="s">
        <v>498</v>
      </c>
      <c r="E162" s="222" t="s">
        <v>906</v>
      </c>
      <c r="F162" s="222" t="s">
        <v>856</v>
      </c>
      <c r="G162" s="222">
        <v>14</v>
      </c>
      <c r="H162" s="222">
        <v>6.9000000000000006E-2</v>
      </c>
      <c r="I162" s="194">
        <v>100</v>
      </c>
      <c r="J162" s="194"/>
      <c r="K162" s="222">
        <f>1.13/2.4</f>
        <v>0.47083333333333333</v>
      </c>
      <c r="L162" s="222"/>
      <c r="M162" s="221" t="s">
        <v>907</v>
      </c>
      <c r="N162" s="223"/>
      <c r="O162" s="177"/>
    </row>
    <row r="163" spans="1:15" s="215" customFormat="1" ht="35.25" customHeight="1" thickBot="1">
      <c r="A163" s="209">
        <v>14</v>
      </c>
      <c r="B163" s="221" t="s">
        <v>420</v>
      </c>
      <c r="C163" s="195" t="s">
        <v>500</v>
      </c>
      <c r="D163" s="194" t="s">
        <v>501</v>
      </c>
      <c r="E163" s="222" t="s">
        <v>898</v>
      </c>
      <c r="F163" s="222" t="s">
        <v>956</v>
      </c>
      <c r="G163" s="222" t="s">
        <v>969</v>
      </c>
      <c r="H163" s="210"/>
      <c r="I163" s="194">
        <v>120</v>
      </c>
      <c r="J163" s="210"/>
      <c r="K163" s="222">
        <f>2.026/2.4</f>
        <v>0.84416666666666662</v>
      </c>
      <c r="L163" s="210"/>
      <c r="M163" s="221" t="s">
        <v>970</v>
      </c>
      <c r="N163" s="223">
        <v>350</v>
      </c>
      <c r="O163" s="177"/>
    </row>
    <row r="164" spans="1:15" s="215" customFormat="1" ht="35.25" customHeight="1" thickBot="1">
      <c r="A164" s="209">
        <v>15</v>
      </c>
      <c r="B164" s="221" t="s">
        <v>420</v>
      </c>
      <c r="C164" s="195" t="s">
        <v>503</v>
      </c>
      <c r="D164" s="194" t="s">
        <v>502</v>
      </c>
      <c r="E164" s="222" t="s">
        <v>906</v>
      </c>
      <c r="F164" s="222" t="s">
        <v>911</v>
      </c>
      <c r="G164" s="222">
        <v>14</v>
      </c>
      <c r="H164" s="222">
        <v>6.9000000000000006E-2</v>
      </c>
      <c r="I164" s="194">
        <v>90</v>
      </c>
      <c r="J164" s="194"/>
      <c r="K164" s="222">
        <f>1.13/2.4</f>
        <v>0.47083333333333333</v>
      </c>
      <c r="L164" s="222"/>
      <c r="M164" s="221" t="s">
        <v>970</v>
      </c>
      <c r="N164" s="223"/>
      <c r="O164" s="177"/>
    </row>
    <row r="165" spans="1:15" s="215" customFormat="1" ht="35.25" customHeight="1" thickBot="1">
      <c r="A165" s="209">
        <v>16</v>
      </c>
      <c r="B165" s="221" t="s">
        <v>420</v>
      </c>
      <c r="C165" s="195" t="s">
        <v>504</v>
      </c>
      <c r="D165" s="194" t="s">
        <v>505</v>
      </c>
      <c r="E165" s="222" t="s">
        <v>898</v>
      </c>
      <c r="F165" s="222" t="s">
        <v>956</v>
      </c>
      <c r="G165" s="222" t="s">
        <v>969</v>
      </c>
      <c r="H165" s="210"/>
      <c r="I165" s="194">
        <v>90</v>
      </c>
      <c r="J165" s="210"/>
      <c r="K165" s="222">
        <f>0.25/2.4</f>
        <v>0.10416666666666667</v>
      </c>
      <c r="L165" s="210"/>
      <c r="M165" s="221" t="s">
        <v>887</v>
      </c>
      <c r="N165" s="223">
        <v>300</v>
      </c>
      <c r="O165" s="177"/>
    </row>
    <row r="166" spans="1:15" s="215" customFormat="1" ht="35.25" customHeight="1" thickBot="1">
      <c r="A166" s="209">
        <v>17</v>
      </c>
      <c r="B166" s="221" t="s">
        <v>420</v>
      </c>
      <c r="C166" s="195" t="s">
        <v>511</v>
      </c>
      <c r="D166" s="194" t="s">
        <v>510</v>
      </c>
      <c r="E166" s="222" t="s">
        <v>971</v>
      </c>
      <c r="F166" s="222" t="s">
        <v>846</v>
      </c>
      <c r="G166" s="222" t="s">
        <v>972</v>
      </c>
      <c r="H166" s="222"/>
      <c r="I166" s="194"/>
      <c r="J166" s="194"/>
      <c r="K166" s="222"/>
      <c r="L166" s="222"/>
      <c r="M166" s="221" t="s">
        <v>973</v>
      </c>
      <c r="N166" s="223"/>
      <c r="O166" s="177"/>
    </row>
    <row r="167" spans="1:15" s="215" customFormat="1" ht="35.25" customHeight="1" thickBot="1">
      <c r="A167" s="209">
        <v>17</v>
      </c>
      <c r="B167" s="221" t="s">
        <v>420</v>
      </c>
      <c r="C167" s="195" t="s">
        <v>507</v>
      </c>
      <c r="D167" s="194" t="s">
        <v>506</v>
      </c>
      <c r="E167" s="222" t="s">
        <v>906</v>
      </c>
      <c r="F167" s="222" t="s">
        <v>846</v>
      </c>
      <c r="G167" s="222" t="s">
        <v>974</v>
      </c>
      <c r="H167" s="222"/>
      <c r="I167" s="194">
        <v>15</v>
      </c>
      <c r="J167" s="194">
        <f>3/2.4</f>
        <v>1.25</v>
      </c>
      <c r="K167" s="222">
        <f>3.5/2.4</f>
        <v>1.4583333333333335</v>
      </c>
      <c r="L167" s="222"/>
      <c r="M167" s="221" t="s">
        <v>973</v>
      </c>
      <c r="N167" s="223"/>
      <c r="O167" s="177"/>
    </row>
    <row r="168" spans="1:15" s="215" customFormat="1" ht="35.25" customHeight="1" thickBot="1">
      <c r="A168" s="209">
        <v>18</v>
      </c>
      <c r="B168" s="221" t="s">
        <v>420</v>
      </c>
      <c r="C168" s="195" t="s">
        <v>975</v>
      </c>
      <c r="D168" s="194" t="s">
        <v>976</v>
      </c>
      <c r="E168" s="222" t="s">
        <v>906</v>
      </c>
      <c r="F168" s="222" t="s">
        <v>846</v>
      </c>
      <c r="G168" s="222" t="s">
        <v>977</v>
      </c>
      <c r="H168" s="222"/>
      <c r="I168" s="194">
        <v>10</v>
      </c>
      <c r="J168" s="194">
        <f>3/2.4</f>
        <v>1.25</v>
      </c>
      <c r="K168" s="222">
        <f>4.8/2.4</f>
        <v>2</v>
      </c>
      <c r="L168" s="222"/>
      <c r="M168" s="221" t="s">
        <v>887</v>
      </c>
      <c r="N168" s="223"/>
      <c r="O168" s="177"/>
    </row>
    <row r="169" spans="1:15" s="215" customFormat="1" ht="35.25" customHeight="1" thickBot="1">
      <c r="A169" s="209">
        <v>19</v>
      </c>
      <c r="B169" s="221" t="s">
        <v>420</v>
      </c>
      <c r="C169" s="195" t="s">
        <v>978</v>
      </c>
      <c r="D169" s="194" t="s">
        <v>979</v>
      </c>
      <c r="E169" s="222" t="s">
        <v>906</v>
      </c>
      <c r="F169" s="222" t="s">
        <v>846</v>
      </c>
      <c r="G169" s="222" t="s">
        <v>977</v>
      </c>
      <c r="H169" s="222"/>
      <c r="I169" s="194">
        <v>30</v>
      </c>
      <c r="J169" s="194">
        <f>3/2.4</f>
        <v>1.25</v>
      </c>
      <c r="K169" s="222"/>
      <c r="L169" s="222"/>
      <c r="M169" s="221" t="s">
        <v>907</v>
      </c>
      <c r="N169" s="223"/>
      <c r="O169" s="177"/>
    </row>
    <row r="170" spans="1:15" s="215" customFormat="1" ht="35.25" customHeight="1" thickBot="1">
      <c r="A170" s="209">
        <v>18</v>
      </c>
      <c r="B170" s="221" t="s">
        <v>420</v>
      </c>
      <c r="C170" s="195" t="s">
        <v>166</v>
      </c>
      <c r="D170" s="194" t="s">
        <v>512</v>
      </c>
      <c r="E170" s="222" t="s">
        <v>906</v>
      </c>
      <c r="F170" s="222" t="s">
        <v>846</v>
      </c>
      <c r="G170" s="222" t="s">
        <v>980</v>
      </c>
      <c r="H170" s="222"/>
      <c r="I170" s="194">
        <v>90</v>
      </c>
      <c r="J170" s="194">
        <f>3/2.4</f>
        <v>1.25</v>
      </c>
      <c r="K170" s="222">
        <f>2.046/2.4</f>
        <v>0.85249999999999992</v>
      </c>
      <c r="L170" s="222"/>
      <c r="M170" s="225" t="s">
        <v>973</v>
      </c>
      <c r="N170" s="226"/>
      <c r="O170" s="177"/>
    </row>
    <row r="171" spans="1:15" s="215" customFormat="1" ht="35.25" customHeight="1" thickBot="1">
      <c r="A171" s="209">
        <v>19</v>
      </c>
      <c r="B171" s="221" t="s">
        <v>420</v>
      </c>
      <c r="C171" s="195" t="s">
        <v>516</v>
      </c>
      <c r="D171" s="194" t="s">
        <v>515</v>
      </c>
      <c r="E171" s="166" t="s">
        <v>906</v>
      </c>
      <c r="F171" s="222" t="s">
        <v>956</v>
      </c>
      <c r="G171" s="222" t="s">
        <v>981</v>
      </c>
      <c r="H171" s="210"/>
      <c r="I171" s="194">
        <v>120</v>
      </c>
      <c r="J171" s="210"/>
      <c r="K171" s="224">
        <f>0.637/2.4</f>
        <v>0.26541666666666669</v>
      </c>
      <c r="L171" s="222"/>
      <c r="M171" s="225" t="s">
        <v>970</v>
      </c>
      <c r="N171" s="226">
        <v>350</v>
      </c>
      <c r="O171" s="177"/>
    </row>
    <row r="172" spans="1:15" s="215" customFormat="1" ht="35.25" customHeight="1" thickBot="1">
      <c r="A172" s="209">
        <v>20</v>
      </c>
      <c r="B172" s="221" t="s">
        <v>420</v>
      </c>
      <c r="C172" s="195" t="s">
        <v>514</v>
      </c>
      <c r="D172" s="194" t="s">
        <v>513</v>
      </c>
      <c r="E172" s="166" t="s">
        <v>906</v>
      </c>
      <c r="F172" s="222" t="s">
        <v>956</v>
      </c>
      <c r="G172" s="222" t="s">
        <v>981</v>
      </c>
      <c r="H172" s="210"/>
      <c r="I172" s="194">
        <v>120</v>
      </c>
      <c r="J172" s="210"/>
      <c r="K172" s="224">
        <f>0.662/2.4</f>
        <v>0.27583333333333337</v>
      </c>
      <c r="L172" s="222"/>
      <c r="M172" s="225" t="s">
        <v>970</v>
      </c>
      <c r="N172" s="226">
        <v>350</v>
      </c>
      <c r="O172" s="177"/>
    </row>
    <row r="173" spans="1:15" s="215" customFormat="1" ht="35.25" customHeight="1" thickBot="1">
      <c r="A173" s="209">
        <v>21</v>
      </c>
      <c r="B173" s="221" t="s">
        <v>420</v>
      </c>
      <c r="C173" s="195" t="s">
        <v>982</v>
      </c>
      <c r="D173" s="194" t="s">
        <v>983</v>
      </c>
      <c r="E173" s="222" t="s">
        <v>845</v>
      </c>
      <c r="F173" s="222" t="s">
        <v>846</v>
      </c>
      <c r="G173" s="222" t="s">
        <v>984</v>
      </c>
      <c r="H173" s="194">
        <v>0.115</v>
      </c>
      <c r="I173" s="227">
        <v>90</v>
      </c>
      <c r="J173" s="220">
        <f>3/2.4</f>
        <v>1.25</v>
      </c>
      <c r="K173" s="228">
        <f>2.066/2.4</f>
        <v>0.86083333333333334</v>
      </c>
      <c r="L173" s="222"/>
      <c r="M173" s="225"/>
      <c r="N173" s="226"/>
      <c r="O173" s="177"/>
    </row>
    <row r="174" spans="1:15" s="215" customFormat="1" ht="35.25" customHeight="1" thickBot="1">
      <c r="A174" s="209">
        <v>22</v>
      </c>
      <c r="B174" s="221" t="s">
        <v>420</v>
      </c>
      <c r="C174" s="194" t="s">
        <v>509</v>
      </c>
      <c r="D174" s="194" t="s">
        <v>508</v>
      </c>
      <c r="E174" s="222" t="s">
        <v>845</v>
      </c>
      <c r="F174" s="221" t="s">
        <v>846</v>
      </c>
      <c r="G174" s="222" t="s">
        <v>984</v>
      </c>
      <c r="H174" s="194">
        <v>4.5999999999999999E-2</v>
      </c>
      <c r="I174" s="222">
        <v>90</v>
      </c>
      <c r="J174" s="222">
        <f>3/2.4</f>
        <v>1.25</v>
      </c>
      <c r="K174" s="221">
        <f>2/2.9</f>
        <v>0.68965517241379315</v>
      </c>
      <c r="L174" s="195"/>
      <c r="M174" s="194" t="s">
        <v>907</v>
      </c>
      <c r="N174" s="222"/>
      <c r="O174" s="177"/>
    </row>
    <row r="175" spans="1:15" s="215" customFormat="1" ht="35.25" customHeight="1" thickBot="1">
      <c r="A175" s="209">
        <v>24</v>
      </c>
      <c r="B175" s="221" t="s">
        <v>420</v>
      </c>
      <c r="C175" s="194" t="s">
        <v>554</v>
      </c>
      <c r="D175" s="194" t="s">
        <v>553</v>
      </c>
      <c r="E175" s="222" t="s">
        <v>845</v>
      </c>
      <c r="F175" s="221" t="s">
        <v>956</v>
      </c>
      <c r="G175" s="195" t="s">
        <v>884</v>
      </c>
      <c r="H175" s="210"/>
      <c r="I175" s="222">
        <v>120</v>
      </c>
      <c r="J175" s="210"/>
      <c r="K175" s="221">
        <f>0.417/2.4</f>
        <v>0.17374999999999999</v>
      </c>
      <c r="L175" s="210"/>
      <c r="M175" s="194" t="s">
        <v>887</v>
      </c>
      <c r="N175" s="222">
        <v>350</v>
      </c>
      <c r="O175" s="177"/>
    </row>
    <row r="176" spans="1:15" s="215" customFormat="1" ht="35.25" customHeight="1" thickBot="1">
      <c r="A176" s="209">
        <v>25</v>
      </c>
      <c r="B176" s="221" t="s">
        <v>420</v>
      </c>
      <c r="C176" s="194" t="s">
        <v>554</v>
      </c>
      <c r="D176" s="194" t="s">
        <v>517</v>
      </c>
      <c r="E176" s="222" t="s">
        <v>845</v>
      </c>
      <c r="F176" s="221" t="s">
        <v>956</v>
      </c>
      <c r="G176" s="195" t="s">
        <v>884</v>
      </c>
      <c r="H176" s="210"/>
      <c r="I176" s="222">
        <v>120</v>
      </c>
      <c r="J176" s="210"/>
      <c r="K176" s="221">
        <f>0.417/2.4</f>
        <v>0.17374999999999999</v>
      </c>
      <c r="L176" s="210"/>
      <c r="M176" s="194" t="s">
        <v>887</v>
      </c>
      <c r="N176" s="222">
        <v>350</v>
      </c>
      <c r="O176" s="177"/>
    </row>
    <row r="177" spans="1:15" s="215" customFormat="1" ht="35.25" customHeight="1" thickBot="1">
      <c r="A177" s="209">
        <v>26</v>
      </c>
      <c r="B177" s="221" t="s">
        <v>420</v>
      </c>
      <c r="C177" s="194" t="s">
        <v>520</v>
      </c>
      <c r="D177" s="194" t="s">
        <v>519</v>
      </c>
      <c r="E177" s="222" t="s">
        <v>845</v>
      </c>
      <c r="F177" s="221" t="s">
        <v>956</v>
      </c>
      <c r="G177" s="195" t="s">
        <v>985</v>
      </c>
      <c r="H177" s="210"/>
      <c r="I177" s="222">
        <v>90</v>
      </c>
      <c r="J177" s="210"/>
      <c r="K177" s="221">
        <f>1.13/2.4</f>
        <v>0.47083333333333333</v>
      </c>
      <c r="L177" s="210"/>
      <c r="M177" s="194"/>
      <c r="N177" s="222"/>
      <c r="O177" s="177"/>
    </row>
    <row r="178" spans="1:15" s="215" customFormat="1" ht="35.25" customHeight="1" thickBot="1">
      <c r="A178" s="209">
        <v>27</v>
      </c>
      <c r="B178" s="221" t="s">
        <v>420</v>
      </c>
      <c r="C178" s="194" t="s">
        <v>530</v>
      </c>
      <c r="D178" s="194" t="s">
        <v>521</v>
      </c>
      <c r="E178" s="222" t="s">
        <v>845</v>
      </c>
      <c r="F178" s="221" t="s">
        <v>956</v>
      </c>
      <c r="G178" s="195" t="s">
        <v>884</v>
      </c>
      <c r="H178" s="210"/>
      <c r="I178" s="222">
        <v>120</v>
      </c>
      <c r="J178" s="210"/>
      <c r="K178" s="221">
        <f>0.43/2.4</f>
        <v>0.17916666666666667</v>
      </c>
      <c r="L178" s="210"/>
      <c r="M178" s="194" t="s">
        <v>887</v>
      </c>
      <c r="N178" s="222">
        <v>350</v>
      </c>
      <c r="O178" s="177"/>
    </row>
    <row r="179" spans="1:15" s="215" customFormat="1" ht="35.25" customHeight="1" thickBot="1">
      <c r="A179" s="209">
        <v>28</v>
      </c>
      <c r="B179" s="221" t="s">
        <v>420</v>
      </c>
      <c r="C179" s="194" t="s">
        <v>986</v>
      </c>
      <c r="D179" s="194" t="s">
        <v>522</v>
      </c>
      <c r="E179" s="222" t="s">
        <v>845</v>
      </c>
      <c r="F179" s="221" t="s">
        <v>956</v>
      </c>
      <c r="G179" s="195" t="s">
        <v>981</v>
      </c>
      <c r="H179" s="210"/>
      <c r="I179" s="222">
        <v>120</v>
      </c>
      <c r="J179" s="210"/>
      <c r="K179" s="221">
        <f>0.72/2.4</f>
        <v>0.3</v>
      </c>
      <c r="L179" s="210"/>
      <c r="M179" s="194" t="s">
        <v>887</v>
      </c>
      <c r="N179" s="222">
        <v>350</v>
      </c>
      <c r="O179" s="177"/>
    </row>
    <row r="180" spans="1:15" s="215" customFormat="1" ht="35.25" customHeight="1" thickBot="1">
      <c r="A180" s="209">
        <v>29</v>
      </c>
      <c r="B180" s="221" t="s">
        <v>420</v>
      </c>
      <c r="C180" s="194" t="s">
        <v>525</v>
      </c>
      <c r="D180" s="194" t="s">
        <v>524</v>
      </c>
      <c r="E180" s="222" t="s">
        <v>845</v>
      </c>
      <c r="F180" s="221" t="s">
        <v>846</v>
      </c>
      <c r="G180" s="195">
        <v>20</v>
      </c>
      <c r="H180" s="194">
        <v>2.7550000000000002E-2</v>
      </c>
      <c r="I180" s="222">
        <v>90</v>
      </c>
      <c r="J180" s="210"/>
      <c r="K180" s="221">
        <f>1.139/2.9</f>
        <v>0.39275862068965517</v>
      </c>
      <c r="L180" s="210"/>
      <c r="M180" s="194"/>
      <c r="N180" s="222"/>
      <c r="O180" s="177"/>
    </row>
    <row r="181" spans="1:15" s="215" customFormat="1" ht="35.25" customHeight="1" thickBot="1">
      <c r="A181" s="209">
        <v>30</v>
      </c>
      <c r="B181" s="221" t="s">
        <v>420</v>
      </c>
      <c r="C181" s="194" t="s">
        <v>527</v>
      </c>
      <c r="D181" s="194" t="s">
        <v>526</v>
      </c>
      <c r="E181" s="222" t="s">
        <v>845</v>
      </c>
      <c r="F181" s="221" t="s">
        <v>956</v>
      </c>
      <c r="G181" s="195" t="s">
        <v>987</v>
      </c>
      <c r="H181" s="210"/>
      <c r="I181" s="222">
        <v>100</v>
      </c>
      <c r="J181" s="210"/>
      <c r="K181" s="221">
        <f>0.191/2.9</f>
        <v>6.5862068965517245E-2</v>
      </c>
      <c r="L181" s="210"/>
      <c r="M181" s="194"/>
      <c r="N181" s="222"/>
      <c r="O181" s="177"/>
    </row>
    <row r="182" spans="1:15" s="215" customFormat="1" ht="35.25" customHeight="1" thickBot="1">
      <c r="A182" s="209">
        <v>31</v>
      </c>
      <c r="B182" s="221" t="s">
        <v>420</v>
      </c>
      <c r="C182" s="194" t="s">
        <v>529</v>
      </c>
      <c r="D182" s="194" t="s">
        <v>528</v>
      </c>
      <c r="E182" s="222" t="s">
        <v>845</v>
      </c>
      <c r="F182" s="221" t="s">
        <v>956</v>
      </c>
      <c r="G182" s="195" t="s">
        <v>988</v>
      </c>
      <c r="H182" s="210"/>
      <c r="I182" s="222">
        <v>120</v>
      </c>
      <c r="J182" s="210"/>
      <c r="K182" s="221">
        <f>0.536/2.9</f>
        <v>0.18482758620689657</v>
      </c>
      <c r="L182" s="210"/>
      <c r="M182" s="194" t="s">
        <v>887</v>
      </c>
      <c r="N182" s="222">
        <v>350</v>
      </c>
      <c r="O182" s="177"/>
    </row>
    <row r="183" spans="1:15" s="215" customFormat="1" ht="35.25" customHeight="1" thickBot="1">
      <c r="A183" s="209">
        <v>32</v>
      </c>
      <c r="B183" s="221" t="s">
        <v>420</v>
      </c>
      <c r="C183" s="229" t="s">
        <v>989</v>
      </c>
      <c r="D183" s="194" t="s">
        <v>531</v>
      </c>
      <c r="E183" s="222" t="s">
        <v>845</v>
      </c>
      <c r="F183" s="221" t="s">
        <v>956</v>
      </c>
      <c r="G183" s="195" t="s">
        <v>988</v>
      </c>
      <c r="H183" s="210"/>
      <c r="I183" s="222">
        <v>120</v>
      </c>
      <c r="J183" s="210"/>
      <c r="K183" s="221">
        <f>0.557/2.9</f>
        <v>0.1920689655172414</v>
      </c>
      <c r="L183" s="210"/>
      <c r="M183" s="194" t="s">
        <v>887</v>
      </c>
      <c r="N183" s="222">
        <v>350</v>
      </c>
      <c r="O183" s="177"/>
    </row>
    <row r="184" spans="1:15" s="215" customFormat="1" ht="35.25" customHeight="1" thickBot="1">
      <c r="A184" s="209">
        <v>33</v>
      </c>
      <c r="B184" s="221" t="s">
        <v>420</v>
      </c>
      <c r="C184" s="229" t="s">
        <v>990</v>
      </c>
      <c r="D184" s="194" t="s">
        <v>533</v>
      </c>
      <c r="E184" s="222" t="s">
        <v>845</v>
      </c>
      <c r="F184" s="221" t="s">
        <v>908</v>
      </c>
      <c r="G184" s="195" t="s">
        <v>991</v>
      </c>
      <c r="H184" s="210"/>
      <c r="I184" s="222">
        <v>120</v>
      </c>
      <c r="J184" s="210"/>
      <c r="K184" s="221">
        <f>0.402/2.9</f>
        <v>0.13862068965517244</v>
      </c>
      <c r="L184" s="210"/>
      <c r="M184" s="194" t="s">
        <v>887</v>
      </c>
      <c r="N184" s="222">
        <v>350</v>
      </c>
      <c r="O184" s="177"/>
    </row>
    <row r="185" spans="1:15" s="215" customFormat="1" ht="35.25" customHeight="1" thickBot="1">
      <c r="A185" s="209">
        <v>34</v>
      </c>
      <c r="B185" s="221" t="s">
        <v>420</v>
      </c>
      <c r="C185" s="229" t="s">
        <v>992</v>
      </c>
      <c r="D185" s="194" t="s">
        <v>541</v>
      </c>
      <c r="E185" s="222" t="s">
        <v>845</v>
      </c>
      <c r="F185" s="221" t="s">
        <v>908</v>
      </c>
      <c r="G185" s="195" t="s">
        <v>991</v>
      </c>
      <c r="H185" s="210"/>
      <c r="I185" s="222">
        <v>120</v>
      </c>
      <c r="J185" s="210"/>
      <c r="K185" s="221">
        <f>0.395/2.9</f>
        <v>0.13620689655172416</v>
      </c>
      <c r="L185" s="210"/>
      <c r="M185" s="227" t="s">
        <v>887</v>
      </c>
      <c r="N185" s="220">
        <v>350</v>
      </c>
      <c r="O185" s="177"/>
    </row>
    <row r="186" spans="1:15" s="215" customFormat="1" ht="35.25" customHeight="1" thickBot="1">
      <c r="A186" s="209">
        <v>35</v>
      </c>
      <c r="B186" s="221" t="s">
        <v>420</v>
      </c>
      <c r="C186" s="229" t="s">
        <v>993</v>
      </c>
      <c r="D186" s="194" t="s">
        <v>539</v>
      </c>
      <c r="E186" s="222" t="s">
        <v>845</v>
      </c>
      <c r="F186" s="221" t="s">
        <v>908</v>
      </c>
      <c r="G186" s="195" t="s">
        <v>988</v>
      </c>
      <c r="H186" s="210"/>
      <c r="I186" s="222">
        <v>120</v>
      </c>
      <c r="J186" s="210"/>
      <c r="K186" s="221">
        <f>0.579/2.9</f>
        <v>0.1996551724137931</v>
      </c>
      <c r="L186" s="210"/>
      <c r="M186" s="227" t="s">
        <v>970</v>
      </c>
      <c r="N186" s="223">
        <v>350</v>
      </c>
      <c r="O186" s="177"/>
    </row>
    <row r="187" spans="1:15" s="215" customFormat="1" ht="35.25" customHeight="1" thickBot="1">
      <c r="A187" s="209">
        <v>36</v>
      </c>
      <c r="B187" s="221" t="s">
        <v>420</v>
      </c>
      <c r="C187" s="229" t="s">
        <v>543</v>
      </c>
      <c r="D187" s="194" t="s">
        <v>542</v>
      </c>
      <c r="E187" s="222" t="s">
        <v>845</v>
      </c>
      <c r="F187" s="221" t="s">
        <v>846</v>
      </c>
      <c r="G187" s="195" t="s">
        <v>974</v>
      </c>
      <c r="H187" s="194">
        <v>7.2500000000000004E-3</v>
      </c>
      <c r="I187" s="222">
        <v>49</v>
      </c>
      <c r="J187" s="222">
        <f>3/2.4</f>
        <v>1.25</v>
      </c>
      <c r="K187" s="221">
        <f>0.5/2.9</f>
        <v>0.17241379310344829</v>
      </c>
      <c r="L187" s="195"/>
      <c r="M187" s="227"/>
      <c r="N187" s="223"/>
      <c r="O187" s="177"/>
    </row>
    <row r="188" spans="1:15" s="215" customFormat="1" ht="35.25" customHeight="1" thickBot="1">
      <c r="A188" s="209">
        <v>37</v>
      </c>
      <c r="B188" s="221" t="s">
        <v>420</v>
      </c>
      <c r="C188" s="229" t="s">
        <v>994</v>
      </c>
      <c r="D188" s="194" t="s">
        <v>995</v>
      </c>
      <c r="E188" s="222" t="s">
        <v>845</v>
      </c>
      <c r="F188" s="221" t="s">
        <v>908</v>
      </c>
      <c r="G188" s="195" t="s">
        <v>988</v>
      </c>
      <c r="H188" s="210"/>
      <c r="I188" s="222">
        <v>120</v>
      </c>
      <c r="J188" s="210"/>
      <c r="K188" s="221">
        <f>0.436/2.9</f>
        <v>0.1503448275862069</v>
      </c>
      <c r="L188" s="210"/>
      <c r="M188" s="227" t="s">
        <v>970</v>
      </c>
      <c r="N188" s="223">
        <v>350</v>
      </c>
      <c r="O188" s="177"/>
    </row>
    <row r="189" spans="1:15" s="215" customFormat="1" ht="35.25" customHeight="1" thickBot="1">
      <c r="A189" s="209">
        <v>38</v>
      </c>
      <c r="B189" s="221" t="s">
        <v>420</v>
      </c>
      <c r="C189" s="229" t="s">
        <v>996</v>
      </c>
      <c r="D189" s="194" t="s">
        <v>997</v>
      </c>
      <c r="E189" s="222" t="s">
        <v>845</v>
      </c>
      <c r="F189" s="221" t="s">
        <v>908</v>
      </c>
      <c r="G189" s="195" t="s">
        <v>991</v>
      </c>
      <c r="H189" s="210"/>
      <c r="I189" s="222">
        <v>120</v>
      </c>
      <c r="J189" s="210"/>
      <c r="K189" s="221">
        <f>0.494/2.9</f>
        <v>0.17034482758620689</v>
      </c>
      <c r="L189" s="210"/>
      <c r="M189" s="227" t="s">
        <v>970</v>
      </c>
      <c r="N189" s="223">
        <v>350</v>
      </c>
      <c r="O189" s="177"/>
    </row>
    <row r="190" spans="1:15" s="215" customFormat="1" ht="35.25" customHeight="1" thickBot="1">
      <c r="A190" s="209">
        <v>39</v>
      </c>
      <c r="B190" s="221" t="s">
        <v>420</v>
      </c>
      <c r="C190" s="229" t="s">
        <v>546</v>
      </c>
      <c r="D190" s="194" t="s">
        <v>545</v>
      </c>
      <c r="E190" s="222" t="s">
        <v>845</v>
      </c>
      <c r="F190" s="221" t="s">
        <v>908</v>
      </c>
      <c r="G190" s="195" t="s">
        <v>988</v>
      </c>
      <c r="H190" s="230"/>
      <c r="I190" s="222">
        <v>120</v>
      </c>
      <c r="J190" s="230"/>
      <c r="K190" s="221">
        <f>0.508/2.9</f>
        <v>0.17517241379310344</v>
      </c>
      <c r="L190" s="230"/>
      <c r="M190" s="227" t="s">
        <v>887</v>
      </c>
      <c r="N190" s="223">
        <v>350</v>
      </c>
      <c r="O190" s="177"/>
    </row>
    <row r="191" spans="1:15" s="215" customFormat="1" ht="35.25" customHeight="1" thickBot="1">
      <c r="A191" s="209">
        <v>40</v>
      </c>
      <c r="B191" s="221" t="s">
        <v>420</v>
      </c>
      <c r="C191" s="229" t="s">
        <v>548</v>
      </c>
      <c r="D191" s="194" t="s">
        <v>547</v>
      </c>
      <c r="E191" s="222" t="s">
        <v>845</v>
      </c>
      <c r="F191" s="221" t="s">
        <v>908</v>
      </c>
      <c r="G191" s="195" t="s">
        <v>981</v>
      </c>
      <c r="H191" s="230"/>
      <c r="I191" s="222">
        <v>70</v>
      </c>
      <c r="J191" s="230"/>
      <c r="K191" s="221">
        <f>1.314/2.9</f>
        <v>0.45310344827586208</v>
      </c>
      <c r="L191" s="230"/>
      <c r="M191" s="227" t="s">
        <v>998</v>
      </c>
      <c r="N191" s="223"/>
      <c r="O191" s="177"/>
    </row>
    <row r="192" spans="1:15" s="215" customFormat="1" ht="35.25" customHeight="1" thickBot="1">
      <c r="A192" s="209">
        <v>41</v>
      </c>
      <c r="B192" s="221" t="s">
        <v>420</v>
      </c>
      <c r="C192" s="229" t="s">
        <v>550</v>
      </c>
      <c r="D192" s="194" t="s">
        <v>549</v>
      </c>
      <c r="E192" s="222" t="s">
        <v>845</v>
      </c>
      <c r="F192" s="221" t="s">
        <v>908</v>
      </c>
      <c r="G192" s="195" t="s">
        <v>988</v>
      </c>
      <c r="H192" s="230"/>
      <c r="I192" s="222">
        <v>120</v>
      </c>
      <c r="J192" s="230"/>
      <c r="K192" s="221">
        <f>0.482/2.9</f>
        <v>0.16620689655172413</v>
      </c>
      <c r="L192" s="230"/>
      <c r="M192" s="227" t="s">
        <v>970</v>
      </c>
      <c r="N192" s="223">
        <v>350</v>
      </c>
      <c r="O192" s="177"/>
    </row>
    <row r="193" spans="1:15" s="215" customFormat="1" ht="35.25" customHeight="1" thickBot="1">
      <c r="A193" s="209">
        <v>42</v>
      </c>
      <c r="B193" s="221" t="s">
        <v>420</v>
      </c>
      <c r="C193" s="229" t="s">
        <v>552</v>
      </c>
      <c r="D193" s="194" t="s">
        <v>551</v>
      </c>
      <c r="E193" s="222" t="s">
        <v>845</v>
      </c>
      <c r="F193" s="221" t="s">
        <v>908</v>
      </c>
      <c r="G193" s="195" t="s">
        <v>991</v>
      </c>
      <c r="H193" s="230"/>
      <c r="I193" s="222">
        <v>120</v>
      </c>
      <c r="J193" s="230"/>
      <c r="K193" s="221">
        <f>0.204/2.9</f>
        <v>7.0344827586206887E-2</v>
      </c>
      <c r="L193" s="230"/>
      <c r="M193" s="227" t="s">
        <v>970</v>
      </c>
      <c r="N193" s="223">
        <v>350</v>
      </c>
      <c r="O193" s="177"/>
    </row>
    <row r="194" spans="1:15" s="215" customFormat="1" ht="35.25" customHeight="1" thickBot="1">
      <c r="A194" s="209">
        <v>43</v>
      </c>
      <c r="B194" s="221" t="s">
        <v>420</v>
      </c>
      <c r="C194" s="229" t="s">
        <v>556</v>
      </c>
      <c r="D194" s="194" t="s">
        <v>555</v>
      </c>
      <c r="E194" s="222" t="s">
        <v>845</v>
      </c>
      <c r="F194" s="221" t="s">
        <v>908</v>
      </c>
      <c r="G194" s="195" t="s">
        <v>991</v>
      </c>
      <c r="H194" s="230"/>
      <c r="I194" s="222">
        <v>120</v>
      </c>
      <c r="J194" s="230"/>
      <c r="K194" s="221">
        <f>0.336/2.9</f>
        <v>0.11586206896551725</v>
      </c>
      <c r="L194" s="230"/>
      <c r="M194" s="227" t="s">
        <v>970</v>
      </c>
      <c r="N194" s="223">
        <v>350</v>
      </c>
      <c r="O194" s="177"/>
    </row>
    <row r="195" spans="1:15" s="215" customFormat="1" ht="35.25" customHeight="1" thickBot="1">
      <c r="A195" s="209">
        <v>44</v>
      </c>
      <c r="B195" s="221" t="s">
        <v>420</v>
      </c>
      <c r="C195" s="229" t="s">
        <v>999</v>
      </c>
      <c r="D195" s="194" t="s">
        <v>557</v>
      </c>
      <c r="E195" s="222" t="s">
        <v>845</v>
      </c>
      <c r="F195" s="221" t="s">
        <v>908</v>
      </c>
      <c r="G195" s="195"/>
      <c r="H195" s="230"/>
      <c r="I195" s="222">
        <v>90</v>
      </c>
      <c r="J195" s="230"/>
      <c r="K195" s="221">
        <f>0.488/2.9</f>
        <v>0.16827586206896553</v>
      </c>
      <c r="L195" s="230"/>
      <c r="M195" s="227" t="s">
        <v>970</v>
      </c>
      <c r="N195" s="223">
        <v>350</v>
      </c>
      <c r="O195" s="177"/>
    </row>
    <row r="196" spans="1:15" s="215" customFormat="1" ht="35.25" customHeight="1" thickBot="1">
      <c r="A196" s="209">
        <v>45</v>
      </c>
      <c r="B196" s="221" t="s">
        <v>420</v>
      </c>
      <c r="C196" s="229" t="s">
        <v>561</v>
      </c>
      <c r="D196" s="194" t="s">
        <v>558</v>
      </c>
      <c r="E196" s="222" t="s">
        <v>845</v>
      </c>
      <c r="F196" s="221" t="s">
        <v>908</v>
      </c>
      <c r="G196" s="195" t="s">
        <v>988</v>
      </c>
      <c r="H196" s="230"/>
      <c r="I196" s="222">
        <v>120</v>
      </c>
      <c r="J196" s="230"/>
      <c r="K196" s="221">
        <f>0.467/2.9</f>
        <v>0.1610344827586207</v>
      </c>
      <c r="L196" s="230"/>
      <c r="M196" s="227" t="s">
        <v>970</v>
      </c>
      <c r="N196" s="223">
        <v>350</v>
      </c>
      <c r="O196" s="177"/>
    </row>
    <row r="197" spans="1:15" s="215" customFormat="1" ht="35.25" customHeight="1" thickBot="1">
      <c r="A197" s="209">
        <v>46</v>
      </c>
      <c r="B197" s="221" t="s">
        <v>420</v>
      </c>
      <c r="C197" s="229" t="s">
        <v>567</v>
      </c>
      <c r="D197" s="194" t="s">
        <v>566</v>
      </c>
      <c r="E197" s="222" t="s">
        <v>845</v>
      </c>
      <c r="F197" s="221" t="s">
        <v>846</v>
      </c>
      <c r="G197" s="195" t="s">
        <v>991</v>
      </c>
      <c r="H197" s="230"/>
      <c r="I197" s="222">
        <v>30</v>
      </c>
      <c r="J197" s="230"/>
      <c r="K197" s="221">
        <f>0.8/2.9</f>
        <v>0.27586206896551724</v>
      </c>
      <c r="L197" s="230"/>
      <c r="M197" s="227" t="s">
        <v>970</v>
      </c>
      <c r="N197" s="223"/>
      <c r="O197" s="177"/>
    </row>
    <row r="198" spans="1:15" s="215" customFormat="1" ht="35.25" customHeight="1" thickBot="1">
      <c r="A198" s="209">
        <v>47</v>
      </c>
      <c r="B198" s="221" t="s">
        <v>420</v>
      </c>
      <c r="C198" s="229" t="s">
        <v>578</v>
      </c>
      <c r="D198" s="194" t="s">
        <v>566</v>
      </c>
      <c r="E198" s="222" t="s">
        <v>845</v>
      </c>
      <c r="F198" s="221" t="s">
        <v>846</v>
      </c>
      <c r="G198" s="195" t="s">
        <v>991</v>
      </c>
      <c r="H198" s="230"/>
      <c r="I198" s="222">
        <v>90</v>
      </c>
      <c r="J198" s="230"/>
      <c r="K198" s="221">
        <f>0.8/2.9</f>
        <v>0.27586206896551724</v>
      </c>
      <c r="L198" s="230"/>
      <c r="M198" s="227" t="s">
        <v>970</v>
      </c>
      <c r="N198" s="223"/>
      <c r="O198" s="177"/>
    </row>
    <row r="199" spans="1:15" s="215" customFormat="1" ht="35.25" customHeight="1" thickBot="1">
      <c r="A199" s="209">
        <v>47</v>
      </c>
      <c r="B199" s="221" t="s">
        <v>420</v>
      </c>
      <c r="C199" s="229" t="s">
        <v>563</v>
      </c>
      <c r="D199" s="194" t="s">
        <v>562</v>
      </c>
      <c r="E199" s="222" t="s">
        <v>845</v>
      </c>
      <c r="F199" s="221" t="s">
        <v>908</v>
      </c>
      <c r="G199" s="195" t="s">
        <v>909</v>
      </c>
      <c r="H199" s="230"/>
      <c r="I199" s="222">
        <v>60</v>
      </c>
      <c r="J199" s="230"/>
      <c r="K199" s="221">
        <f>0.394/2.9</f>
        <v>0.13586206896551725</v>
      </c>
      <c r="L199" s="230"/>
      <c r="M199" s="227" t="s">
        <v>907</v>
      </c>
      <c r="N199" s="223"/>
      <c r="O199" s="177"/>
    </row>
    <row r="200" spans="1:15" s="215" customFormat="1" ht="35.25" customHeight="1" thickBot="1">
      <c r="A200" s="229">
        <v>20</v>
      </c>
      <c r="B200" s="229" t="s">
        <v>420</v>
      </c>
      <c r="C200" s="229" t="s">
        <v>461</v>
      </c>
      <c r="D200" s="229" t="s">
        <v>146</v>
      </c>
      <c r="E200" s="229" t="s">
        <v>845</v>
      </c>
      <c r="F200" s="229" t="s">
        <v>856</v>
      </c>
      <c r="G200" s="229">
        <v>21</v>
      </c>
      <c r="H200" s="229">
        <v>6.5000000000000002E-2</v>
      </c>
      <c r="I200" s="229">
        <v>90</v>
      </c>
      <c r="J200" s="229">
        <f>3.3/2.2</f>
        <v>1.4999999999999998</v>
      </c>
      <c r="K200" s="229">
        <f>0.328/2.2</f>
        <v>0.14909090909090908</v>
      </c>
      <c r="L200" s="229"/>
      <c r="M200" s="227"/>
      <c r="N200" s="223"/>
      <c r="O200" s="177"/>
    </row>
    <row r="201" spans="1:15" s="215" customFormat="1" ht="35.25" customHeight="1" thickBot="1">
      <c r="A201" s="229">
        <v>22</v>
      </c>
      <c r="B201" s="229" t="s">
        <v>420</v>
      </c>
      <c r="C201" s="229" t="s">
        <v>565</v>
      </c>
      <c r="D201" s="229" t="s">
        <v>564</v>
      </c>
      <c r="E201" s="229" t="s">
        <v>845</v>
      </c>
      <c r="F201" s="229" t="s">
        <v>956</v>
      </c>
      <c r="G201" s="229" t="s">
        <v>988</v>
      </c>
      <c r="H201" s="230"/>
      <c r="I201" s="229">
        <v>90</v>
      </c>
      <c r="J201" s="230"/>
      <c r="K201" s="231">
        <f>0.217/2.9</f>
        <v>7.4827586206896557E-2</v>
      </c>
      <c r="L201" s="230"/>
      <c r="M201" s="227" t="s">
        <v>970</v>
      </c>
      <c r="N201" s="223">
        <v>350</v>
      </c>
      <c r="O201" s="177"/>
    </row>
    <row r="202" spans="1:15" s="215" customFormat="1" ht="35.25" customHeight="1" thickBot="1">
      <c r="A202" s="229">
        <v>23</v>
      </c>
      <c r="B202" s="229" t="s">
        <v>420</v>
      </c>
      <c r="C202" s="229" t="s">
        <v>572</v>
      </c>
      <c r="D202" s="229" t="s">
        <v>569</v>
      </c>
      <c r="E202" s="229" t="s">
        <v>845</v>
      </c>
      <c r="F202" s="229" t="s">
        <v>856</v>
      </c>
      <c r="G202" s="229" t="s">
        <v>1000</v>
      </c>
      <c r="H202" s="230"/>
      <c r="I202" s="229" t="s">
        <v>1001</v>
      </c>
      <c r="J202" s="230"/>
      <c r="K202" s="231">
        <f>0.65/2.9</f>
        <v>0.22413793103448276</v>
      </c>
      <c r="L202" s="230"/>
      <c r="M202" s="227"/>
      <c r="N202" s="223"/>
      <c r="O202" s="177"/>
    </row>
    <row r="203" spans="1:15" s="215" customFormat="1" ht="35.25" customHeight="1" thickBot="1">
      <c r="A203" s="229">
        <v>24</v>
      </c>
      <c r="B203" s="229" t="s">
        <v>420</v>
      </c>
      <c r="C203" s="229" t="s">
        <v>571</v>
      </c>
      <c r="D203" s="229" t="s">
        <v>570</v>
      </c>
      <c r="E203" s="229" t="s">
        <v>845</v>
      </c>
      <c r="F203" s="229" t="s">
        <v>846</v>
      </c>
      <c r="G203" s="229" t="s">
        <v>1002</v>
      </c>
      <c r="H203" s="230"/>
      <c r="I203" s="229" t="s">
        <v>1000</v>
      </c>
      <c r="J203" s="230"/>
      <c r="K203" s="231">
        <f>3.8/2.9</f>
        <v>1.3103448275862069</v>
      </c>
      <c r="L203" s="230"/>
      <c r="M203" s="227" t="s">
        <v>970</v>
      </c>
      <c r="N203" s="223"/>
      <c r="O203" s="177"/>
    </row>
    <row r="204" spans="1:15" s="215" customFormat="1" ht="35.25" customHeight="1" thickBot="1">
      <c r="A204" s="229">
        <v>25</v>
      </c>
      <c r="B204" s="229" t="s">
        <v>420</v>
      </c>
      <c r="C204" s="229" t="s">
        <v>574</v>
      </c>
      <c r="D204" s="229" t="s">
        <v>573</v>
      </c>
      <c r="E204" s="229" t="s">
        <v>845</v>
      </c>
      <c r="F204" s="229" t="s">
        <v>956</v>
      </c>
      <c r="G204" s="229" t="s">
        <v>988</v>
      </c>
      <c r="H204" s="230"/>
      <c r="I204" s="229" t="s">
        <v>1003</v>
      </c>
      <c r="J204" s="230"/>
      <c r="K204" s="231">
        <f>0.687/2.9</f>
        <v>0.23689655172413795</v>
      </c>
      <c r="L204" s="230"/>
      <c r="M204" s="227" t="s">
        <v>970</v>
      </c>
      <c r="N204" s="223">
        <v>350</v>
      </c>
      <c r="O204" s="177"/>
    </row>
    <row r="205" spans="1:15" s="215" customFormat="1" ht="35.25" customHeight="1" thickBot="1">
      <c r="A205" s="229">
        <v>26</v>
      </c>
      <c r="B205" s="229" t="s">
        <v>420</v>
      </c>
      <c r="C205" s="229" t="s">
        <v>1004</v>
      </c>
      <c r="D205" s="229" t="s">
        <v>575</v>
      </c>
      <c r="E205" s="229" t="s">
        <v>845</v>
      </c>
      <c r="F205" s="229" t="s">
        <v>846</v>
      </c>
      <c r="G205" s="229" t="s">
        <v>977</v>
      </c>
      <c r="H205" s="230"/>
      <c r="I205" s="229" t="s">
        <v>1001</v>
      </c>
      <c r="J205" s="230"/>
      <c r="K205" s="231">
        <f>0.46/2.9</f>
        <v>0.15862068965517243</v>
      </c>
      <c r="L205" s="230"/>
      <c r="M205" s="227"/>
      <c r="N205" s="223"/>
      <c r="O205" s="177"/>
    </row>
    <row r="206" spans="1:15" s="215" customFormat="1" ht="35.25" customHeight="1" thickBot="1">
      <c r="A206" s="229">
        <v>27</v>
      </c>
      <c r="B206" s="229" t="s">
        <v>420</v>
      </c>
      <c r="C206" s="229" t="s">
        <v>582</v>
      </c>
      <c r="D206" s="229" t="s">
        <v>579</v>
      </c>
      <c r="E206" s="229" t="s">
        <v>845</v>
      </c>
      <c r="F206" s="229" t="s">
        <v>911</v>
      </c>
      <c r="G206" s="229" t="s">
        <v>1005</v>
      </c>
      <c r="H206" s="230"/>
      <c r="I206" s="229" t="s">
        <v>1003</v>
      </c>
      <c r="J206" s="230"/>
      <c r="K206" s="231">
        <f>0.23/2.9</f>
        <v>7.9310344827586213E-2</v>
      </c>
      <c r="L206" s="230"/>
      <c r="M206" s="227"/>
      <c r="N206" s="223"/>
      <c r="O206" s="177"/>
    </row>
    <row r="207" spans="1:15" s="215" customFormat="1" ht="35.25" customHeight="1" thickBot="1">
      <c r="A207" s="229">
        <v>28</v>
      </c>
      <c r="B207" s="229" t="s">
        <v>420</v>
      </c>
      <c r="C207" s="229" t="s">
        <v>581</v>
      </c>
      <c r="D207" s="229" t="s">
        <v>580</v>
      </c>
      <c r="E207" s="229" t="s">
        <v>845</v>
      </c>
      <c r="F207" s="229" t="s">
        <v>956</v>
      </c>
      <c r="G207" s="229" t="s">
        <v>1006</v>
      </c>
      <c r="H207" s="230"/>
      <c r="I207" s="229" t="s">
        <v>1003</v>
      </c>
      <c r="J207" s="230"/>
      <c r="K207" s="231">
        <f>0.239/2.9</f>
        <v>8.2413793103448277E-2</v>
      </c>
      <c r="L207" s="230"/>
      <c r="M207" s="227" t="s">
        <v>970</v>
      </c>
      <c r="N207" s="223">
        <v>350</v>
      </c>
      <c r="O207" s="177"/>
    </row>
    <row r="208" spans="1:15" s="215" customFormat="1" ht="35.25" customHeight="1" thickBot="1">
      <c r="A208" s="229">
        <v>29</v>
      </c>
      <c r="B208" s="229" t="s">
        <v>420</v>
      </c>
      <c r="C208" s="229" t="s">
        <v>584</v>
      </c>
      <c r="D208" s="229" t="s">
        <v>583</v>
      </c>
      <c r="E208" s="229" t="s">
        <v>845</v>
      </c>
      <c r="F208" s="229" t="s">
        <v>956</v>
      </c>
      <c r="G208" s="229" t="s">
        <v>1007</v>
      </c>
      <c r="H208" s="230"/>
      <c r="I208" s="229" t="s">
        <v>1003</v>
      </c>
      <c r="J208" s="230"/>
      <c r="K208" s="231">
        <f>0.296/2.9</f>
        <v>0.10206896551724137</v>
      </c>
      <c r="L208" s="230"/>
      <c r="M208" s="227"/>
      <c r="N208" s="223"/>
      <c r="O208" s="177"/>
    </row>
    <row r="209" spans="1:21" s="215" customFormat="1" ht="35.25" customHeight="1" thickBot="1">
      <c r="A209" s="229">
        <v>30</v>
      </c>
      <c r="B209" s="229" t="s">
        <v>420</v>
      </c>
      <c r="C209" s="229" t="s">
        <v>586</v>
      </c>
      <c r="D209" s="229" t="s">
        <v>585</v>
      </c>
      <c r="E209" s="229" t="s">
        <v>1008</v>
      </c>
      <c r="F209" s="232" t="s">
        <v>964</v>
      </c>
      <c r="G209" s="229" t="s">
        <v>988</v>
      </c>
      <c r="H209" s="230"/>
      <c r="I209" s="229" t="s">
        <v>1001</v>
      </c>
      <c r="J209" s="230"/>
      <c r="K209" s="231"/>
      <c r="L209" s="230"/>
      <c r="M209" s="227"/>
      <c r="N209" s="223"/>
      <c r="O209" s="177"/>
    </row>
    <row r="210" spans="1:21" s="215" customFormat="1" ht="35.25" customHeight="1" thickBot="1">
      <c r="A210" s="229">
        <v>31</v>
      </c>
      <c r="B210" s="229" t="s">
        <v>420</v>
      </c>
      <c r="C210" s="229" t="s">
        <v>590</v>
      </c>
      <c r="D210" s="229" t="s">
        <v>589</v>
      </c>
      <c r="E210" s="229" t="s">
        <v>845</v>
      </c>
      <c r="F210" s="232" t="s">
        <v>911</v>
      </c>
      <c r="G210" s="229" t="s">
        <v>1009</v>
      </c>
      <c r="H210" s="230"/>
      <c r="I210" s="229" t="s">
        <v>1010</v>
      </c>
      <c r="J210" s="230"/>
      <c r="K210" s="231"/>
      <c r="L210" s="230"/>
      <c r="M210" s="227" t="s">
        <v>970</v>
      </c>
      <c r="N210" s="223" t="s">
        <v>1011</v>
      </c>
      <c r="O210" s="177">
        <v>120</v>
      </c>
      <c r="P210" s="215" t="s">
        <v>1012</v>
      </c>
      <c r="Q210" s="215">
        <v>50</v>
      </c>
      <c r="R210" s="215" t="s">
        <v>1013</v>
      </c>
      <c r="S210" s="215">
        <v>300</v>
      </c>
      <c r="T210" s="215" t="s">
        <v>1014</v>
      </c>
      <c r="U210" s="215">
        <v>250</v>
      </c>
    </row>
    <row r="211" spans="1:21" s="215" customFormat="1" ht="35.25" customHeight="1" thickBot="1">
      <c r="A211" s="229">
        <v>32</v>
      </c>
      <c r="B211" s="229" t="s">
        <v>420</v>
      </c>
      <c r="C211" s="229" t="s">
        <v>592</v>
      </c>
      <c r="D211" s="229" t="s">
        <v>591</v>
      </c>
      <c r="E211" s="229" t="s">
        <v>845</v>
      </c>
      <c r="F211" s="232" t="s">
        <v>956</v>
      </c>
      <c r="G211" s="229" t="s">
        <v>974</v>
      </c>
      <c r="H211" s="230"/>
      <c r="I211" s="229" t="s">
        <v>1003</v>
      </c>
      <c r="J211" s="230"/>
      <c r="K211" s="231">
        <f>0.52/2.9</f>
        <v>0.17931034482758623</v>
      </c>
      <c r="L211" s="230"/>
      <c r="M211" s="227" t="s">
        <v>970</v>
      </c>
      <c r="N211" s="223">
        <v>350</v>
      </c>
      <c r="O211" s="177"/>
    </row>
    <row r="212" spans="1:21" s="215" customFormat="1" ht="35.25" customHeight="1" thickBot="1">
      <c r="A212" s="229">
        <v>33</v>
      </c>
      <c r="B212" s="229" t="s">
        <v>420</v>
      </c>
      <c r="C212" s="229" t="s">
        <v>404</v>
      </c>
      <c r="D212" s="229" t="s">
        <v>593</v>
      </c>
      <c r="E212" s="229" t="s">
        <v>845</v>
      </c>
      <c r="F212" s="232" t="s">
        <v>956</v>
      </c>
      <c r="G212" s="229" t="s">
        <v>974</v>
      </c>
      <c r="H212" s="230"/>
      <c r="I212" s="229" t="s">
        <v>1003</v>
      </c>
      <c r="J212" s="230"/>
      <c r="K212" s="231">
        <f>0.349/2.9</f>
        <v>0.12034482758620689</v>
      </c>
      <c r="L212" s="230"/>
      <c r="M212" s="227" t="s">
        <v>970</v>
      </c>
      <c r="N212" s="223">
        <v>350</v>
      </c>
      <c r="O212" s="177"/>
    </row>
    <row r="213" spans="1:21" s="215" customFormat="1" ht="35.25" customHeight="1" thickBot="1">
      <c r="A213" s="229">
        <v>34</v>
      </c>
      <c r="B213" s="229" t="s">
        <v>420</v>
      </c>
      <c r="C213" s="229" t="s">
        <v>595</v>
      </c>
      <c r="D213" s="229" t="s">
        <v>594</v>
      </c>
      <c r="E213" s="229" t="s">
        <v>1008</v>
      </c>
      <c r="F213" s="232" t="s">
        <v>964</v>
      </c>
      <c r="G213" s="229" t="s">
        <v>988</v>
      </c>
      <c r="H213" s="230"/>
      <c r="I213" s="229" t="s">
        <v>1015</v>
      </c>
      <c r="J213" s="230"/>
      <c r="K213" s="231"/>
      <c r="L213" s="230"/>
      <c r="M213" s="227" t="s">
        <v>970</v>
      </c>
      <c r="N213" s="223">
        <v>350</v>
      </c>
      <c r="O213" s="177"/>
    </row>
    <row r="214" spans="1:21" s="215" customFormat="1" ht="35.25" customHeight="1" thickBot="1">
      <c r="A214" s="229">
        <v>35</v>
      </c>
      <c r="B214" s="229" t="s">
        <v>420</v>
      </c>
      <c r="C214" s="229" t="s">
        <v>597</v>
      </c>
      <c r="D214" s="229" t="s">
        <v>596</v>
      </c>
      <c r="E214" s="229" t="s">
        <v>845</v>
      </c>
      <c r="F214" s="232" t="s">
        <v>956</v>
      </c>
      <c r="G214" s="229" t="s">
        <v>988</v>
      </c>
      <c r="H214" s="230"/>
      <c r="I214" s="229" t="s">
        <v>1003</v>
      </c>
      <c r="J214" s="230"/>
      <c r="K214" s="231">
        <f>0.685/2.9</f>
        <v>0.23620689655172417</v>
      </c>
      <c r="L214" s="230"/>
      <c r="M214" s="227" t="s">
        <v>887</v>
      </c>
      <c r="N214" s="223">
        <v>350</v>
      </c>
      <c r="O214" s="177"/>
    </row>
    <row r="215" spans="1:21" s="215" customFormat="1" ht="35.25" customHeight="1" thickBot="1">
      <c r="A215" s="229">
        <v>36</v>
      </c>
      <c r="B215" s="229" t="s">
        <v>420</v>
      </c>
      <c r="C215" s="229" t="s">
        <v>599</v>
      </c>
      <c r="D215" s="229" t="s">
        <v>598</v>
      </c>
      <c r="E215" s="229" t="s">
        <v>845</v>
      </c>
      <c r="F215" s="232" t="s">
        <v>956</v>
      </c>
      <c r="G215" s="229" t="s">
        <v>988</v>
      </c>
      <c r="H215" s="230"/>
      <c r="I215" s="229" t="s">
        <v>1003</v>
      </c>
      <c r="J215" s="230"/>
      <c r="K215" s="231">
        <f>0.898/2.9</f>
        <v>0.30965517241379314</v>
      </c>
      <c r="L215" s="230"/>
      <c r="M215" s="227" t="s">
        <v>970</v>
      </c>
      <c r="N215" s="223">
        <v>350</v>
      </c>
      <c r="O215" s="177"/>
    </row>
    <row r="216" spans="1:21" s="215" customFormat="1" ht="35.25" customHeight="1" thickBot="1">
      <c r="A216" s="229">
        <v>37</v>
      </c>
      <c r="B216" s="229" t="s">
        <v>420</v>
      </c>
      <c r="C216" s="229" t="s">
        <v>601</v>
      </c>
      <c r="D216" s="229" t="s">
        <v>600</v>
      </c>
      <c r="E216" s="229" t="s">
        <v>845</v>
      </c>
      <c r="F216" s="232" t="s">
        <v>956</v>
      </c>
      <c r="G216" s="229" t="s">
        <v>988</v>
      </c>
      <c r="H216" s="230"/>
      <c r="I216" s="229" t="s">
        <v>1003</v>
      </c>
      <c r="J216" s="230"/>
      <c r="K216" s="231">
        <f>0.801/2.9</f>
        <v>0.27620689655172415</v>
      </c>
      <c r="L216" s="230"/>
      <c r="M216" s="227" t="s">
        <v>970</v>
      </c>
      <c r="N216" s="223">
        <v>350</v>
      </c>
      <c r="O216" s="177"/>
    </row>
    <row r="217" spans="1:21" s="215" customFormat="1" ht="35.25" customHeight="1" thickBot="1">
      <c r="A217" s="229">
        <v>38</v>
      </c>
      <c r="B217" s="229" t="s">
        <v>420</v>
      </c>
      <c r="C217" s="229" t="s">
        <v>603</v>
      </c>
      <c r="D217" s="229" t="s">
        <v>602</v>
      </c>
      <c r="E217" s="229" t="s">
        <v>845</v>
      </c>
      <c r="F217" s="232" t="s">
        <v>956</v>
      </c>
      <c r="G217" s="229" t="s">
        <v>1016</v>
      </c>
      <c r="H217" s="230"/>
      <c r="I217" s="229" t="s">
        <v>1003</v>
      </c>
      <c r="J217" s="230"/>
      <c r="K217" s="231">
        <f>0.254/2.9</f>
        <v>8.7586206896551722E-2</v>
      </c>
      <c r="L217" s="230"/>
      <c r="M217" s="227" t="s">
        <v>970</v>
      </c>
      <c r="N217" s="223">
        <v>350</v>
      </c>
      <c r="O217" s="177"/>
    </row>
    <row r="218" spans="1:21" s="215" customFormat="1" ht="35.25" customHeight="1" thickBot="1">
      <c r="A218" s="229">
        <v>39</v>
      </c>
      <c r="B218" s="229" t="s">
        <v>420</v>
      </c>
      <c r="C218" s="229" t="s">
        <v>605</v>
      </c>
      <c r="D218" s="229" t="s">
        <v>604</v>
      </c>
      <c r="E218" s="229" t="s">
        <v>845</v>
      </c>
      <c r="F218" s="232" t="s">
        <v>956</v>
      </c>
      <c r="G218" s="229" t="s">
        <v>1016</v>
      </c>
      <c r="H218" s="230"/>
      <c r="I218" s="229" t="s">
        <v>1003</v>
      </c>
      <c r="J218" s="230"/>
      <c r="K218" s="231">
        <f>0.243/2.9</f>
        <v>8.3793103448275869E-2</v>
      </c>
      <c r="L218" s="230"/>
      <c r="M218" s="227" t="s">
        <v>970</v>
      </c>
      <c r="N218" s="223">
        <v>350</v>
      </c>
      <c r="O218" s="177"/>
    </row>
    <row r="219" spans="1:21" s="215" customFormat="1" ht="35.25" customHeight="1" thickBot="1">
      <c r="A219" s="229">
        <v>40</v>
      </c>
      <c r="B219" s="229" t="s">
        <v>420</v>
      </c>
      <c r="C219" s="229" t="s">
        <v>607</v>
      </c>
      <c r="D219" s="229" t="s">
        <v>606</v>
      </c>
      <c r="E219" s="229"/>
      <c r="F219" s="232"/>
      <c r="G219" s="229"/>
      <c r="H219" s="230"/>
      <c r="I219" s="229" t="s">
        <v>1017</v>
      </c>
      <c r="J219" s="230"/>
      <c r="K219" s="231"/>
      <c r="L219" s="230"/>
      <c r="M219" s="227"/>
      <c r="N219" s="223"/>
      <c r="O219" s="177"/>
    </row>
    <row r="220" spans="1:21" s="215" customFormat="1" ht="35.25" customHeight="1" thickBot="1">
      <c r="A220" s="229">
        <v>41</v>
      </c>
      <c r="B220" s="229" t="s">
        <v>420</v>
      </c>
      <c r="C220" s="229" t="s">
        <v>609</v>
      </c>
      <c r="D220" s="229" t="s">
        <v>608</v>
      </c>
      <c r="E220" s="229"/>
      <c r="F220" s="232"/>
      <c r="G220" s="229"/>
      <c r="H220" s="230"/>
      <c r="I220" s="229" t="s">
        <v>1017</v>
      </c>
      <c r="J220" s="230"/>
      <c r="K220" s="231"/>
      <c r="L220" s="230"/>
      <c r="M220" s="227"/>
      <c r="N220" s="223"/>
      <c r="O220" s="177"/>
    </row>
    <row r="221" spans="1:21" s="215" customFormat="1" ht="35.25" customHeight="1" thickBot="1">
      <c r="A221" s="229">
        <v>42</v>
      </c>
      <c r="B221" s="229" t="s">
        <v>420</v>
      </c>
      <c r="C221" s="229" t="s">
        <v>611</v>
      </c>
      <c r="D221" s="229" t="s">
        <v>610</v>
      </c>
      <c r="E221" s="229" t="s">
        <v>1018</v>
      </c>
      <c r="F221" s="232" t="s">
        <v>908</v>
      </c>
      <c r="G221" s="229" t="s">
        <v>1019</v>
      </c>
      <c r="H221" s="230"/>
      <c r="I221" s="229" t="s">
        <v>1003</v>
      </c>
      <c r="J221" s="230"/>
      <c r="K221" s="231">
        <f>0.233/2.9</f>
        <v>8.034482758620691E-2</v>
      </c>
      <c r="L221" s="230"/>
      <c r="M221" s="227" t="s">
        <v>970</v>
      </c>
      <c r="N221" s="223">
        <v>350</v>
      </c>
      <c r="O221" s="177"/>
    </row>
    <row r="222" spans="1:21" s="215" customFormat="1" ht="35.25" customHeight="1" thickBot="1">
      <c r="A222" s="229">
        <v>43</v>
      </c>
      <c r="B222" s="229" t="s">
        <v>420</v>
      </c>
      <c r="C222" s="229" t="s">
        <v>331</v>
      </c>
      <c r="D222" s="229" t="s">
        <v>330</v>
      </c>
      <c r="E222" s="229" t="s">
        <v>845</v>
      </c>
      <c r="F222" s="232" t="s">
        <v>846</v>
      </c>
      <c r="G222" s="229" t="s">
        <v>972</v>
      </c>
      <c r="H222" s="230"/>
      <c r="I222" s="229" t="s">
        <v>1020</v>
      </c>
      <c r="J222" s="230"/>
      <c r="K222" s="231">
        <f>3.49/2.9</f>
        <v>1.203448275862069</v>
      </c>
      <c r="L222" s="230"/>
      <c r="M222" s="227" t="s">
        <v>907</v>
      </c>
      <c r="N222" s="223"/>
      <c r="O222" s="177"/>
    </row>
    <row r="223" spans="1:21" s="215" customFormat="1" ht="35.25" customHeight="1" thickBot="1">
      <c r="A223" s="229">
        <v>44</v>
      </c>
      <c r="B223" s="229" t="s">
        <v>420</v>
      </c>
      <c r="C223" s="229" t="s">
        <v>431</v>
      </c>
      <c r="D223" s="229" t="s">
        <v>612</v>
      </c>
      <c r="E223" s="229" t="s">
        <v>845</v>
      </c>
      <c r="F223" s="232" t="s">
        <v>908</v>
      </c>
      <c r="G223" s="229" t="s">
        <v>1016</v>
      </c>
      <c r="H223" s="230"/>
      <c r="I223" s="229" t="s">
        <v>1003</v>
      </c>
      <c r="J223" s="230"/>
      <c r="K223" s="231">
        <f>0.225/2.9</f>
        <v>7.7586206896551727E-2</v>
      </c>
      <c r="L223" s="230"/>
      <c r="M223" s="227" t="s">
        <v>970</v>
      </c>
      <c r="N223" s="223">
        <v>350</v>
      </c>
      <c r="O223" s="177"/>
    </row>
    <row r="224" spans="1:21" s="215" customFormat="1" ht="35.25" customHeight="1" thickBot="1">
      <c r="A224" s="229">
        <v>45</v>
      </c>
      <c r="B224" s="229" t="s">
        <v>420</v>
      </c>
      <c r="C224" s="229" t="s">
        <v>614</v>
      </c>
      <c r="D224" s="229" t="s">
        <v>613</v>
      </c>
      <c r="E224" s="229"/>
      <c r="F224" s="232"/>
      <c r="G224" s="229"/>
      <c r="H224" s="230"/>
      <c r="I224" s="229" t="s">
        <v>1017</v>
      </c>
      <c r="J224" s="230"/>
      <c r="K224" s="231"/>
      <c r="L224" s="230"/>
      <c r="M224" s="227"/>
      <c r="N224" s="223"/>
      <c r="O224" s="177"/>
    </row>
    <row r="225" spans="1:15" s="215" customFormat="1" ht="35.25" customHeight="1" thickBot="1">
      <c r="A225" s="229">
        <v>46</v>
      </c>
      <c r="B225" s="229" t="s">
        <v>420</v>
      </c>
      <c r="C225" s="229" t="s">
        <v>1021</v>
      </c>
      <c r="D225" s="229" t="s">
        <v>615</v>
      </c>
      <c r="E225" s="229" t="s">
        <v>845</v>
      </c>
      <c r="F225" s="232" t="s">
        <v>846</v>
      </c>
      <c r="G225" s="229" t="s">
        <v>1022</v>
      </c>
      <c r="H225" s="230"/>
      <c r="I225" s="229" t="s">
        <v>1001</v>
      </c>
      <c r="J225" s="233">
        <v>3.42</v>
      </c>
      <c r="K225" s="231">
        <f>0.698/2.9</f>
        <v>0.24068965517241378</v>
      </c>
      <c r="L225" s="230"/>
      <c r="M225" s="227"/>
      <c r="N225" s="223"/>
      <c r="O225" s="177"/>
    </row>
    <row r="226" spans="1:15" s="215" customFormat="1" ht="35.25" customHeight="1" thickBot="1">
      <c r="A226" s="229">
        <v>47</v>
      </c>
      <c r="B226" s="229" t="s">
        <v>420</v>
      </c>
      <c r="C226" s="229" t="s">
        <v>617</v>
      </c>
      <c r="D226" s="229" t="s">
        <v>616</v>
      </c>
      <c r="E226" s="229" t="s">
        <v>1018</v>
      </c>
      <c r="F226" s="232" t="s">
        <v>908</v>
      </c>
      <c r="G226" s="229" t="s">
        <v>1019</v>
      </c>
      <c r="H226" s="230"/>
      <c r="I226" s="229" t="s">
        <v>1003</v>
      </c>
      <c r="J226" s="230"/>
      <c r="K226" s="231">
        <f>0.221/2.9</f>
        <v>7.6206896551724135E-2</v>
      </c>
      <c r="L226" s="230"/>
      <c r="M226" s="227" t="s">
        <v>970</v>
      </c>
      <c r="N226" s="223">
        <v>350</v>
      </c>
      <c r="O226" s="177"/>
    </row>
    <row r="227" spans="1:15" s="215" customFormat="1" ht="35.25" customHeight="1">
      <c r="A227" s="234">
        <v>48</v>
      </c>
      <c r="B227" s="234" t="s">
        <v>420</v>
      </c>
      <c r="C227" s="234" t="s">
        <v>619</v>
      </c>
      <c r="D227" s="234" t="s">
        <v>618</v>
      </c>
      <c r="E227" s="234" t="s">
        <v>845</v>
      </c>
      <c r="F227" s="235" t="s">
        <v>856</v>
      </c>
      <c r="G227" s="234" t="s">
        <v>1023</v>
      </c>
      <c r="H227" s="236"/>
      <c r="I227" s="234" t="s">
        <v>1001</v>
      </c>
      <c r="J227" s="236"/>
      <c r="K227" s="237"/>
      <c r="L227" s="236"/>
      <c r="M227" s="238"/>
      <c r="N227" s="239"/>
      <c r="O227" s="177"/>
    </row>
    <row r="228" spans="1:15" s="215" customFormat="1" ht="35.25" customHeight="1" thickBot="1">
      <c r="A228" s="225">
        <v>185</v>
      </c>
      <c r="B228" s="225" t="s">
        <v>420</v>
      </c>
      <c r="C228" s="240">
        <v>551275</v>
      </c>
      <c r="D228" s="225" t="s">
        <v>622</v>
      </c>
      <c r="E228" s="241" t="s">
        <v>845</v>
      </c>
      <c r="F228" s="225" t="s">
        <v>856</v>
      </c>
      <c r="G228" s="225">
        <v>27</v>
      </c>
      <c r="H228" s="242"/>
      <c r="I228" s="233">
        <v>70</v>
      </c>
      <c r="J228" s="233">
        <v>3.6</v>
      </c>
      <c r="K228" s="225">
        <v>0.69799999999999995</v>
      </c>
      <c r="L228" s="242"/>
      <c r="M228" s="225" t="s">
        <v>887</v>
      </c>
      <c r="N228" s="225">
        <v>350</v>
      </c>
      <c r="O228" s="177"/>
    </row>
    <row r="229" spans="1:15" s="215" customFormat="1" ht="35.25" customHeight="1">
      <c r="A229" s="225">
        <v>186</v>
      </c>
      <c r="B229" s="225" t="s">
        <v>420</v>
      </c>
      <c r="C229" s="243" t="s">
        <v>626</v>
      </c>
      <c r="D229" s="244" t="s">
        <v>625</v>
      </c>
      <c r="E229" s="245" t="s">
        <v>845</v>
      </c>
      <c r="F229" s="244" t="s">
        <v>856</v>
      </c>
      <c r="G229" s="244">
        <v>24</v>
      </c>
      <c r="H229" s="246"/>
      <c r="I229" s="247">
        <v>90</v>
      </c>
      <c r="J229" s="247"/>
      <c r="K229" s="244"/>
      <c r="L229" s="246"/>
      <c r="M229" s="248" t="s">
        <v>970</v>
      </c>
      <c r="N229" s="225"/>
      <c r="O229" s="177"/>
    </row>
    <row r="230" spans="1:15" s="215" customFormat="1" ht="35.25" customHeight="1">
      <c r="A230" s="225">
        <v>187</v>
      </c>
      <c r="B230" s="225" t="s">
        <v>420</v>
      </c>
      <c r="C230" s="243" t="s">
        <v>628</v>
      </c>
      <c r="D230" s="244" t="s">
        <v>627</v>
      </c>
      <c r="E230" s="245" t="s">
        <v>845</v>
      </c>
      <c r="F230" s="244" t="s">
        <v>856</v>
      </c>
      <c r="G230" s="244">
        <v>19</v>
      </c>
      <c r="H230" s="246"/>
      <c r="I230" s="247">
        <v>30</v>
      </c>
      <c r="J230" s="247"/>
      <c r="K230" s="244"/>
      <c r="L230" s="246"/>
      <c r="M230" s="248" t="s">
        <v>970</v>
      </c>
      <c r="N230" s="225"/>
      <c r="O230" s="177"/>
    </row>
    <row r="231" spans="1:15" s="215" customFormat="1" ht="35.25" customHeight="1">
      <c r="A231" s="225">
        <v>188</v>
      </c>
      <c r="B231" s="225" t="s">
        <v>420</v>
      </c>
      <c r="C231" s="240" t="s">
        <v>631</v>
      </c>
      <c r="D231" s="225" t="s">
        <v>632</v>
      </c>
      <c r="E231" s="249" t="s">
        <v>845</v>
      </c>
      <c r="F231" s="225" t="s">
        <v>856</v>
      </c>
      <c r="G231" s="225">
        <v>19</v>
      </c>
      <c r="H231" s="242"/>
      <c r="I231" s="233">
        <v>40</v>
      </c>
      <c r="J231" s="233"/>
      <c r="K231" s="225"/>
      <c r="L231" s="242"/>
      <c r="M231" s="225"/>
      <c r="N231" s="225"/>
      <c r="O231" s="177"/>
    </row>
    <row r="232" spans="1:15" s="215" customFormat="1" ht="35.25" customHeight="1">
      <c r="A232" s="225">
        <v>189</v>
      </c>
      <c r="B232" s="225" t="s">
        <v>420</v>
      </c>
      <c r="C232" s="240" t="s">
        <v>634</v>
      </c>
      <c r="D232" s="225" t="s">
        <v>633</v>
      </c>
      <c r="E232" s="249"/>
      <c r="F232" s="225" t="s">
        <v>908</v>
      </c>
      <c r="G232" s="225"/>
      <c r="H232" s="242"/>
      <c r="I232" s="233">
        <v>120</v>
      </c>
      <c r="J232" s="233"/>
      <c r="K232" s="225">
        <f>0.18/2.9</f>
        <v>6.2068965517241378E-2</v>
      </c>
      <c r="L232" s="242"/>
      <c r="M232" s="225" t="s">
        <v>970</v>
      </c>
      <c r="N232" s="225">
        <v>350</v>
      </c>
      <c r="O232" s="177"/>
    </row>
    <row r="233" spans="1:15" s="215" customFormat="1" ht="35.25" customHeight="1">
      <c r="A233" s="225">
        <v>190</v>
      </c>
      <c r="B233" s="225" t="s">
        <v>420</v>
      </c>
      <c r="C233" s="240" t="s">
        <v>91</v>
      </c>
      <c r="D233" s="225" t="s">
        <v>635</v>
      </c>
      <c r="E233" s="249" t="s">
        <v>845</v>
      </c>
      <c r="F233" s="225" t="s">
        <v>856</v>
      </c>
      <c r="G233" s="225">
        <v>19</v>
      </c>
      <c r="H233" s="242"/>
      <c r="I233" s="233">
        <v>45</v>
      </c>
      <c r="J233" s="233"/>
      <c r="K233" s="225"/>
      <c r="L233" s="242"/>
      <c r="M233" s="225"/>
      <c r="N233" s="225"/>
      <c r="O233" s="177"/>
    </row>
    <row r="234" spans="1:15" s="215" customFormat="1" ht="35.25" customHeight="1">
      <c r="A234" s="225">
        <v>191</v>
      </c>
      <c r="B234" s="225" t="s">
        <v>420</v>
      </c>
      <c r="C234" s="240" t="s">
        <v>637</v>
      </c>
      <c r="D234" s="225" t="s">
        <v>636</v>
      </c>
      <c r="E234" s="249" t="s">
        <v>845</v>
      </c>
      <c r="F234" s="225" t="s">
        <v>846</v>
      </c>
      <c r="G234" s="225">
        <v>24</v>
      </c>
      <c r="H234" s="242"/>
      <c r="I234" s="233">
        <v>90</v>
      </c>
      <c r="J234" s="242"/>
      <c r="K234" s="225">
        <f>1.1/2.9</f>
        <v>0.37931034482758624</v>
      </c>
      <c r="L234" s="242"/>
      <c r="M234" s="225" t="s">
        <v>970</v>
      </c>
      <c r="N234" s="225">
        <v>350</v>
      </c>
      <c r="O234" s="177"/>
    </row>
    <row r="235" spans="1:15" s="215" customFormat="1" ht="35.25" customHeight="1">
      <c r="A235" s="225">
        <v>192</v>
      </c>
      <c r="B235" s="225" t="s">
        <v>420</v>
      </c>
      <c r="C235" s="240" t="s">
        <v>642</v>
      </c>
      <c r="D235" s="225" t="s">
        <v>641</v>
      </c>
      <c r="E235" s="249" t="s">
        <v>1018</v>
      </c>
      <c r="F235" s="225" t="s">
        <v>908</v>
      </c>
      <c r="G235" s="225" t="s">
        <v>1024</v>
      </c>
      <c r="H235" s="242"/>
      <c r="I235" s="233">
        <v>120</v>
      </c>
      <c r="J235" s="242"/>
      <c r="K235" s="225">
        <f>0.643/2.9</f>
        <v>0.22172413793103449</v>
      </c>
      <c r="L235" s="242"/>
      <c r="M235" s="225" t="s">
        <v>970</v>
      </c>
      <c r="N235" s="225">
        <v>350</v>
      </c>
      <c r="O235" s="177"/>
    </row>
    <row r="236" spans="1:15" s="215" customFormat="1" ht="35.25" customHeight="1">
      <c r="A236" s="225">
        <v>193</v>
      </c>
      <c r="B236" s="225" t="s">
        <v>420</v>
      </c>
      <c r="C236" s="250" t="s">
        <v>640</v>
      </c>
      <c r="D236" s="225" t="s">
        <v>639</v>
      </c>
      <c r="E236" s="249" t="s">
        <v>1018</v>
      </c>
      <c r="F236" s="225" t="s">
        <v>908</v>
      </c>
      <c r="G236" s="225" t="s">
        <v>1025</v>
      </c>
      <c r="H236" s="242"/>
      <c r="I236" s="233">
        <v>100</v>
      </c>
      <c r="J236" s="242"/>
      <c r="K236" s="225">
        <f>1.401/2.9</f>
        <v>0.4831034482758621</v>
      </c>
      <c r="L236" s="242"/>
      <c r="M236" s="225" t="s">
        <v>970</v>
      </c>
      <c r="N236" s="225">
        <v>350</v>
      </c>
      <c r="O236" s="177"/>
    </row>
    <row r="237" spans="1:15" s="215" customFormat="1" ht="35.25" customHeight="1">
      <c r="A237" s="225">
        <v>194</v>
      </c>
      <c r="B237" s="225" t="s">
        <v>420</v>
      </c>
      <c r="C237" s="250" t="s">
        <v>644</v>
      </c>
      <c r="D237" s="225" t="s">
        <v>643</v>
      </c>
      <c r="E237" s="249" t="s">
        <v>1018</v>
      </c>
      <c r="F237" s="225" t="s">
        <v>908</v>
      </c>
      <c r="G237" s="225" t="s">
        <v>1024</v>
      </c>
      <c r="H237" s="242"/>
      <c r="I237" s="233">
        <v>120</v>
      </c>
      <c r="J237" s="242"/>
      <c r="K237" s="225">
        <f>0.701/2.9</f>
        <v>0.24172413793103448</v>
      </c>
      <c r="L237" s="242"/>
      <c r="M237" s="225" t="s">
        <v>970</v>
      </c>
      <c r="N237" s="225">
        <v>350</v>
      </c>
      <c r="O237" s="177"/>
    </row>
    <row r="238" spans="1:15" s="215" customFormat="1" ht="35.25" customHeight="1">
      <c r="A238" s="225">
        <v>195</v>
      </c>
      <c r="B238" s="225" t="s">
        <v>420</v>
      </c>
      <c r="C238" s="250" t="s">
        <v>646</v>
      </c>
      <c r="D238" s="225" t="s">
        <v>645</v>
      </c>
      <c r="E238" s="249" t="s">
        <v>1018</v>
      </c>
      <c r="F238" s="225" t="s">
        <v>908</v>
      </c>
      <c r="G238" s="225" t="s">
        <v>1026</v>
      </c>
      <c r="H238" s="242"/>
      <c r="I238" s="233">
        <v>120</v>
      </c>
      <c r="J238" s="242"/>
      <c r="K238" s="225">
        <f>0.963/2.9</f>
        <v>0.33206896551724135</v>
      </c>
      <c r="L238" s="242"/>
      <c r="M238" s="225" t="s">
        <v>970</v>
      </c>
      <c r="N238" s="225">
        <v>350</v>
      </c>
      <c r="O238" s="177"/>
    </row>
    <row r="239" spans="1:15" s="215" customFormat="1" ht="35.25" customHeight="1">
      <c r="A239" s="225">
        <v>196</v>
      </c>
      <c r="B239" s="225" t="s">
        <v>420</v>
      </c>
      <c r="C239" s="250" t="s">
        <v>647</v>
      </c>
      <c r="D239" s="225" t="s">
        <v>648</v>
      </c>
      <c r="E239" s="249" t="s">
        <v>1018</v>
      </c>
      <c r="F239" s="225" t="s">
        <v>908</v>
      </c>
      <c r="G239" s="225" t="s">
        <v>1025</v>
      </c>
      <c r="H239" s="242"/>
      <c r="I239" s="233">
        <v>100</v>
      </c>
      <c r="J239" s="242"/>
      <c r="K239" s="225">
        <f>1.922/2.9</f>
        <v>0.66275862068965519</v>
      </c>
      <c r="L239" s="242"/>
      <c r="M239" s="225" t="s">
        <v>998</v>
      </c>
      <c r="N239" s="225"/>
      <c r="O239" s="177"/>
    </row>
    <row r="240" spans="1:15" s="215" customFormat="1" ht="35.25" customHeight="1">
      <c r="A240" s="225">
        <v>197</v>
      </c>
      <c r="B240" s="225" t="s">
        <v>420</v>
      </c>
      <c r="C240" s="250" t="s">
        <v>714</v>
      </c>
      <c r="D240" s="225" t="s">
        <v>713</v>
      </c>
      <c r="E240" s="249" t="s">
        <v>1018</v>
      </c>
      <c r="F240" s="225" t="s">
        <v>908</v>
      </c>
      <c r="G240" s="225" t="s">
        <v>1027</v>
      </c>
      <c r="H240" s="242"/>
      <c r="I240" s="233">
        <v>90</v>
      </c>
      <c r="J240" s="242"/>
      <c r="K240" s="225">
        <f>0.951/2.9</f>
        <v>0.32793103448275862</v>
      </c>
      <c r="L240" s="242"/>
      <c r="M240" s="225" t="s">
        <v>970</v>
      </c>
      <c r="N240" s="225">
        <v>350</v>
      </c>
      <c r="O240" s="177"/>
    </row>
    <row r="241" spans="1:15" s="215" customFormat="1" ht="35.25" customHeight="1">
      <c r="A241" s="251">
        <v>199</v>
      </c>
      <c r="B241" s="203" t="s">
        <v>420</v>
      </c>
      <c r="C241" s="252" t="s">
        <v>651</v>
      </c>
      <c r="D241" s="251" t="s">
        <v>650</v>
      </c>
      <c r="E241" s="253" t="s">
        <v>1018</v>
      </c>
      <c r="F241" s="251" t="s">
        <v>908</v>
      </c>
      <c r="G241" s="251" t="s">
        <v>884</v>
      </c>
      <c r="H241" s="254"/>
      <c r="I241" s="255">
        <v>120</v>
      </c>
      <c r="J241" s="254"/>
      <c r="K241" s="251">
        <f>0.389/2.9</f>
        <v>0.13413793103448277</v>
      </c>
      <c r="L241" s="254"/>
      <c r="M241" s="251" t="s">
        <v>887</v>
      </c>
      <c r="N241" s="256">
        <v>350</v>
      </c>
      <c r="O241" s="177"/>
    </row>
    <row r="242" spans="1:15" s="215" customFormat="1" ht="35.25" customHeight="1">
      <c r="A242" s="251">
        <v>200</v>
      </c>
      <c r="B242" s="251" t="s">
        <v>420</v>
      </c>
      <c r="C242" s="252" t="s">
        <v>653</v>
      </c>
      <c r="D242" s="251" t="s">
        <v>652</v>
      </c>
      <c r="E242" s="253" t="s">
        <v>1018</v>
      </c>
      <c r="F242" s="251" t="s">
        <v>908</v>
      </c>
      <c r="G242" s="251" t="s">
        <v>884</v>
      </c>
      <c r="H242" s="254"/>
      <c r="I242" s="255">
        <v>120</v>
      </c>
      <c r="J242" s="254"/>
      <c r="K242" s="251">
        <f>0.685/2.9</f>
        <v>0.23620689655172417</v>
      </c>
      <c r="L242" s="254"/>
      <c r="M242" s="251" t="s">
        <v>887</v>
      </c>
      <c r="N242" s="251">
        <v>350</v>
      </c>
      <c r="O242" s="177"/>
    </row>
    <row r="243" spans="1:15" s="215" customFormat="1" ht="35.25" customHeight="1">
      <c r="A243" s="251">
        <v>201</v>
      </c>
      <c r="B243" s="251" t="s">
        <v>420</v>
      </c>
      <c r="C243" s="252" t="s">
        <v>1028</v>
      </c>
      <c r="D243" s="251" t="s">
        <v>654</v>
      </c>
      <c r="E243" s="253" t="s">
        <v>1018</v>
      </c>
      <c r="F243" s="251" t="s">
        <v>908</v>
      </c>
      <c r="G243" s="251" t="s">
        <v>1029</v>
      </c>
      <c r="H243" s="254"/>
      <c r="I243" s="255">
        <v>120</v>
      </c>
      <c r="J243" s="254"/>
      <c r="K243" s="251">
        <f>1.111/2.9</f>
        <v>0.38310344827586207</v>
      </c>
      <c r="L243" s="254"/>
      <c r="M243" s="251" t="s">
        <v>887</v>
      </c>
      <c r="N243" s="251">
        <v>350</v>
      </c>
      <c r="O243" s="177"/>
    </row>
    <row r="244" spans="1:15" s="215" customFormat="1" ht="35.25" customHeight="1">
      <c r="A244" s="251">
        <v>202</v>
      </c>
      <c r="B244" s="251" t="s">
        <v>420</v>
      </c>
      <c r="C244" s="250" t="s">
        <v>658</v>
      </c>
      <c r="D244" s="225" t="s">
        <v>657</v>
      </c>
      <c r="E244" s="253" t="s">
        <v>1018</v>
      </c>
      <c r="F244" s="251" t="s">
        <v>908</v>
      </c>
      <c r="G244" s="251" t="s">
        <v>1030</v>
      </c>
      <c r="H244" s="242"/>
      <c r="I244" s="233">
        <v>120</v>
      </c>
      <c r="J244" s="242"/>
      <c r="K244" s="225">
        <f>0.358/2.9</f>
        <v>0.12344827586206897</v>
      </c>
      <c r="L244" s="242"/>
      <c r="M244" s="225" t="s">
        <v>887</v>
      </c>
      <c r="N244" s="225">
        <v>350</v>
      </c>
      <c r="O244" s="177"/>
    </row>
    <row r="245" spans="1:15" s="215" customFormat="1" ht="35.25" customHeight="1">
      <c r="A245" s="225">
        <v>203</v>
      </c>
      <c r="B245" s="225" t="s">
        <v>420</v>
      </c>
      <c r="C245" s="250" t="s">
        <v>659</v>
      </c>
      <c r="D245" s="225" t="s">
        <v>656</v>
      </c>
      <c r="E245" s="249" t="s">
        <v>1018</v>
      </c>
      <c r="F245" s="225" t="s">
        <v>908</v>
      </c>
      <c r="G245" s="225" t="s">
        <v>1031</v>
      </c>
      <c r="H245" s="242"/>
      <c r="I245" s="233">
        <v>120</v>
      </c>
      <c r="J245" s="242"/>
      <c r="K245" s="225">
        <f>0.307/2.9</f>
        <v>0.10586206896551724</v>
      </c>
      <c r="L245" s="242"/>
      <c r="M245" s="225" t="s">
        <v>887</v>
      </c>
      <c r="N245" s="225">
        <v>350</v>
      </c>
      <c r="O245" s="177"/>
    </row>
    <row r="246" spans="1:15" s="215" customFormat="1" ht="35.25" customHeight="1">
      <c r="A246" s="225">
        <v>204</v>
      </c>
      <c r="B246" s="225" t="s">
        <v>420</v>
      </c>
      <c r="C246" s="250" t="s">
        <v>663</v>
      </c>
      <c r="D246" s="225" t="s">
        <v>662</v>
      </c>
      <c r="E246" s="249" t="s">
        <v>898</v>
      </c>
      <c r="F246" s="225" t="s">
        <v>908</v>
      </c>
      <c r="G246" s="225" t="s">
        <v>1032</v>
      </c>
      <c r="H246" s="242"/>
      <c r="I246" s="233">
        <v>120</v>
      </c>
      <c r="J246" s="242"/>
      <c r="K246" s="225">
        <f>0.998/2.9</f>
        <v>0.34413793103448276</v>
      </c>
      <c r="L246" s="242"/>
      <c r="M246" s="225" t="s">
        <v>887</v>
      </c>
      <c r="N246" s="225">
        <v>350</v>
      </c>
      <c r="O246" s="177"/>
    </row>
    <row r="247" spans="1:15" s="215" customFormat="1" ht="35.25" customHeight="1">
      <c r="A247" s="225">
        <v>205</v>
      </c>
      <c r="B247" s="225" t="s">
        <v>420</v>
      </c>
      <c r="C247" s="250" t="s">
        <v>667</v>
      </c>
      <c r="D247" s="225" t="s">
        <v>665</v>
      </c>
      <c r="E247" s="249" t="s">
        <v>1018</v>
      </c>
      <c r="F247" s="225" t="s">
        <v>908</v>
      </c>
      <c r="G247" s="225" t="s">
        <v>1033</v>
      </c>
      <c r="H247" s="242"/>
      <c r="I247" s="233">
        <v>120</v>
      </c>
      <c r="J247" s="242"/>
      <c r="K247" s="225">
        <f>0.467/2.9</f>
        <v>0.1610344827586207</v>
      </c>
      <c r="L247" s="242"/>
      <c r="M247" s="225" t="s">
        <v>887</v>
      </c>
      <c r="N247" s="225">
        <v>350</v>
      </c>
      <c r="O247" s="177"/>
    </row>
    <row r="248" spans="1:15" s="215" customFormat="1" ht="35.25" customHeight="1">
      <c r="A248" s="225">
        <v>206</v>
      </c>
      <c r="B248" s="225" t="s">
        <v>420</v>
      </c>
      <c r="C248" s="250" t="s">
        <v>666</v>
      </c>
      <c r="D248" s="225" t="s">
        <v>664</v>
      </c>
      <c r="E248" s="249" t="s">
        <v>1018</v>
      </c>
      <c r="F248" s="225" t="s">
        <v>908</v>
      </c>
      <c r="G248" s="225" t="s">
        <v>1034</v>
      </c>
      <c r="H248" s="242"/>
      <c r="I248" s="233">
        <v>120</v>
      </c>
      <c r="J248" s="242"/>
      <c r="K248" s="225">
        <f>0.322/2.9</f>
        <v>0.1110344827586207</v>
      </c>
      <c r="L248" s="242"/>
      <c r="M248" s="225" t="s">
        <v>887</v>
      </c>
      <c r="N248" s="225">
        <v>350</v>
      </c>
      <c r="O248" s="177"/>
    </row>
    <row r="249" spans="1:15" s="215" customFormat="1" ht="35.25" customHeight="1">
      <c r="A249" s="225">
        <v>207</v>
      </c>
      <c r="B249" s="225" t="s">
        <v>420</v>
      </c>
      <c r="C249" s="250" t="s">
        <v>671</v>
      </c>
      <c r="D249" s="225" t="s">
        <v>669</v>
      </c>
      <c r="E249" s="249" t="s">
        <v>1018</v>
      </c>
      <c r="F249" s="225" t="s">
        <v>908</v>
      </c>
      <c r="G249" s="225" t="s">
        <v>1034</v>
      </c>
      <c r="H249" s="242"/>
      <c r="I249" s="233">
        <v>120</v>
      </c>
      <c r="J249" s="242"/>
      <c r="K249" s="225">
        <f>0.442/2.9</f>
        <v>0.15241379310344827</v>
      </c>
      <c r="L249" s="242"/>
      <c r="M249" s="225" t="s">
        <v>887</v>
      </c>
      <c r="N249" s="225">
        <v>350</v>
      </c>
      <c r="O249" s="177"/>
    </row>
    <row r="250" spans="1:15" s="215" customFormat="1" ht="35.25" customHeight="1">
      <c r="A250" s="225">
        <v>208</v>
      </c>
      <c r="B250" s="225" t="s">
        <v>420</v>
      </c>
      <c r="C250" s="250" t="s">
        <v>670</v>
      </c>
      <c r="D250" s="225" t="s">
        <v>668</v>
      </c>
      <c r="E250" s="249" t="s">
        <v>1018</v>
      </c>
      <c r="F250" s="225" t="s">
        <v>908</v>
      </c>
      <c r="G250" s="225" t="s">
        <v>1035</v>
      </c>
      <c r="H250" s="242"/>
      <c r="I250" s="233">
        <v>120</v>
      </c>
      <c r="J250" s="242"/>
      <c r="K250" s="225">
        <f>0.343/2.9</f>
        <v>0.11827586206896554</v>
      </c>
      <c r="L250" s="242"/>
      <c r="M250" s="225" t="s">
        <v>887</v>
      </c>
      <c r="N250" s="225">
        <v>350</v>
      </c>
      <c r="O250" s="177"/>
    </row>
    <row r="251" spans="1:15" s="215" customFormat="1" ht="35.25" customHeight="1">
      <c r="A251" s="225">
        <v>209</v>
      </c>
      <c r="B251" s="225" t="s">
        <v>420</v>
      </c>
      <c r="C251" s="250" t="s">
        <v>673</v>
      </c>
      <c r="D251" s="225" t="s">
        <v>672</v>
      </c>
      <c r="E251" s="249" t="s">
        <v>1018</v>
      </c>
      <c r="F251" s="225" t="s">
        <v>908</v>
      </c>
      <c r="G251" s="225" t="s">
        <v>1036</v>
      </c>
      <c r="H251" s="242"/>
      <c r="I251" s="233">
        <v>120</v>
      </c>
      <c r="J251" s="242"/>
      <c r="K251" s="225">
        <f>0.262/2.9</f>
        <v>9.0344827586206905E-2</v>
      </c>
      <c r="L251" s="242"/>
      <c r="M251" s="225" t="s">
        <v>887</v>
      </c>
      <c r="N251" s="225">
        <v>350</v>
      </c>
      <c r="O251" s="177"/>
    </row>
    <row r="252" spans="1:15" s="215" customFormat="1" ht="35.25" customHeight="1">
      <c r="A252" s="225">
        <v>210</v>
      </c>
      <c r="B252" s="225" t="s">
        <v>420</v>
      </c>
      <c r="C252" s="250" t="s">
        <v>686</v>
      </c>
      <c r="D252" s="225" t="s">
        <v>676</v>
      </c>
      <c r="E252" s="249" t="s">
        <v>1018</v>
      </c>
      <c r="F252" s="225" t="s">
        <v>908</v>
      </c>
      <c r="G252" s="225" t="s">
        <v>1037</v>
      </c>
      <c r="H252" s="242"/>
      <c r="I252" s="233">
        <v>120</v>
      </c>
      <c r="J252" s="242"/>
      <c r="K252" s="225">
        <f>0.998/2.9</f>
        <v>0.34413793103448276</v>
      </c>
      <c r="L252" s="242"/>
      <c r="M252" s="225" t="s">
        <v>970</v>
      </c>
      <c r="N252" s="225">
        <v>350</v>
      </c>
      <c r="O252" s="177"/>
    </row>
    <row r="253" spans="1:15" s="215" customFormat="1" ht="35.25" customHeight="1">
      <c r="A253" s="225">
        <v>211</v>
      </c>
      <c r="B253" s="225" t="s">
        <v>420</v>
      </c>
      <c r="C253" s="250" t="s">
        <v>1038</v>
      </c>
      <c r="D253" s="225" t="s">
        <v>677</v>
      </c>
      <c r="E253" s="249" t="s">
        <v>845</v>
      </c>
      <c r="F253" s="225" t="s">
        <v>856</v>
      </c>
      <c r="G253" s="225">
        <v>30</v>
      </c>
      <c r="H253" s="242"/>
      <c r="I253" s="233">
        <v>70</v>
      </c>
      <c r="J253" s="242"/>
      <c r="K253" s="225">
        <f>0.82/2.9</f>
        <v>0.28275862068965518</v>
      </c>
      <c r="L253" s="242"/>
      <c r="M253" s="225" t="s">
        <v>1039</v>
      </c>
      <c r="N253" s="225">
        <v>300</v>
      </c>
      <c r="O253" s="177">
        <v>250</v>
      </c>
    </row>
    <row r="254" spans="1:15" s="215" customFormat="1" ht="35.25" customHeight="1">
      <c r="A254" s="225">
        <v>212</v>
      </c>
      <c r="B254" s="225" t="s">
        <v>420</v>
      </c>
      <c r="C254" s="250" t="s">
        <v>690</v>
      </c>
      <c r="D254" s="225" t="s">
        <v>689</v>
      </c>
      <c r="E254" s="249" t="s">
        <v>898</v>
      </c>
      <c r="F254" s="225" t="s">
        <v>908</v>
      </c>
      <c r="G254" s="225" t="s">
        <v>1032</v>
      </c>
      <c r="H254" s="242"/>
      <c r="I254" s="233">
        <v>60</v>
      </c>
      <c r="J254" s="242"/>
      <c r="K254" s="225">
        <f>1.076/2.9</f>
        <v>0.37103448275862072</v>
      </c>
      <c r="L254" s="242"/>
      <c r="M254" s="225" t="s">
        <v>907</v>
      </c>
      <c r="N254" s="225"/>
      <c r="O254" s="177"/>
    </row>
    <row r="255" spans="1:15" s="215" customFormat="1" ht="35.25" customHeight="1">
      <c r="A255" s="225">
        <v>213</v>
      </c>
      <c r="B255" s="225" t="s">
        <v>420</v>
      </c>
      <c r="C255" s="250" t="s">
        <v>1040</v>
      </c>
      <c r="D255" s="225" t="s">
        <v>691</v>
      </c>
      <c r="E255" s="249" t="s">
        <v>1018</v>
      </c>
      <c r="F255" s="225" t="s">
        <v>908</v>
      </c>
      <c r="G255" s="225" t="s">
        <v>909</v>
      </c>
      <c r="H255" s="242"/>
      <c r="I255" s="233">
        <v>90</v>
      </c>
      <c r="J255" s="242"/>
      <c r="K255" s="225">
        <f>0.678/2.9</f>
        <v>0.23379310344827589</v>
      </c>
      <c r="L255" s="242"/>
      <c r="M255" s="225" t="s">
        <v>970</v>
      </c>
      <c r="N255" s="225">
        <v>350</v>
      </c>
      <c r="O255" s="177"/>
    </row>
    <row r="256" spans="1:15" s="215" customFormat="1" ht="35.25" customHeight="1">
      <c r="A256" s="225">
        <v>214</v>
      </c>
      <c r="B256" s="225" t="s">
        <v>420</v>
      </c>
      <c r="C256" s="250" t="s">
        <v>694</v>
      </c>
      <c r="D256" s="225" t="s">
        <v>693</v>
      </c>
      <c r="E256" s="249" t="s">
        <v>845</v>
      </c>
      <c r="F256" s="225" t="s">
        <v>964</v>
      </c>
      <c r="G256" s="225" t="s">
        <v>980</v>
      </c>
      <c r="H256" s="242"/>
      <c r="I256" s="233">
        <v>55</v>
      </c>
      <c r="J256" s="242"/>
      <c r="K256" s="126"/>
      <c r="L256" s="242"/>
      <c r="M256" s="225" t="s">
        <v>998</v>
      </c>
      <c r="N256" s="225"/>
      <c r="O256" s="177"/>
    </row>
    <row r="257" spans="1:15" s="215" customFormat="1" ht="35.25" customHeight="1">
      <c r="A257" s="225">
        <v>215</v>
      </c>
      <c r="B257" s="225" t="s">
        <v>420</v>
      </c>
      <c r="C257" s="250" t="s">
        <v>702</v>
      </c>
      <c r="D257" s="225" t="s">
        <v>705</v>
      </c>
      <c r="E257" s="249" t="s">
        <v>845</v>
      </c>
      <c r="F257" s="225" t="s">
        <v>964</v>
      </c>
      <c r="G257" s="225" t="s">
        <v>980</v>
      </c>
      <c r="H257" s="242"/>
      <c r="I257" s="233">
        <v>45</v>
      </c>
      <c r="J257" s="242"/>
      <c r="K257" s="126"/>
      <c r="L257" s="242"/>
      <c r="M257" s="225" t="s">
        <v>998</v>
      </c>
      <c r="N257" s="225"/>
      <c r="O257" s="177"/>
    </row>
    <row r="258" spans="1:15" s="215" customFormat="1" ht="35.25" customHeight="1">
      <c r="A258" s="225">
        <v>215</v>
      </c>
      <c r="B258" s="225" t="s">
        <v>420</v>
      </c>
      <c r="C258" s="250" t="s">
        <v>696</v>
      </c>
      <c r="D258" s="225" t="s">
        <v>695</v>
      </c>
      <c r="E258" s="249" t="s">
        <v>845</v>
      </c>
      <c r="F258" s="225" t="s">
        <v>964</v>
      </c>
      <c r="G258" s="225" t="s">
        <v>1041</v>
      </c>
      <c r="H258" s="242"/>
      <c r="I258" s="233">
        <v>120</v>
      </c>
      <c r="J258" s="242"/>
      <c r="K258" s="225">
        <f>0.3/2.9</f>
        <v>0.10344827586206896</v>
      </c>
      <c r="L258" s="242"/>
      <c r="M258" s="225" t="s">
        <v>970</v>
      </c>
      <c r="N258" s="225"/>
      <c r="O258" s="177"/>
    </row>
    <row r="259" spans="1:15" s="215" customFormat="1" ht="35.25" customHeight="1">
      <c r="A259" s="225">
        <v>216</v>
      </c>
      <c r="B259" s="225" t="s">
        <v>420</v>
      </c>
      <c r="C259" s="250" t="s">
        <v>700</v>
      </c>
      <c r="D259" s="225" t="s">
        <v>699</v>
      </c>
      <c r="E259" s="249" t="s">
        <v>1018</v>
      </c>
      <c r="F259" s="225" t="s">
        <v>908</v>
      </c>
      <c r="G259" s="225" t="s">
        <v>909</v>
      </c>
      <c r="H259" s="242"/>
      <c r="I259" s="233">
        <v>90</v>
      </c>
      <c r="J259" s="242"/>
      <c r="K259" s="225">
        <f>0.479/2.9</f>
        <v>0.16517241379310343</v>
      </c>
      <c r="L259" s="242"/>
      <c r="M259" s="225" t="s">
        <v>970</v>
      </c>
      <c r="N259" s="225">
        <v>350</v>
      </c>
      <c r="O259" s="177"/>
    </row>
    <row r="260" spans="1:15" s="215" customFormat="1" ht="35.25" customHeight="1">
      <c r="A260" s="225">
        <v>217</v>
      </c>
      <c r="B260" s="225" t="s">
        <v>420</v>
      </c>
      <c r="C260" s="250" t="s">
        <v>704</v>
      </c>
      <c r="D260" s="225" t="s">
        <v>1042</v>
      </c>
      <c r="E260" s="249" t="s">
        <v>1018</v>
      </c>
      <c r="F260" s="225" t="s">
        <v>908</v>
      </c>
      <c r="G260" s="225" t="s">
        <v>909</v>
      </c>
      <c r="H260" s="242"/>
      <c r="I260" s="233">
        <v>90</v>
      </c>
      <c r="J260" s="242"/>
      <c r="K260" s="225">
        <f>0.38/2.9</f>
        <v>0.1310344827586207</v>
      </c>
      <c r="L260" s="242"/>
      <c r="M260" s="225" t="s">
        <v>970</v>
      </c>
      <c r="N260" s="225">
        <v>350</v>
      </c>
      <c r="O260" s="177"/>
    </row>
    <row r="261" spans="1:15" s="215" customFormat="1" ht="35.25" customHeight="1">
      <c r="A261" s="225">
        <v>218</v>
      </c>
      <c r="B261" s="225" t="s">
        <v>420</v>
      </c>
      <c r="C261" s="250" t="s">
        <v>283</v>
      </c>
      <c r="D261" s="225" t="s">
        <v>708</v>
      </c>
      <c r="E261" s="249" t="s">
        <v>1018</v>
      </c>
      <c r="F261" s="225" t="s">
        <v>908</v>
      </c>
      <c r="G261" s="225" t="s">
        <v>909</v>
      </c>
      <c r="H261" s="242"/>
      <c r="I261" s="233">
        <v>90</v>
      </c>
      <c r="J261" s="242"/>
      <c r="K261" s="225">
        <f>0.196/2.9</f>
        <v>6.7586206896551732E-2</v>
      </c>
      <c r="L261" s="242"/>
      <c r="M261" s="225" t="s">
        <v>970</v>
      </c>
      <c r="N261" s="225">
        <v>350</v>
      </c>
      <c r="O261" s="177"/>
    </row>
    <row r="262" spans="1:15" s="215" customFormat="1" ht="35.25" customHeight="1">
      <c r="A262" s="225">
        <v>219</v>
      </c>
      <c r="B262" s="225" t="s">
        <v>420</v>
      </c>
      <c r="C262" s="250" t="s">
        <v>718</v>
      </c>
      <c r="D262" s="225" t="s">
        <v>717</v>
      </c>
      <c r="E262" s="249" t="s">
        <v>1018</v>
      </c>
      <c r="F262" s="225" t="s">
        <v>908</v>
      </c>
      <c r="G262" s="225" t="s">
        <v>985</v>
      </c>
      <c r="H262" s="242"/>
      <c r="I262" s="233">
        <v>120</v>
      </c>
      <c r="J262" s="242"/>
      <c r="K262" s="225">
        <f>0.229/2.9</f>
        <v>7.8965517241379318E-2</v>
      </c>
      <c r="L262" s="242"/>
      <c r="M262" s="225" t="s">
        <v>970</v>
      </c>
      <c r="N262" s="225">
        <v>350</v>
      </c>
      <c r="O262" s="177"/>
    </row>
    <row r="263" spans="1:15" s="215" customFormat="1" ht="35.25" customHeight="1">
      <c r="A263" s="225">
        <v>220</v>
      </c>
      <c r="B263" s="225" t="s">
        <v>420</v>
      </c>
      <c r="C263" s="250" t="s">
        <v>712</v>
      </c>
      <c r="D263" s="225" t="s">
        <v>711</v>
      </c>
      <c r="E263" s="249" t="s">
        <v>1018</v>
      </c>
      <c r="F263" s="225" t="s">
        <v>908</v>
      </c>
      <c r="G263" s="225" t="s">
        <v>1043</v>
      </c>
      <c r="H263" s="242"/>
      <c r="I263" s="233">
        <v>120</v>
      </c>
      <c r="J263" s="242"/>
      <c r="K263" s="225">
        <f>0.271/2.9</f>
        <v>9.3448275862068969E-2</v>
      </c>
      <c r="L263" s="242"/>
      <c r="M263" s="225" t="s">
        <v>970</v>
      </c>
      <c r="N263" s="225">
        <v>350</v>
      </c>
      <c r="O263" s="177"/>
    </row>
    <row r="264" spans="1:15" s="215" customFormat="1" ht="35.25" customHeight="1">
      <c r="A264" s="225">
        <v>221</v>
      </c>
      <c r="B264" s="225" t="s">
        <v>420</v>
      </c>
      <c r="C264" s="250" t="s">
        <v>716</v>
      </c>
      <c r="D264" s="225" t="s">
        <v>715</v>
      </c>
      <c r="E264" s="249" t="s">
        <v>1018</v>
      </c>
      <c r="F264" s="225" t="s">
        <v>908</v>
      </c>
      <c r="G264" s="225" t="s">
        <v>1044</v>
      </c>
      <c r="H264" s="242"/>
      <c r="I264" s="233">
        <v>120</v>
      </c>
      <c r="J264" s="242"/>
      <c r="K264" s="225">
        <f>0.585/2.9</f>
        <v>0.20172413793103447</v>
      </c>
      <c r="L264" s="242"/>
      <c r="M264" s="225" t="s">
        <v>970</v>
      </c>
      <c r="N264" s="225">
        <v>350</v>
      </c>
      <c r="O264" s="177"/>
    </row>
    <row r="265" spans="1:15" s="215" customFormat="1" ht="35.25" customHeight="1">
      <c r="A265" s="225">
        <v>222</v>
      </c>
      <c r="B265" s="225" t="s">
        <v>420</v>
      </c>
      <c r="C265" s="250" t="s">
        <v>721</v>
      </c>
      <c r="D265" s="225" t="s">
        <v>720</v>
      </c>
      <c r="E265" s="249" t="s">
        <v>1018</v>
      </c>
      <c r="F265" s="225" t="s">
        <v>908</v>
      </c>
      <c r="G265" s="225" t="s">
        <v>884</v>
      </c>
      <c r="H265" s="242"/>
      <c r="I265" s="233">
        <v>120</v>
      </c>
      <c r="J265" s="242"/>
      <c r="K265" s="225">
        <f>0.612/2.9</f>
        <v>0.21103448275862069</v>
      </c>
      <c r="L265" s="242"/>
      <c r="M265" s="225" t="s">
        <v>970</v>
      </c>
      <c r="N265" s="225">
        <v>350</v>
      </c>
      <c r="O265" s="177"/>
    </row>
    <row r="266" spans="1:15" s="215" customFormat="1" ht="35.25" customHeight="1">
      <c r="A266" s="225">
        <v>223</v>
      </c>
      <c r="B266" s="225" t="s">
        <v>420</v>
      </c>
      <c r="C266" s="250" t="s">
        <v>723</v>
      </c>
      <c r="D266" s="225" t="s">
        <v>722</v>
      </c>
      <c r="E266" s="249" t="s">
        <v>1018</v>
      </c>
      <c r="F266" s="225" t="s">
        <v>908</v>
      </c>
      <c r="G266" s="225" t="s">
        <v>1045</v>
      </c>
      <c r="H266" s="242"/>
      <c r="I266" s="233">
        <v>120</v>
      </c>
      <c r="J266" s="242"/>
      <c r="K266" s="225">
        <f>0.418/2.9</f>
        <v>0.14413793103448275</v>
      </c>
      <c r="L266" s="242"/>
      <c r="M266" s="225" t="s">
        <v>970</v>
      </c>
      <c r="N266" s="225">
        <v>350</v>
      </c>
      <c r="O266" s="177"/>
    </row>
    <row r="267" spans="1:15" s="215" customFormat="1" ht="35.25" customHeight="1">
      <c r="A267" s="225">
        <v>224</v>
      </c>
      <c r="B267" s="225" t="s">
        <v>420</v>
      </c>
      <c r="C267" s="250" t="s">
        <v>726</v>
      </c>
      <c r="D267" s="225" t="s">
        <v>725</v>
      </c>
      <c r="E267" s="249" t="s">
        <v>1018</v>
      </c>
      <c r="F267" s="225" t="s">
        <v>908</v>
      </c>
      <c r="G267" s="225" t="s">
        <v>1045</v>
      </c>
      <c r="H267" s="242"/>
      <c r="I267" s="233">
        <v>120</v>
      </c>
      <c r="J267" s="242"/>
      <c r="K267" s="225"/>
      <c r="L267" s="242"/>
      <c r="M267" s="225"/>
      <c r="N267" s="225"/>
      <c r="O267" s="177"/>
    </row>
    <row r="268" spans="1:15" s="215" customFormat="1" ht="35.25" customHeight="1">
      <c r="A268" s="225">
        <v>225</v>
      </c>
      <c r="B268" s="225" t="s">
        <v>420</v>
      </c>
      <c r="C268" s="250" t="s">
        <v>1046</v>
      </c>
      <c r="D268" s="225" t="s">
        <v>727</v>
      </c>
      <c r="E268" s="225" t="s">
        <v>845</v>
      </c>
      <c r="F268" s="225" t="s">
        <v>846</v>
      </c>
      <c r="G268" s="225" t="s">
        <v>1047</v>
      </c>
      <c r="H268" s="242"/>
      <c r="I268" s="233">
        <v>90</v>
      </c>
      <c r="J268" s="242"/>
      <c r="K268" s="225">
        <f>0.2/2.9</f>
        <v>6.8965517241379309E-2</v>
      </c>
      <c r="L268" s="242"/>
      <c r="M268" s="225" t="s">
        <v>998</v>
      </c>
      <c r="N268" s="225"/>
      <c r="O268" s="177"/>
    </row>
    <row r="269" spans="1:15" s="215" customFormat="1" ht="35.25" customHeight="1">
      <c r="A269" s="225">
        <v>226</v>
      </c>
      <c r="B269" s="225" t="s">
        <v>420</v>
      </c>
      <c r="C269" s="250" t="s">
        <v>1048</v>
      </c>
      <c r="D269" s="225" t="s">
        <v>728</v>
      </c>
      <c r="E269" s="225" t="s">
        <v>845</v>
      </c>
      <c r="F269" s="225" t="s">
        <v>846</v>
      </c>
      <c r="G269" s="225" t="s">
        <v>1022</v>
      </c>
      <c r="H269" s="242"/>
      <c r="I269" s="233">
        <v>60</v>
      </c>
      <c r="J269" s="242"/>
      <c r="K269" s="225">
        <f>2/2.9</f>
        <v>0.68965517241379315</v>
      </c>
      <c r="L269" s="242"/>
      <c r="M269" s="225"/>
      <c r="N269" s="225"/>
      <c r="O269" s="177"/>
    </row>
    <row r="270" spans="1:15" s="215" customFormat="1" ht="41.25" customHeight="1">
      <c r="A270" s="225">
        <v>227</v>
      </c>
      <c r="B270" s="225" t="s">
        <v>420</v>
      </c>
      <c r="C270" s="250" t="s">
        <v>730</v>
      </c>
      <c r="D270" s="225" t="s">
        <v>729</v>
      </c>
      <c r="E270" s="249" t="s">
        <v>1018</v>
      </c>
      <c r="F270" s="225" t="s">
        <v>908</v>
      </c>
      <c r="G270" s="225" t="s">
        <v>881</v>
      </c>
      <c r="H270" s="242"/>
      <c r="I270" s="233">
        <v>120</v>
      </c>
      <c r="J270" s="242"/>
      <c r="K270" s="225">
        <f>0.506/2.9</f>
        <v>0.17448275862068965</v>
      </c>
      <c r="L270" s="242"/>
      <c r="M270" s="225"/>
      <c r="N270" s="225"/>
      <c r="O270" s="177"/>
    </row>
    <row r="271" spans="1:15" s="44" customFormat="1" ht="45" customHeight="1">
      <c r="A271" s="225">
        <v>228</v>
      </c>
      <c r="B271" s="225" t="s">
        <v>420</v>
      </c>
      <c r="C271" s="250" t="s">
        <v>737</v>
      </c>
      <c r="D271" s="233" t="s">
        <v>736</v>
      </c>
      <c r="E271" s="225" t="s">
        <v>845</v>
      </c>
      <c r="F271" s="225" t="s">
        <v>1049</v>
      </c>
      <c r="G271" s="250" t="s">
        <v>1050</v>
      </c>
      <c r="H271" s="242"/>
      <c r="I271" s="225">
        <v>60</v>
      </c>
      <c r="J271" s="242"/>
      <c r="K271" s="225">
        <f>0.506/2.9</f>
        <v>0.17448275862068965</v>
      </c>
      <c r="L271" s="242"/>
      <c r="M271" s="225" t="s">
        <v>887</v>
      </c>
      <c r="N271" s="225">
        <v>350</v>
      </c>
      <c r="O271" s="177"/>
    </row>
    <row r="272" spans="1:15" s="44" customFormat="1" ht="42" customHeight="1">
      <c r="A272" s="225">
        <v>229</v>
      </c>
      <c r="B272" s="225" t="s">
        <v>420</v>
      </c>
      <c r="C272" s="250" t="s">
        <v>740</v>
      </c>
      <c r="D272" s="233" t="s">
        <v>738</v>
      </c>
      <c r="E272" s="225" t="s">
        <v>845</v>
      </c>
      <c r="F272" s="225" t="s">
        <v>1049</v>
      </c>
      <c r="G272" s="250" t="s">
        <v>881</v>
      </c>
      <c r="H272" s="242"/>
      <c r="I272" s="225">
        <v>120</v>
      </c>
      <c r="J272" s="242"/>
      <c r="K272" s="225">
        <f>0.506/2.9</f>
        <v>0.17448275862068965</v>
      </c>
      <c r="L272" s="242"/>
      <c r="M272" s="225"/>
      <c r="N272" s="225"/>
      <c r="O272" s="177"/>
    </row>
    <row r="273" spans="1:15" s="44" customFormat="1" ht="45" customHeight="1">
      <c r="A273" s="251">
        <v>230</v>
      </c>
      <c r="B273" s="251" t="s">
        <v>420</v>
      </c>
      <c r="C273" s="257" t="s">
        <v>735</v>
      </c>
      <c r="D273" s="202" t="s">
        <v>804</v>
      </c>
      <c r="E273" s="225" t="s">
        <v>845</v>
      </c>
      <c r="F273" s="225" t="s">
        <v>1049</v>
      </c>
      <c r="G273" s="257" t="s">
        <v>1051</v>
      </c>
      <c r="H273" s="236"/>
      <c r="I273" s="203"/>
      <c r="J273" s="236"/>
      <c r="K273" s="225">
        <f>0.329/2.9</f>
        <v>0.11344827586206897</v>
      </c>
      <c r="L273" s="236"/>
      <c r="M273" s="251"/>
      <c r="N273" s="251"/>
      <c r="O273" s="177"/>
    </row>
    <row r="274" spans="1:15" s="44" customFormat="1" ht="45" customHeight="1">
      <c r="A274" s="251">
        <v>231</v>
      </c>
      <c r="B274" s="251" t="s">
        <v>420</v>
      </c>
      <c r="C274" s="250" t="s">
        <v>807</v>
      </c>
      <c r="D274" s="233" t="s">
        <v>806</v>
      </c>
      <c r="E274" s="225" t="s">
        <v>845</v>
      </c>
      <c r="F274" s="225" t="s">
        <v>846</v>
      </c>
      <c r="G274" s="250" t="s">
        <v>1052</v>
      </c>
      <c r="H274" s="242"/>
      <c r="I274" s="225"/>
      <c r="J274" s="242"/>
      <c r="K274" s="225">
        <f>0.213/2.9</f>
        <v>7.3448275862068965E-2</v>
      </c>
      <c r="L274" s="242"/>
      <c r="M274" s="258"/>
      <c r="N274" s="225"/>
      <c r="O274" s="177"/>
    </row>
    <row r="275" spans="1:15" s="44" customFormat="1" ht="45" customHeight="1">
      <c r="A275" s="251">
        <v>232</v>
      </c>
      <c r="B275" s="251" t="s">
        <v>420</v>
      </c>
      <c r="C275" s="257" t="s">
        <v>1053</v>
      </c>
      <c r="D275" s="202" t="s">
        <v>808</v>
      </c>
      <c r="E275" s="225" t="s">
        <v>845</v>
      </c>
      <c r="F275" s="225" t="s">
        <v>1049</v>
      </c>
      <c r="G275" s="257" t="s">
        <v>1054</v>
      </c>
      <c r="H275" s="236"/>
      <c r="I275" s="203">
        <v>120</v>
      </c>
      <c r="J275" s="236"/>
      <c r="K275" s="225">
        <f>0.677/2.9</f>
        <v>0.23344827586206898</v>
      </c>
      <c r="L275" s="236"/>
      <c r="M275" s="200"/>
      <c r="N275" s="203"/>
      <c r="O275" s="177"/>
    </row>
    <row r="276" spans="1:15" s="44" customFormat="1" ht="45" customHeight="1">
      <c r="A276" s="251">
        <v>233</v>
      </c>
      <c r="B276" s="251" t="s">
        <v>420</v>
      </c>
      <c r="C276" s="250" t="s">
        <v>1055</v>
      </c>
      <c r="D276" s="233" t="s">
        <v>810</v>
      </c>
      <c r="E276" s="225" t="s">
        <v>910</v>
      </c>
      <c r="F276" s="225" t="s">
        <v>846</v>
      </c>
      <c r="G276" s="250" t="s">
        <v>1056</v>
      </c>
      <c r="H276" s="242"/>
      <c r="I276" s="225"/>
      <c r="J276" s="242"/>
      <c r="K276" s="225">
        <f>0.08/2.9</f>
        <v>2.7586206896551727E-2</v>
      </c>
      <c r="L276" s="242"/>
      <c r="M276" s="258"/>
      <c r="N276" s="225"/>
      <c r="O276" s="177"/>
    </row>
    <row r="277" spans="1:15" s="44" customFormat="1" ht="45" customHeight="1">
      <c r="A277" s="251">
        <v>234</v>
      </c>
      <c r="B277" s="251" t="s">
        <v>420</v>
      </c>
      <c r="C277" s="250"/>
      <c r="D277" s="233" t="s">
        <v>812</v>
      </c>
      <c r="E277" s="225"/>
      <c r="F277" s="225"/>
      <c r="G277" s="250"/>
      <c r="H277" s="242"/>
      <c r="I277" s="225"/>
      <c r="J277" s="242"/>
      <c r="K277" s="225"/>
      <c r="L277" s="242"/>
      <c r="M277" s="225"/>
      <c r="N277" s="259"/>
      <c r="O277" s="177"/>
    </row>
    <row r="278" spans="1:15" s="44" customFormat="1" ht="45" customHeight="1">
      <c r="A278" s="251">
        <v>235</v>
      </c>
      <c r="B278" s="251" t="s">
        <v>420</v>
      </c>
      <c r="C278" s="260" t="s">
        <v>817</v>
      </c>
      <c r="D278" s="202" t="s">
        <v>816</v>
      </c>
      <c r="E278" s="203" t="s">
        <v>845</v>
      </c>
      <c r="F278" s="203" t="s">
        <v>1049</v>
      </c>
      <c r="G278" s="257"/>
      <c r="H278" s="236"/>
      <c r="I278" s="203"/>
      <c r="J278" s="236"/>
      <c r="K278" s="225"/>
      <c r="L278" s="236"/>
      <c r="M278" s="203"/>
      <c r="N278" s="225"/>
      <c r="O278" s="177"/>
    </row>
    <row r="279" spans="1:15" s="44" customFormat="1" ht="45" customHeight="1">
      <c r="A279" s="251">
        <v>236</v>
      </c>
      <c r="B279" s="251" t="s">
        <v>420</v>
      </c>
      <c r="C279" s="261" t="s">
        <v>819</v>
      </c>
      <c r="D279" s="233" t="s">
        <v>818</v>
      </c>
      <c r="E279" s="225" t="s">
        <v>845</v>
      </c>
      <c r="F279" s="225" t="s">
        <v>1057</v>
      </c>
      <c r="G279" s="250" t="s">
        <v>1041</v>
      </c>
      <c r="H279" s="242"/>
      <c r="I279" s="225">
        <v>150</v>
      </c>
      <c r="J279" s="242"/>
      <c r="K279" s="225">
        <f>0.169/2.9</f>
        <v>5.8275862068965525E-2</v>
      </c>
      <c r="L279" s="242"/>
      <c r="M279" s="225"/>
      <c r="N279" s="259"/>
      <c r="O279" s="177"/>
    </row>
    <row r="280" spans="1:15" s="150" customFormat="1" ht="35.25" customHeight="1" thickBot="1">
      <c r="A280" s="262">
        <v>1</v>
      </c>
      <c r="B280" s="263" t="s">
        <v>847</v>
      </c>
      <c r="C280" s="264" t="s">
        <v>1058</v>
      </c>
      <c r="D280" s="265" t="s">
        <v>469</v>
      </c>
      <c r="E280" s="266" t="s">
        <v>845</v>
      </c>
      <c r="F280" s="266" t="s">
        <v>846</v>
      </c>
      <c r="G280" s="266">
        <v>16.2</v>
      </c>
      <c r="H280" s="266">
        <v>0.41199999999999998</v>
      </c>
      <c r="I280" s="267">
        <v>60</v>
      </c>
      <c r="J280" s="268">
        <f>1.602/2.2</f>
        <v>0.72818181818181815</v>
      </c>
      <c r="K280" s="268">
        <f>1.1183/2.2</f>
        <v>0.50831818181818178</v>
      </c>
      <c r="L280" s="266">
        <v>12</v>
      </c>
      <c r="M280" s="269" t="s">
        <v>907</v>
      </c>
      <c r="N280" s="270"/>
      <c r="O280" s="177"/>
    </row>
    <row r="281" spans="1:15" s="150" customFormat="1" ht="35.25" customHeight="1" thickBot="1">
      <c r="A281" s="262">
        <v>2</v>
      </c>
      <c r="B281" s="263" t="s">
        <v>847</v>
      </c>
      <c r="C281" s="264" t="s">
        <v>733</v>
      </c>
      <c r="D281" s="265" t="s">
        <v>733</v>
      </c>
      <c r="E281" s="266" t="s">
        <v>1059</v>
      </c>
      <c r="F281" s="266" t="s">
        <v>846</v>
      </c>
      <c r="G281" s="266" t="s">
        <v>1016</v>
      </c>
      <c r="H281" s="271"/>
      <c r="I281" s="267">
        <v>20</v>
      </c>
      <c r="J281" s="271"/>
      <c r="K281" s="268"/>
      <c r="L281" s="271"/>
      <c r="M281" s="269" t="s">
        <v>998</v>
      </c>
      <c r="N281" s="270"/>
      <c r="O281" s="177"/>
    </row>
    <row r="282" spans="1:15" s="150" customFormat="1" ht="35.25" customHeight="1" thickBot="1">
      <c r="A282" s="262">
        <v>3</v>
      </c>
      <c r="B282" s="263" t="s">
        <v>847</v>
      </c>
      <c r="C282" s="264" t="s">
        <v>1060</v>
      </c>
      <c r="D282" s="265" t="s">
        <v>709</v>
      </c>
      <c r="E282" s="266" t="s">
        <v>971</v>
      </c>
      <c r="F282" s="266"/>
      <c r="G282" s="266"/>
      <c r="H282" s="266"/>
      <c r="I282" s="267">
        <v>100</v>
      </c>
      <c r="J282" s="268"/>
      <c r="K282" s="268"/>
      <c r="L282" s="266"/>
      <c r="M282" s="269"/>
      <c r="N282" s="270"/>
      <c r="O282" s="177"/>
    </row>
    <row r="283" spans="1:15" s="150" customFormat="1" ht="35.25" customHeight="1" thickBot="1">
      <c r="A283" s="262">
        <v>4</v>
      </c>
      <c r="B283" s="263" t="s">
        <v>847</v>
      </c>
      <c r="C283" s="264" t="s">
        <v>707</v>
      </c>
      <c r="D283" s="265" t="s">
        <v>706</v>
      </c>
      <c r="E283" s="266" t="s">
        <v>1059</v>
      </c>
      <c r="F283" s="266" t="s">
        <v>846</v>
      </c>
      <c r="G283" s="266" t="s">
        <v>1016</v>
      </c>
      <c r="H283" s="271"/>
      <c r="I283" s="267">
        <v>30</v>
      </c>
      <c r="J283" s="271"/>
      <c r="K283" s="268"/>
      <c r="L283" s="271"/>
      <c r="M283" s="269"/>
      <c r="N283" s="270"/>
      <c r="O283" s="177"/>
    </row>
    <row r="284" spans="1:15" s="150" customFormat="1" ht="35.25" customHeight="1" thickBot="1">
      <c r="A284" s="262">
        <v>5</v>
      </c>
      <c r="B284" s="263" t="s">
        <v>847</v>
      </c>
      <c r="C284" s="264" t="s">
        <v>688</v>
      </c>
      <c r="D284" s="265" t="s">
        <v>687</v>
      </c>
      <c r="E284" s="266" t="s">
        <v>1059</v>
      </c>
      <c r="F284" s="266" t="s">
        <v>846</v>
      </c>
      <c r="G284" s="266" t="s">
        <v>1061</v>
      </c>
      <c r="H284" s="271"/>
      <c r="I284" s="267">
        <v>90</v>
      </c>
      <c r="J284" s="271"/>
      <c r="K284" s="268"/>
      <c r="L284" s="271"/>
      <c r="M284" s="269" t="s">
        <v>970</v>
      </c>
      <c r="N284" s="270">
        <v>300</v>
      </c>
      <c r="O284" s="177"/>
    </row>
    <row r="285" spans="1:15" s="150" customFormat="1" ht="35.25" customHeight="1" thickBot="1">
      <c r="A285" s="262">
        <v>6</v>
      </c>
      <c r="B285" s="263" t="s">
        <v>847</v>
      </c>
      <c r="C285" s="264" t="s">
        <v>682</v>
      </c>
      <c r="D285" s="265" t="s">
        <v>680</v>
      </c>
      <c r="E285" s="266" t="s">
        <v>1059</v>
      </c>
      <c r="F285" s="266" t="s">
        <v>846</v>
      </c>
      <c r="G285" s="266" t="s">
        <v>1016</v>
      </c>
      <c r="H285" s="271"/>
      <c r="I285" s="267">
        <v>40</v>
      </c>
      <c r="J285" s="271"/>
      <c r="K285" s="268"/>
      <c r="L285" s="271"/>
      <c r="M285" s="269" t="s">
        <v>970</v>
      </c>
      <c r="N285" s="270">
        <v>300</v>
      </c>
      <c r="O285" s="177"/>
    </row>
    <row r="286" spans="1:15" s="150" customFormat="1" ht="35.25" customHeight="1" thickBot="1">
      <c r="A286" s="262">
        <v>7</v>
      </c>
      <c r="B286" s="263" t="s">
        <v>847</v>
      </c>
      <c r="C286" s="264" t="s">
        <v>679</v>
      </c>
      <c r="D286" s="265" t="s">
        <v>678</v>
      </c>
      <c r="E286" s="266" t="s">
        <v>1059</v>
      </c>
      <c r="F286" s="266" t="s">
        <v>846</v>
      </c>
      <c r="G286" s="266" t="s">
        <v>1061</v>
      </c>
      <c r="H286" s="271"/>
      <c r="I286" s="267">
        <v>90</v>
      </c>
      <c r="J286" s="271"/>
      <c r="K286" s="268"/>
      <c r="L286" s="271"/>
      <c r="M286" s="269" t="s">
        <v>970</v>
      </c>
      <c r="N286" s="270">
        <v>300</v>
      </c>
      <c r="O286" s="177"/>
    </row>
    <row r="287" spans="1:15" s="150" customFormat="1" ht="35.25" customHeight="1" thickBot="1">
      <c r="A287" s="262">
        <v>8</v>
      </c>
      <c r="B287" s="263" t="s">
        <v>847</v>
      </c>
      <c r="C287" s="264" t="s">
        <v>675</v>
      </c>
      <c r="D287" s="265" t="s">
        <v>674</v>
      </c>
      <c r="E287" s="266" t="s">
        <v>1059</v>
      </c>
      <c r="F287" s="266" t="s">
        <v>846</v>
      </c>
      <c r="G287" s="266" t="s">
        <v>1041</v>
      </c>
      <c r="H287" s="271"/>
      <c r="I287" s="267">
        <v>140</v>
      </c>
      <c r="J287" s="271"/>
      <c r="K287" s="268"/>
      <c r="L287" s="271"/>
      <c r="M287" s="269" t="s">
        <v>970</v>
      </c>
      <c r="N287" s="270">
        <v>300</v>
      </c>
      <c r="O287" s="177"/>
    </row>
    <row r="288" spans="1:15" s="150" customFormat="1" ht="35.25" customHeight="1" thickBot="1">
      <c r="A288" s="262">
        <v>9</v>
      </c>
      <c r="B288" s="263" t="s">
        <v>847</v>
      </c>
      <c r="C288" s="264" t="s">
        <v>685</v>
      </c>
      <c r="D288" s="265" t="s">
        <v>661</v>
      </c>
      <c r="E288" s="266" t="s">
        <v>1059</v>
      </c>
      <c r="F288" s="266" t="s">
        <v>846</v>
      </c>
      <c r="G288" s="266" t="s">
        <v>1041</v>
      </c>
      <c r="H288" s="271"/>
      <c r="I288" s="267">
        <v>140</v>
      </c>
      <c r="J288" s="271"/>
      <c r="K288" s="268"/>
      <c r="L288" s="271"/>
      <c r="M288" s="269" t="s">
        <v>970</v>
      </c>
      <c r="N288" s="270">
        <v>300</v>
      </c>
      <c r="O288" s="177"/>
    </row>
    <row r="289" spans="1:15" s="150" customFormat="1" ht="35.25" customHeight="1" thickBot="1">
      <c r="A289" s="262">
        <v>10</v>
      </c>
      <c r="B289" s="263" t="s">
        <v>847</v>
      </c>
      <c r="C289" s="264" t="s">
        <v>683</v>
      </c>
      <c r="D289" s="265" t="s">
        <v>681</v>
      </c>
      <c r="E289" s="266" t="s">
        <v>1059</v>
      </c>
      <c r="F289" s="266" t="s">
        <v>846</v>
      </c>
      <c r="G289" s="266" t="s">
        <v>1016</v>
      </c>
      <c r="H289" s="271"/>
      <c r="I289" s="267">
        <v>19</v>
      </c>
      <c r="J289" s="271"/>
      <c r="K289" s="268"/>
      <c r="L289" s="271"/>
      <c r="M289" s="269" t="s">
        <v>907</v>
      </c>
      <c r="N289" s="270"/>
      <c r="O289" s="177"/>
    </row>
    <row r="290" spans="1:15" s="150" customFormat="1" ht="35.25" customHeight="1" thickBot="1">
      <c r="A290" s="262">
        <v>11</v>
      </c>
      <c r="B290" s="263" t="s">
        <v>847</v>
      </c>
      <c r="C290" s="264" t="s">
        <v>684</v>
      </c>
      <c r="D290" s="265" t="s">
        <v>660</v>
      </c>
      <c r="E290" s="266" t="s">
        <v>1059</v>
      </c>
      <c r="F290" s="266" t="s">
        <v>846</v>
      </c>
      <c r="G290" s="266" t="s">
        <v>1016</v>
      </c>
      <c r="H290" s="271"/>
      <c r="I290" s="267">
        <v>20</v>
      </c>
      <c r="J290" s="271"/>
      <c r="K290" s="268"/>
      <c r="L290" s="271"/>
      <c r="M290" s="269" t="s">
        <v>907</v>
      </c>
      <c r="N290" s="270"/>
      <c r="O290" s="177"/>
    </row>
    <row r="291" spans="1:15" s="150" customFormat="1" ht="35.25" customHeight="1" thickBot="1">
      <c r="A291" s="262">
        <v>12</v>
      </c>
      <c r="B291" s="263" t="s">
        <v>847</v>
      </c>
      <c r="C291" s="264" t="s">
        <v>1062</v>
      </c>
      <c r="D291" s="265" t="s">
        <v>623</v>
      </c>
      <c r="E291" s="266" t="s">
        <v>971</v>
      </c>
      <c r="F291" s="266" t="s">
        <v>964</v>
      </c>
      <c r="G291" s="266">
        <v>30</v>
      </c>
      <c r="H291" s="266"/>
      <c r="I291" s="267">
        <v>45</v>
      </c>
      <c r="J291" s="268"/>
      <c r="K291" s="268">
        <v>1.88</v>
      </c>
      <c r="L291" s="266"/>
      <c r="M291" s="269" t="s">
        <v>998</v>
      </c>
      <c r="N291" s="270"/>
      <c r="O291" s="177"/>
    </row>
    <row r="292" spans="1:15" s="150" customFormat="1" ht="35.25" customHeight="1" thickBot="1">
      <c r="A292" s="262">
        <v>13</v>
      </c>
      <c r="B292" s="263" t="s">
        <v>847</v>
      </c>
      <c r="C292" s="264" t="s">
        <v>1063</v>
      </c>
      <c r="D292" s="265" t="s">
        <v>620</v>
      </c>
      <c r="E292" s="266" t="s">
        <v>971</v>
      </c>
      <c r="F292" s="266" t="s">
        <v>964</v>
      </c>
      <c r="G292" s="266">
        <v>40</v>
      </c>
      <c r="H292" s="266"/>
      <c r="I292" s="267">
        <v>16</v>
      </c>
      <c r="J292" s="268"/>
      <c r="K292" s="268">
        <v>5.77</v>
      </c>
      <c r="L292" s="266"/>
      <c r="M292" s="269" t="s">
        <v>998</v>
      </c>
      <c r="N292" s="270"/>
      <c r="O292" s="177"/>
    </row>
    <row r="293" spans="1:15" s="150" customFormat="1" ht="35.25" customHeight="1" thickBot="1">
      <c r="A293" s="262">
        <v>14</v>
      </c>
      <c r="B293" s="263" t="s">
        <v>847</v>
      </c>
      <c r="C293" s="264" t="s">
        <v>629</v>
      </c>
      <c r="D293" s="265" t="s">
        <v>1064</v>
      </c>
      <c r="E293" s="266" t="s">
        <v>971</v>
      </c>
      <c r="F293" s="266" t="s">
        <v>964</v>
      </c>
      <c r="G293" s="266">
        <v>40</v>
      </c>
      <c r="H293" s="266"/>
      <c r="I293" s="267">
        <v>60</v>
      </c>
      <c r="J293" s="268"/>
      <c r="K293" s="268">
        <v>2</v>
      </c>
      <c r="L293" s="266"/>
      <c r="M293" s="269" t="s">
        <v>998</v>
      </c>
      <c r="N293" s="270"/>
      <c r="O293" s="177"/>
    </row>
    <row r="294" spans="1:15" s="150" customFormat="1" ht="35.25" customHeight="1" thickBot="1">
      <c r="A294" s="262">
        <v>15</v>
      </c>
      <c r="B294" s="263" t="s">
        <v>847</v>
      </c>
      <c r="C294" s="264" t="s">
        <v>1065</v>
      </c>
      <c r="D294" s="265" t="s">
        <v>105</v>
      </c>
      <c r="E294" s="272"/>
      <c r="F294" s="272"/>
      <c r="G294" s="271"/>
      <c r="H294" s="271"/>
      <c r="I294" s="265">
        <v>90</v>
      </c>
      <c r="J294" s="273"/>
      <c r="K294" s="274">
        <f>0.5/2.4</f>
        <v>0.20833333333333334</v>
      </c>
      <c r="L294" s="271"/>
      <c r="M294" s="275" t="s">
        <v>907</v>
      </c>
      <c r="N294" s="175"/>
      <c r="O294" s="177"/>
    </row>
    <row r="295" spans="1:15" s="150" customFormat="1" ht="35.25" customHeight="1" thickBot="1">
      <c r="A295" s="262">
        <v>16</v>
      </c>
      <c r="B295" s="263" t="s">
        <v>847</v>
      </c>
      <c r="C295" s="264" t="s">
        <v>482</v>
      </c>
      <c r="D295" s="265" t="s">
        <v>481</v>
      </c>
      <c r="E295" s="272" t="s">
        <v>906</v>
      </c>
      <c r="F295" s="272" t="s">
        <v>956</v>
      </c>
      <c r="G295" s="271"/>
      <c r="H295" s="271"/>
      <c r="I295" s="265">
        <v>90</v>
      </c>
      <c r="J295" s="273"/>
      <c r="K295" s="272">
        <v>0.67</v>
      </c>
      <c r="L295" s="271"/>
      <c r="M295" s="275" t="s">
        <v>907</v>
      </c>
      <c r="N295" s="175"/>
      <c r="O295" s="177"/>
    </row>
    <row r="296" spans="1:15" s="150" customFormat="1" ht="35.25" customHeight="1" thickBot="1">
      <c r="A296" s="262">
        <v>17</v>
      </c>
      <c r="B296" s="263" t="s">
        <v>847</v>
      </c>
      <c r="C296" s="264" t="s">
        <v>75</v>
      </c>
      <c r="D296" s="265" t="s">
        <v>462</v>
      </c>
      <c r="E296" s="272" t="s">
        <v>1066</v>
      </c>
      <c r="F296" s="272" t="s">
        <v>846</v>
      </c>
      <c r="G296" s="271"/>
      <c r="H296" s="271"/>
      <c r="I296" s="265">
        <v>100</v>
      </c>
      <c r="J296" s="273"/>
      <c r="K296" s="272">
        <v>0.127</v>
      </c>
      <c r="L296" s="271"/>
      <c r="M296" s="275" t="s">
        <v>907</v>
      </c>
      <c r="N296" s="175"/>
      <c r="O296" s="177"/>
    </row>
    <row r="297" spans="1:15" s="150" customFormat="1" ht="35.25" customHeight="1" thickBot="1">
      <c r="A297" s="262">
        <v>18</v>
      </c>
      <c r="B297" s="263" t="s">
        <v>847</v>
      </c>
      <c r="C297" s="276" t="s">
        <v>1067</v>
      </c>
      <c r="D297" s="265" t="s">
        <v>1068</v>
      </c>
      <c r="E297" s="277" t="s">
        <v>845</v>
      </c>
      <c r="F297" s="277" t="s">
        <v>846</v>
      </c>
      <c r="G297" s="277">
        <v>16.2</v>
      </c>
      <c r="H297" s="277">
        <v>0.41199999999999998</v>
      </c>
      <c r="I297" s="278">
        <v>60</v>
      </c>
      <c r="J297" s="279">
        <f>1.602/2.2</f>
        <v>0.72818181818181815</v>
      </c>
      <c r="K297" s="279">
        <f>1.1183/2.2</f>
        <v>0.50831818181818178</v>
      </c>
      <c r="L297" s="277">
        <v>12</v>
      </c>
      <c r="M297" s="280" t="s">
        <v>907</v>
      </c>
      <c r="N297" s="175"/>
      <c r="O297" s="177"/>
    </row>
    <row r="298" spans="1:15" s="150" customFormat="1" ht="35.25" customHeight="1" thickBot="1">
      <c r="A298" s="262">
        <v>19</v>
      </c>
      <c r="B298" s="263" t="s">
        <v>847</v>
      </c>
      <c r="C298" s="264" t="s">
        <v>123</v>
      </c>
      <c r="D298" s="265" t="s">
        <v>1069</v>
      </c>
      <c r="E298" s="272" t="s">
        <v>906</v>
      </c>
      <c r="F298" s="272" t="s">
        <v>846</v>
      </c>
      <c r="G298" s="281"/>
      <c r="H298" s="281"/>
      <c r="I298" s="265">
        <v>120</v>
      </c>
      <c r="J298" s="281"/>
      <c r="K298" s="279">
        <v>6.5000000000000002E-2</v>
      </c>
      <c r="L298" s="271"/>
      <c r="M298" s="275" t="s">
        <v>887</v>
      </c>
      <c r="N298" s="175">
        <v>350</v>
      </c>
      <c r="O298" s="177"/>
    </row>
    <row r="299" spans="1:15" s="150" customFormat="1" ht="35.25" customHeight="1" thickBot="1">
      <c r="A299" s="262">
        <v>20</v>
      </c>
      <c r="B299" s="263" t="s">
        <v>847</v>
      </c>
      <c r="C299" s="276" t="s">
        <v>186</v>
      </c>
      <c r="D299" s="265" t="s">
        <v>429</v>
      </c>
      <c r="E299" s="263" t="s">
        <v>906</v>
      </c>
      <c r="F299" s="263" t="s">
        <v>856</v>
      </c>
      <c r="G299" s="263">
        <v>19</v>
      </c>
      <c r="H299" s="263">
        <v>5.4899999999999997E-2</v>
      </c>
      <c r="I299" s="265">
        <v>45</v>
      </c>
      <c r="J299" s="263">
        <v>0.73499999999999999</v>
      </c>
      <c r="K299" s="282">
        <v>0.75</v>
      </c>
      <c r="L299" s="263">
        <v>134</v>
      </c>
      <c r="M299" s="283" t="s">
        <v>907</v>
      </c>
      <c r="N299" s="177"/>
      <c r="O299" s="177"/>
    </row>
    <row r="300" spans="1:15" s="150" customFormat="1" ht="35.25" customHeight="1" thickBot="1">
      <c r="A300" s="262">
        <v>21</v>
      </c>
      <c r="B300" s="263" t="s">
        <v>847</v>
      </c>
      <c r="C300" s="284"/>
      <c r="D300" s="285" t="s">
        <v>418</v>
      </c>
      <c r="E300" s="286"/>
      <c r="F300" s="286"/>
      <c r="G300" s="286"/>
      <c r="H300" s="286"/>
      <c r="I300" s="285"/>
      <c r="J300" s="286"/>
      <c r="K300" s="287"/>
      <c r="L300" s="286"/>
      <c r="M300" s="288"/>
      <c r="N300" s="177"/>
      <c r="O300" s="177"/>
    </row>
    <row r="301" spans="1:15" s="150" customFormat="1" ht="35.25" customHeight="1" thickBot="1">
      <c r="A301" s="262">
        <v>22</v>
      </c>
      <c r="B301" s="263" t="s">
        <v>847</v>
      </c>
      <c r="C301" s="289"/>
      <c r="D301" s="290" t="s">
        <v>416</v>
      </c>
      <c r="E301" s="272"/>
      <c r="F301" s="272"/>
      <c r="G301" s="272"/>
      <c r="H301" s="272"/>
      <c r="I301" s="290"/>
      <c r="J301" s="272"/>
      <c r="K301" s="274"/>
      <c r="L301" s="272"/>
      <c r="M301" s="275"/>
      <c r="N301" s="177"/>
      <c r="O301" s="177"/>
    </row>
    <row r="302" spans="1:15" s="150" customFormat="1" ht="35.25" customHeight="1" thickBot="1">
      <c r="A302" s="262">
        <v>23</v>
      </c>
      <c r="B302" s="263" t="s">
        <v>847</v>
      </c>
      <c r="C302" s="291" t="s">
        <v>123</v>
      </c>
      <c r="D302" s="265" t="s">
        <v>1070</v>
      </c>
      <c r="E302" s="263"/>
      <c r="F302" s="263"/>
      <c r="G302" s="265"/>
      <c r="H302" s="265"/>
      <c r="I302" s="265"/>
      <c r="J302" s="265"/>
      <c r="K302" s="265"/>
      <c r="L302" s="265"/>
      <c r="M302" s="283"/>
      <c r="N302" s="177"/>
      <c r="O302" s="177"/>
    </row>
    <row r="303" spans="1:15" s="150" customFormat="1" ht="31.5" customHeight="1" thickBot="1">
      <c r="A303" s="262">
        <v>24</v>
      </c>
      <c r="B303" s="263" t="s">
        <v>847</v>
      </c>
      <c r="C303" s="291">
        <v>651128</v>
      </c>
      <c r="D303" s="265" t="s">
        <v>1071</v>
      </c>
      <c r="E303" s="263" t="s">
        <v>906</v>
      </c>
      <c r="F303" s="263" t="s">
        <v>911</v>
      </c>
      <c r="G303" s="263">
        <v>14</v>
      </c>
      <c r="H303" s="263">
        <v>3.9960000000000002E-2</v>
      </c>
      <c r="I303" s="263">
        <v>90</v>
      </c>
      <c r="J303" s="263">
        <v>1.1125</v>
      </c>
      <c r="K303" s="282">
        <v>0.22</v>
      </c>
      <c r="L303" s="263">
        <v>100</v>
      </c>
      <c r="M303" s="283" t="s">
        <v>907</v>
      </c>
      <c r="N303" s="177"/>
      <c r="O303" s="177"/>
    </row>
    <row r="304" spans="1:15" s="150" customFormat="1" ht="31.5" customHeight="1" thickBot="1">
      <c r="A304" s="262">
        <v>25</v>
      </c>
      <c r="B304" s="263" t="s">
        <v>847</v>
      </c>
      <c r="C304" s="291" t="s">
        <v>1072</v>
      </c>
      <c r="D304" s="265" t="s">
        <v>398</v>
      </c>
      <c r="E304" s="263" t="s">
        <v>1073</v>
      </c>
      <c r="F304" s="263" t="s">
        <v>846</v>
      </c>
      <c r="G304" s="263">
        <v>16</v>
      </c>
      <c r="H304" s="292">
        <v>0.24476000000000001</v>
      </c>
      <c r="I304" s="265">
        <v>30</v>
      </c>
      <c r="J304" s="293">
        <v>0.91249999999999998</v>
      </c>
      <c r="K304" s="282">
        <v>1.3919999999999999</v>
      </c>
      <c r="L304" s="263">
        <v>17</v>
      </c>
      <c r="M304" s="283" t="s">
        <v>887</v>
      </c>
      <c r="N304" s="175" t="s">
        <v>1074</v>
      </c>
      <c r="O304" s="175" t="s">
        <v>1075</v>
      </c>
    </row>
    <row r="305" spans="1:14" s="74" customFormat="1" ht="31.5" customHeight="1" thickBot="1">
      <c r="A305" s="262">
        <v>26</v>
      </c>
      <c r="B305" s="263" t="s">
        <v>847</v>
      </c>
      <c r="C305" s="291">
        <v>510090</v>
      </c>
      <c r="D305" s="265" t="s">
        <v>392</v>
      </c>
      <c r="E305" s="266" t="s">
        <v>910</v>
      </c>
      <c r="F305" s="266" t="s">
        <v>911</v>
      </c>
      <c r="G305" s="266">
        <v>12</v>
      </c>
      <c r="H305" s="266">
        <v>1.6E-2</v>
      </c>
      <c r="I305" s="266">
        <v>120</v>
      </c>
      <c r="J305" s="266">
        <v>6.32</v>
      </c>
      <c r="K305" s="268">
        <v>0.17</v>
      </c>
      <c r="L305" s="266">
        <v>201</v>
      </c>
      <c r="M305" s="269" t="s">
        <v>887</v>
      </c>
      <c r="N305" s="175" t="s">
        <v>933</v>
      </c>
    </row>
    <row r="306" spans="1:14" s="74" customFormat="1" ht="31.5" customHeight="1" thickBot="1">
      <c r="A306" s="262">
        <v>27</v>
      </c>
      <c r="B306" s="263" t="s">
        <v>847</v>
      </c>
      <c r="C306" s="289" t="s">
        <v>123</v>
      </c>
      <c r="D306" s="290" t="s">
        <v>393</v>
      </c>
      <c r="E306" s="272" t="s">
        <v>906</v>
      </c>
      <c r="F306" s="272" t="s">
        <v>846</v>
      </c>
      <c r="G306" s="272">
        <v>16</v>
      </c>
      <c r="H306" s="294">
        <v>1.1768000000000001E-2</v>
      </c>
      <c r="I306" s="290">
        <v>120</v>
      </c>
      <c r="J306" s="274">
        <v>1.7390000000000001</v>
      </c>
      <c r="K306" s="274">
        <v>0.34499999999999997</v>
      </c>
      <c r="L306" s="272">
        <v>402</v>
      </c>
      <c r="M306" s="275" t="s">
        <v>907</v>
      </c>
    </row>
    <row r="307" spans="1:14" s="74" customFormat="1" ht="31.5" customHeight="1" thickBot="1">
      <c r="A307" s="262">
        <v>28</v>
      </c>
      <c r="B307" s="263" t="s">
        <v>847</v>
      </c>
      <c r="C307" s="277" t="s">
        <v>123</v>
      </c>
      <c r="D307" s="277" t="s">
        <v>291</v>
      </c>
      <c r="E307" s="277" t="s">
        <v>845</v>
      </c>
      <c r="F307" s="277" t="s">
        <v>846</v>
      </c>
      <c r="G307" s="277">
        <v>16.2</v>
      </c>
      <c r="H307" s="277">
        <v>0.41199999999999998</v>
      </c>
      <c r="I307" s="278">
        <v>60</v>
      </c>
      <c r="J307" s="279">
        <f>1.602/2.2</f>
        <v>0.72818181818181815</v>
      </c>
      <c r="K307" s="279">
        <f>1.1183/2.2</f>
        <v>0.50831818181818178</v>
      </c>
      <c r="L307" s="277">
        <v>12</v>
      </c>
      <c r="M307" s="280" t="s">
        <v>907</v>
      </c>
    </row>
    <row r="308" spans="1:14" s="74" customFormat="1" ht="31.5" customHeight="1" thickBot="1">
      <c r="A308" s="262">
        <v>29</v>
      </c>
      <c r="B308" s="263" t="s">
        <v>847</v>
      </c>
      <c r="C308" s="277" t="s">
        <v>1076</v>
      </c>
      <c r="D308" s="277" t="s">
        <v>340</v>
      </c>
      <c r="E308" s="277" t="s">
        <v>845</v>
      </c>
      <c r="F308" s="277" t="s">
        <v>846</v>
      </c>
      <c r="G308" s="277">
        <v>16.2</v>
      </c>
      <c r="H308" s="277">
        <v>0.41199999999999998</v>
      </c>
      <c r="I308" s="278">
        <v>60</v>
      </c>
      <c r="J308" s="279">
        <f>1.602/2.2</f>
        <v>0.72818181818181815</v>
      </c>
      <c r="K308" s="279">
        <f>1.1183/2.2</f>
        <v>0.50831818181818178</v>
      </c>
      <c r="L308" s="277">
        <v>12</v>
      </c>
      <c r="M308" s="280" t="s">
        <v>907</v>
      </c>
    </row>
    <row r="309" spans="1:14" s="74" customFormat="1" ht="31.5" customHeight="1" thickBot="1">
      <c r="A309" s="262">
        <v>30</v>
      </c>
      <c r="B309" s="263" t="s">
        <v>847</v>
      </c>
      <c r="C309" s="295" t="s">
        <v>1077</v>
      </c>
      <c r="D309" s="296" t="s">
        <v>406</v>
      </c>
      <c r="E309" s="295" t="s">
        <v>845</v>
      </c>
      <c r="F309" s="295" t="s">
        <v>846</v>
      </c>
      <c r="G309" s="295">
        <v>16.2</v>
      </c>
      <c r="H309" s="295">
        <v>0.41199999999999998</v>
      </c>
      <c r="I309" s="296">
        <v>60</v>
      </c>
      <c r="J309" s="297">
        <f>1.602/2.2</f>
        <v>0.72818181818181815</v>
      </c>
      <c r="K309" s="297">
        <f>1.1183/2.2</f>
        <v>0.50831818181818178</v>
      </c>
      <c r="L309" s="298">
        <v>12</v>
      </c>
      <c r="M309" s="295" t="s">
        <v>907</v>
      </c>
    </row>
    <row r="310" spans="1:14" s="74" customFormat="1" ht="31.5" customHeight="1" thickBot="1">
      <c r="A310" s="262">
        <v>31</v>
      </c>
      <c r="B310" s="263" t="s">
        <v>847</v>
      </c>
      <c r="C310" s="277" t="s">
        <v>1076</v>
      </c>
      <c r="D310" s="278" t="s">
        <v>449</v>
      </c>
      <c r="E310" s="277" t="s">
        <v>845</v>
      </c>
      <c r="F310" s="277" t="s">
        <v>846</v>
      </c>
      <c r="G310" s="277">
        <v>16.2</v>
      </c>
      <c r="H310" s="277">
        <v>0.41199999999999998</v>
      </c>
      <c r="I310" s="278">
        <v>60</v>
      </c>
      <c r="J310" s="279">
        <f>1.602/2.2</f>
        <v>0.72818181818181815</v>
      </c>
      <c r="K310" s="279">
        <f>1.1183/2.2</f>
        <v>0.50831818181818178</v>
      </c>
      <c r="L310" s="277">
        <v>12</v>
      </c>
      <c r="M310" s="280" t="s">
        <v>907</v>
      </c>
    </row>
    <row r="311" spans="1:14" s="74" customFormat="1" ht="31.5" customHeight="1" thickBot="1">
      <c r="A311" s="262">
        <v>32</v>
      </c>
      <c r="B311" s="263" t="s">
        <v>847</v>
      </c>
      <c r="C311" s="263" t="s">
        <v>272</v>
      </c>
      <c r="D311" s="265" t="s">
        <v>271</v>
      </c>
      <c r="E311" s="263" t="s">
        <v>898</v>
      </c>
      <c r="F311" s="263" t="s">
        <v>846</v>
      </c>
      <c r="G311" s="263">
        <v>8</v>
      </c>
      <c r="H311" s="263">
        <v>2.48E-3</v>
      </c>
      <c r="I311" s="263">
        <v>150</v>
      </c>
      <c r="J311" s="263">
        <v>7.3</v>
      </c>
      <c r="K311" s="292">
        <v>0.14899999999999999</v>
      </c>
      <c r="L311" s="263">
        <v>170</v>
      </c>
      <c r="M311" s="283" t="s">
        <v>887</v>
      </c>
    </row>
    <row r="312" spans="1:14" s="74" customFormat="1" ht="33.75" customHeight="1" thickBot="1">
      <c r="A312" s="262">
        <v>33</v>
      </c>
      <c r="B312" s="263" t="s">
        <v>847</v>
      </c>
      <c r="C312" s="289">
        <v>200101</v>
      </c>
      <c r="D312" s="272" t="s">
        <v>26</v>
      </c>
      <c r="E312" s="272" t="s">
        <v>1078</v>
      </c>
      <c r="F312" s="272" t="s">
        <v>846</v>
      </c>
      <c r="G312" s="272">
        <v>10</v>
      </c>
      <c r="H312" s="272">
        <v>3.3599999999999998E-2</v>
      </c>
      <c r="I312" s="290">
        <v>90</v>
      </c>
      <c r="J312" s="290">
        <v>2.3370000000000002</v>
      </c>
      <c r="K312" s="294">
        <v>0.19667000000000001</v>
      </c>
      <c r="L312" s="272">
        <v>55</v>
      </c>
      <c r="M312" s="275" t="s">
        <v>887</v>
      </c>
    </row>
    <row r="313" spans="1:14" s="74" customFormat="1" ht="48.75" customHeight="1" thickBot="1">
      <c r="A313" s="262">
        <v>34</v>
      </c>
      <c r="B313" s="263" t="s">
        <v>847</v>
      </c>
      <c r="C313" s="299" t="s">
        <v>244</v>
      </c>
      <c r="D313" s="298" t="s">
        <v>243</v>
      </c>
      <c r="E313" s="298" t="s">
        <v>906</v>
      </c>
      <c r="F313" s="298" t="s">
        <v>856</v>
      </c>
      <c r="G313" s="298">
        <v>8</v>
      </c>
      <c r="H313" s="298">
        <v>3.3999999999999998E-3</v>
      </c>
      <c r="I313" s="299">
        <v>240</v>
      </c>
      <c r="J313" s="299">
        <v>1.1299999999999999</v>
      </c>
      <c r="K313" s="300">
        <v>3.3300000000000003E-2</v>
      </c>
      <c r="L313" s="298">
        <v>373</v>
      </c>
      <c r="M313" s="301" t="s">
        <v>887</v>
      </c>
    </row>
    <row r="314" spans="1:14" s="74" customFormat="1" ht="42" customHeight="1" thickBot="1">
      <c r="A314" s="262">
        <v>35</v>
      </c>
      <c r="B314" s="263" t="s">
        <v>847</v>
      </c>
      <c r="C314" s="299" t="s">
        <v>1079</v>
      </c>
      <c r="D314" s="298" t="s">
        <v>488</v>
      </c>
      <c r="E314" s="298" t="s">
        <v>906</v>
      </c>
      <c r="F314" s="298" t="s">
        <v>856</v>
      </c>
      <c r="G314" s="298">
        <v>8</v>
      </c>
      <c r="H314" s="298">
        <v>3.3999999999999998E-3</v>
      </c>
      <c r="I314" s="299">
        <v>600</v>
      </c>
      <c r="J314" s="299">
        <v>1.1299999999999999</v>
      </c>
      <c r="K314" s="300">
        <v>3.3300000000000003E-2</v>
      </c>
      <c r="L314" s="298">
        <v>373</v>
      </c>
      <c r="M314" s="301" t="s">
        <v>887</v>
      </c>
    </row>
    <row r="315" spans="1:14" s="74" customFormat="1" ht="31.5" customHeight="1" thickBot="1">
      <c r="A315" s="262">
        <v>36</v>
      </c>
      <c r="B315" s="263" t="s">
        <v>847</v>
      </c>
      <c r="C315" s="289">
        <v>510020</v>
      </c>
      <c r="D315" s="272" t="s">
        <v>280</v>
      </c>
      <c r="E315" s="272" t="s">
        <v>910</v>
      </c>
      <c r="F315" s="272" t="s">
        <v>856</v>
      </c>
      <c r="G315" s="272">
        <v>8</v>
      </c>
      <c r="H315" s="272">
        <v>4.0000000000000001E-3</v>
      </c>
      <c r="I315" s="290">
        <v>180</v>
      </c>
      <c r="J315" s="290">
        <v>3.9</v>
      </c>
      <c r="K315" s="294">
        <v>5.7500000000000002E-2</v>
      </c>
      <c r="L315" s="272">
        <v>352</v>
      </c>
      <c r="M315" s="275" t="s">
        <v>887</v>
      </c>
    </row>
    <row r="316" spans="1:14" s="74" customFormat="1" ht="31.5" customHeight="1" thickBot="1">
      <c r="A316" s="262">
        <v>37</v>
      </c>
      <c r="B316" s="263" t="s">
        <v>847</v>
      </c>
      <c r="C316" s="289">
        <v>43563</v>
      </c>
      <c r="D316" s="272" t="s">
        <v>74</v>
      </c>
      <c r="E316" s="272" t="s">
        <v>859</v>
      </c>
      <c r="F316" s="272" t="s">
        <v>846</v>
      </c>
      <c r="G316" s="272">
        <v>16</v>
      </c>
      <c r="H316" s="272">
        <v>4.7309999999999998E-2</v>
      </c>
      <c r="I316" s="290">
        <v>90</v>
      </c>
      <c r="J316" s="290">
        <v>1.01</v>
      </c>
      <c r="K316" s="274">
        <v>0.14000000000000001</v>
      </c>
      <c r="L316" s="272">
        <v>100</v>
      </c>
      <c r="M316" s="275" t="s">
        <v>907</v>
      </c>
    </row>
    <row r="317" spans="1:14" s="74" customFormat="1" ht="31.5" customHeight="1" thickBot="1">
      <c r="A317" s="262">
        <v>38</v>
      </c>
      <c r="B317" s="263" t="s">
        <v>847</v>
      </c>
      <c r="C317" s="272" t="s">
        <v>28</v>
      </c>
      <c r="D317" s="272" t="s">
        <v>29</v>
      </c>
      <c r="E317" s="290" t="s">
        <v>1080</v>
      </c>
      <c r="F317" s="290" t="s">
        <v>846</v>
      </c>
      <c r="G317" s="290">
        <v>10</v>
      </c>
      <c r="H317" s="290">
        <v>4.2976739999999996E-3</v>
      </c>
      <c r="I317" s="278">
        <v>75</v>
      </c>
      <c r="J317" s="290">
        <v>2.883</v>
      </c>
      <c r="K317" s="302">
        <v>0.18</v>
      </c>
      <c r="L317" s="272">
        <v>430</v>
      </c>
      <c r="M317" s="275" t="s">
        <v>907</v>
      </c>
    </row>
    <row r="318" spans="1:14" s="74" customFormat="1" ht="36.75" customHeight="1" thickBot="1">
      <c r="A318" s="262">
        <v>39</v>
      </c>
      <c r="B318" s="263" t="s">
        <v>847</v>
      </c>
      <c r="C318" s="289" t="s">
        <v>31</v>
      </c>
      <c r="D318" s="272" t="s">
        <v>32</v>
      </c>
      <c r="E318" s="272" t="s">
        <v>845</v>
      </c>
      <c r="F318" s="272" t="s">
        <v>856</v>
      </c>
      <c r="G318" s="272">
        <v>17</v>
      </c>
      <c r="H318" s="272">
        <v>4.9000000000000002E-2</v>
      </c>
      <c r="I318" s="290">
        <v>454</v>
      </c>
      <c r="J318" s="289">
        <v>0.67</v>
      </c>
      <c r="K318" s="303">
        <v>0.14000000000000001</v>
      </c>
      <c r="L318" s="272">
        <v>120</v>
      </c>
      <c r="M318" s="275" t="s">
        <v>907</v>
      </c>
    </row>
    <row r="319" spans="1:14" s="74" customFormat="1" ht="31.5" customHeight="1" thickBot="1">
      <c r="A319" s="262">
        <v>40</v>
      </c>
      <c r="B319" s="263" t="s">
        <v>847</v>
      </c>
      <c r="C319" s="304" t="s">
        <v>285</v>
      </c>
      <c r="D319" s="305" t="s">
        <v>33</v>
      </c>
      <c r="E319" s="306" t="s">
        <v>906</v>
      </c>
      <c r="F319" s="306" t="s">
        <v>846</v>
      </c>
      <c r="G319" s="306">
        <v>50</v>
      </c>
      <c r="H319" s="306">
        <v>0.45</v>
      </c>
      <c r="I319" s="305">
        <v>24</v>
      </c>
      <c r="J319" s="305">
        <v>0</v>
      </c>
      <c r="K319" s="307">
        <f>0.682/2.4</f>
        <v>0.28416666666666668</v>
      </c>
      <c r="L319" s="306">
        <v>0</v>
      </c>
      <c r="M319" s="308" t="s">
        <v>887</v>
      </c>
    </row>
    <row r="320" spans="1:14" s="74" customFormat="1" ht="31.5" customHeight="1" thickBot="1">
      <c r="A320" s="262">
        <v>41</v>
      </c>
      <c r="B320" s="263" t="s">
        <v>847</v>
      </c>
      <c r="C320" s="272" t="s">
        <v>30</v>
      </c>
      <c r="D320" s="272" t="s">
        <v>756</v>
      </c>
      <c r="E320" s="272" t="s">
        <v>898</v>
      </c>
      <c r="F320" s="272" t="s">
        <v>846</v>
      </c>
      <c r="G320" s="272">
        <v>20</v>
      </c>
      <c r="H320" s="272">
        <v>2.2700000000000001E-2</v>
      </c>
      <c r="I320" s="309">
        <v>45</v>
      </c>
      <c r="J320" s="290">
        <v>4.5999999999999996</v>
      </c>
      <c r="K320" s="274">
        <v>0.4</v>
      </c>
      <c r="L320" s="272">
        <v>116</v>
      </c>
      <c r="M320" s="275" t="s">
        <v>887</v>
      </c>
      <c r="N320" s="310">
        <v>280</v>
      </c>
    </row>
    <row r="321" spans="1:14" s="74" customFormat="1" ht="31.5" customHeight="1" thickBot="1">
      <c r="A321" s="262">
        <v>42</v>
      </c>
      <c r="B321" s="263" t="s">
        <v>847</v>
      </c>
      <c r="C321" s="311">
        <v>43585</v>
      </c>
      <c r="D321" s="312" t="s">
        <v>84</v>
      </c>
      <c r="E321" s="312" t="s">
        <v>1081</v>
      </c>
      <c r="F321" s="312" t="s">
        <v>846</v>
      </c>
      <c r="G321" s="312">
        <v>20</v>
      </c>
      <c r="H321" s="312">
        <v>0.61624999999999996</v>
      </c>
      <c r="I321" s="313">
        <v>36</v>
      </c>
      <c r="J321" s="313">
        <v>1.05</v>
      </c>
      <c r="K321" s="314">
        <v>1.35</v>
      </c>
      <c r="L321" s="312">
        <v>12</v>
      </c>
      <c r="M321" s="315" t="s">
        <v>907</v>
      </c>
    </row>
    <row r="322" spans="1:14" s="74" customFormat="1" ht="31.5" customHeight="1" thickBot="1">
      <c r="A322" s="262">
        <v>43</v>
      </c>
      <c r="B322" s="263" t="s">
        <v>847</v>
      </c>
      <c r="C322" s="289" t="s">
        <v>303</v>
      </c>
      <c r="D322" s="316" t="s">
        <v>1082</v>
      </c>
      <c r="E322" s="272" t="s">
        <v>910</v>
      </c>
      <c r="F322" s="272" t="s">
        <v>846</v>
      </c>
      <c r="G322" s="272">
        <v>10.5</v>
      </c>
      <c r="H322" s="272">
        <v>2.12E-2</v>
      </c>
      <c r="I322" s="290">
        <v>90</v>
      </c>
      <c r="J322" s="290">
        <v>2.8290000000000002</v>
      </c>
      <c r="K322" s="274">
        <v>0.09</v>
      </c>
      <c r="L322" s="272">
        <v>106</v>
      </c>
      <c r="M322" s="275" t="s">
        <v>907</v>
      </c>
    </row>
    <row r="323" spans="1:14" s="74" customFormat="1" ht="31.5" customHeight="1" thickBot="1">
      <c r="A323" s="262">
        <v>44</v>
      </c>
      <c r="B323" s="263" t="s">
        <v>847</v>
      </c>
      <c r="C323" s="289">
        <v>512800</v>
      </c>
      <c r="D323" s="316" t="s">
        <v>302</v>
      </c>
      <c r="E323" s="272" t="s">
        <v>910</v>
      </c>
      <c r="F323" s="272" t="s">
        <v>846</v>
      </c>
      <c r="G323" s="272">
        <v>7</v>
      </c>
      <c r="H323" s="272">
        <v>9.4999999999999998E-3</v>
      </c>
      <c r="I323" s="290">
        <v>180</v>
      </c>
      <c r="J323" s="290">
        <v>5.2</v>
      </c>
      <c r="K323" s="274">
        <v>0.09</v>
      </c>
      <c r="L323" s="272">
        <v>104</v>
      </c>
      <c r="M323" s="275" t="s">
        <v>907</v>
      </c>
    </row>
    <row r="324" spans="1:14" s="318" customFormat="1" ht="31.5" customHeight="1" thickBot="1">
      <c r="A324" s="262">
        <v>45</v>
      </c>
      <c r="B324" s="263" t="s">
        <v>847</v>
      </c>
      <c r="C324" s="317">
        <v>43582</v>
      </c>
      <c r="D324" s="286" t="s">
        <v>79</v>
      </c>
      <c r="E324" s="286" t="s">
        <v>1081</v>
      </c>
      <c r="F324" s="286" t="s">
        <v>846</v>
      </c>
      <c r="G324" s="286">
        <v>20</v>
      </c>
      <c r="H324" s="286">
        <v>0.56884000000000001</v>
      </c>
      <c r="I324" s="285">
        <v>36</v>
      </c>
      <c r="J324" s="285">
        <v>1.05</v>
      </c>
      <c r="K324" s="287">
        <v>1.25</v>
      </c>
      <c r="L324" s="286">
        <v>13</v>
      </c>
      <c r="M324" s="286" t="s">
        <v>907</v>
      </c>
      <c r="N324" s="74"/>
    </row>
    <row r="325" spans="1:14" s="318" customFormat="1" ht="31.5" customHeight="1" thickBot="1">
      <c r="A325" s="262">
        <v>46</v>
      </c>
      <c r="B325" s="263" t="s">
        <v>847</v>
      </c>
      <c r="C325" s="319" t="s">
        <v>214</v>
      </c>
      <c r="D325" s="272" t="s">
        <v>219</v>
      </c>
      <c r="E325" s="272" t="s">
        <v>1083</v>
      </c>
      <c r="F325" s="272" t="s">
        <v>846</v>
      </c>
      <c r="G325" s="272">
        <v>25</v>
      </c>
      <c r="H325" s="272">
        <v>5.6800000000000003E-2</v>
      </c>
      <c r="I325" s="290">
        <v>45</v>
      </c>
      <c r="J325" s="278">
        <v>6.4</v>
      </c>
      <c r="K325" s="274">
        <v>0.8</v>
      </c>
      <c r="L325" s="272">
        <v>38</v>
      </c>
      <c r="M325" s="275" t="s">
        <v>907</v>
      </c>
      <c r="N325" s="74"/>
    </row>
    <row r="326" spans="1:14" s="318" customFormat="1" ht="35.25" customHeight="1" thickBot="1">
      <c r="A326" s="262">
        <v>47</v>
      </c>
      <c r="B326" s="263" t="s">
        <v>847</v>
      </c>
      <c r="C326" s="320" t="s">
        <v>1084</v>
      </c>
      <c r="D326" s="321" t="s">
        <v>307</v>
      </c>
      <c r="E326" s="321" t="s">
        <v>906</v>
      </c>
      <c r="F326" s="321" t="s">
        <v>846</v>
      </c>
      <c r="G326" s="321">
        <v>22</v>
      </c>
      <c r="H326" s="321">
        <v>6.88E-2</v>
      </c>
      <c r="I326" s="322">
        <v>60</v>
      </c>
      <c r="J326" s="323">
        <v>1</v>
      </c>
      <c r="K326" s="324">
        <v>2.3889999999999998</v>
      </c>
      <c r="L326" s="321">
        <v>130</v>
      </c>
      <c r="M326" s="325" t="s">
        <v>887</v>
      </c>
      <c r="N326" s="74"/>
    </row>
    <row r="327" spans="1:14" s="318" customFormat="1" ht="31.5" customHeight="1" thickBot="1">
      <c r="A327" s="262">
        <v>48</v>
      </c>
      <c r="B327" s="263" t="s">
        <v>847</v>
      </c>
      <c r="C327" s="326" t="s">
        <v>1085</v>
      </c>
      <c r="D327" s="321" t="s">
        <v>322</v>
      </c>
      <c r="E327" s="321" t="s">
        <v>906</v>
      </c>
      <c r="F327" s="321" t="s">
        <v>846</v>
      </c>
      <c r="G327" s="321">
        <v>22</v>
      </c>
      <c r="H327" s="321">
        <v>6.88E-2</v>
      </c>
      <c r="I327" s="322">
        <v>27</v>
      </c>
      <c r="J327" s="323">
        <v>0</v>
      </c>
      <c r="K327" s="324">
        <v>1.1111</v>
      </c>
      <c r="L327" s="321">
        <v>0</v>
      </c>
      <c r="M327" s="325" t="s">
        <v>887</v>
      </c>
      <c r="N327" s="74"/>
    </row>
    <row r="328" spans="1:14" s="74" customFormat="1" ht="31.5" customHeight="1" thickBot="1">
      <c r="A328" s="262">
        <v>49</v>
      </c>
      <c r="B328" s="263" t="s">
        <v>847</v>
      </c>
      <c r="C328" s="311" t="s">
        <v>1086</v>
      </c>
      <c r="D328" s="312" t="s">
        <v>309</v>
      </c>
      <c r="E328" s="312" t="s">
        <v>903</v>
      </c>
      <c r="F328" s="312" t="s">
        <v>846</v>
      </c>
      <c r="G328" s="312">
        <v>6.5</v>
      </c>
      <c r="H328" s="312">
        <v>2.1299999999999999E-3</v>
      </c>
      <c r="I328" s="299">
        <v>50</v>
      </c>
      <c r="J328" s="313">
        <v>3.49</v>
      </c>
      <c r="K328" s="314">
        <v>0.24</v>
      </c>
      <c r="L328" s="312">
        <v>366</v>
      </c>
      <c r="M328" s="315" t="s">
        <v>907</v>
      </c>
    </row>
    <row r="329" spans="1:14" s="74" customFormat="1" ht="31.5" customHeight="1" thickBot="1">
      <c r="A329" s="262">
        <v>50</v>
      </c>
      <c r="B329" s="263" t="s">
        <v>847</v>
      </c>
      <c r="C329" s="327" t="s">
        <v>217</v>
      </c>
      <c r="D329" s="306" t="s">
        <v>216</v>
      </c>
      <c r="E329" s="306" t="s">
        <v>1087</v>
      </c>
      <c r="F329" s="306" t="s">
        <v>846</v>
      </c>
      <c r="G329" s="306">
        <v>12</v>
      </c>
      <c r="H329" s="306">
        <v>2.0799999999999998E-3</v>
      </c>
      <c r="I329" s="327">
        <v>120</v>
      </c>
      <c r="J329" s="306">
        <v>8.35</v>
      </c>
      <c r="K329" s="328">
        <v>0.1583</v>
      </c>
      <c r="L329" s="306">
        <v>245</v>
      </c>
      <c r="M329" s="308" t="s">
        <v>907</v>
      </c>
    </row>
    <row r="330" spans="1:14" s="74" customFormat="1" ht="35.25" customHeight="1" thickBot="1">
      <c r="A330" s="262">
        <v>51</v>
      </c>
      <c r="B330" s="263" t="s">
        <v>847</v>
      </c>
      <c r="C330" s="327" t="s">
        <v>220</v>
      </c>
      <c r="D330" s="327" t="s">
        <v>1088</v>
      </c>
      <c r="E330" s="327" t="s">
        <v>1087</v>
      </c>
      <c r="F330" s="327" t="s">
        <v>846</v>
      </c>
      <c r="G330" s="327">
        <v>12</v>
      </c>
      <c r="H330" s="327">
        <v>2.0799999999999998E-3</v>
      </c>
      <c r="I330" s="327">
        <v>120</v>
      </c>
      <c r="J330" s="306">
        <v>8.35</v>
      </c>
      <c r="K330" s="329">
        <v>0.1583</v>
      </c>
      <c r="L330" s="306">
        <v>245</v>
      </c>
      <c r="M330" s="330" t="s">
        <v>887</v>
      </c>
    </row>
    <row r="331" spans="1:14" s="74" customFormat="1" ht="31.5" customHeight="1" thickBot="1">
      <c r="A331" s="262">
        <v>52</v>
      </c>
      <c r="B331" s="263" t="s">
        <v>847</v>
      </c>
      <c r="C331" s="331" t="s">
        <v>403</v>
      </c>
      <c r="D331" s="327" t="s">
        <v>408</v>
      </c>
      <c r="E331" s="327" t="s">
        <v>1087</v>
      </c>
      <c r="F331" s="327" t="s">
        <v>846</v>
      </c>
      <c r="G331" s="327">
        <v>12</v>
      </c>
      <c r="H331" s="327">
        <v>2.0799999999999998E-3</v>
      </c>
      <c r="I331" s="327">
        <v>240</v>
      </c>
      <c r="J331" s="327">
        <v>0</v>
      </c>
      <c r="K331" s="332">
        <v>4.1669999999999999E-2</v>
      </c>
      <c r="L331" s="327">
        <v>0</v>
      </c>
      <c r="M331" s="330" t="s">
        <v>887</v>
      </c>
    </row>
    <row r="332" spans="1:14" s="74" customFormat="1" ht="31.5" customHeight="1" thickBot="1">
      <c r="A332" s="262">
        <v>53</v>
      </c>
      <c r="B332" s="263" t="s">
        <v>847</v>
      </c>
      <c r="C332" s="333" t="s">
        <v>1089</v>
      </c>
      <c r="D332" s="333" t="s">
        <v>1090</v>
      </c>
      <c r="E332" s="333" t="s">
        <v>1087</v>
      </c>
      <c r="F332" s="333" t="s">
        <v>846</v>
      </c>
      <c r="G332" s="333">
        <v>12</v>
      </c>
      <c r="H332" s="333">
        <v>2.0799999999999998E-3</v>
      </c>
      <c r="I332" s="333">
        <v>360</v>
      </c>
      <c r="J332" s="333">
        <v>0</v>
      </c>
      <c r="K332" s="332">
        <v>4.1669999999999999E-2</v>
      </c>
      <c r="L332" s="333">
        <v>0</v>
      </c>
      <c r="M332" s="334" t="s">
        <v>907</v>
      </c>
    </row>
    <row r="333" spans="1:14" s="74" customFormat="1" ht="31.5" customHeight="1" thickBot="1">
      <c r="A333" s="262">
        <v>54</v>
      </c>
      <c r="B333" s="263" t="s">
        <v>847</v>
      </c>
      <c r="C333" s="289" t="s">
        <v>1091</v>
      </c>
      <c r="D333" s="272" t="s">
        <v>134</v>
      </c>
      <c r="E333" s="272" t="s">
        <v>906</v>
      </c>
      <c r="F333" s="272" t="s">
        <v>846</v>
      </c>
      <c r="G333" s="272">
        <v>6</v>
      </c>
      <c r="H333" s="272">
        <v>3.0200000000000001E-2</v>
      </c>
      <c r="I333" s="290">
        <v>120</v>
      </c>
      <c r="J333" s="290">
        <v>1.04</v>
      </c>
      <c r="K333" s="272">
        <v>0.13200000000000001</v>
      </c>
      <c r="L333" s="272">
        <v>22</v>
      </c>
      <c r="M333" s="335" t="s">
        <v>907</v>
      </c>
      <c r="N333" s="336"/>
    </row>
    <row r="334" spans="1:14" s="74" customFormat="1" ht="31.5" customHeight="1" thickBot="1">
      <c r="A334" s="262">
        <v>55</v>
      </c>
      <c r="B334" s="263" t="s">
        <v>847</v>
      </c>
      <c r="C334" s="272" t="s">
        <v>1092</v>
      </c>
      <c r="D334" s="272" t="s">
        <v>1093</v>
      </c>
      <c r="E334" s="272" t="s">
        <v>906</v>
      </c>
      <c r="F334" s="272" t="s">
        <v>846</v>
      </c>
      <c r="G334" s="272">
        <v>6</v>
      </c>
      <c r="H334" s="272">
        <v>6.6600000000000006E-2</v>
      </c>
      <c r="I334" s="272">
        <v>110</v>
      </c>
      <c r="J334" s="272">
        <v>1.04</v>
      </c>
      <c r="K334" s="274">
        <v>0.2</v>
      </c>
      <c r="L334" s="272">
        <v>10</v>
      </c>
      <c r="M334" s="272" t="s">
        <v>907</v>
      </c>
      <c r="N334" s="336"/>
    </row>
    <row r="335" spans="1:14" s="74" customFormat="1" ht="31.5" customHeight="1" thickBot="1">
      <c r="A335" s="262">
        <v>56</v>
      </c>
      <c r="B335" s="263" t="s">
        <v>847</v>
      </c>
      <c r="C335" s="272" t="s">
        <v>1094</v>
      </c>
      <c r="D335" s="290" t="s">
        <v>218</v>
      </c>
      <c r="E335" s="272" t="s">
        <v>1087</v>
      </c>
      <c r="F335" s="272" t="s">
        <v>846</v>
      </c>
      <c r="G335" s="272">
        <v>12</v>
      </c>
      <c r="H335" s="337">
        <v>1.04E-2</v>
      </c>
      <c r="I335" s="272">
        <v>95</v>
      </c>
      <c r="J335" s="272">
        <v>8.35</v>
      </c>
      <c r="K335" s="272">
        <v>0.29399999999999998</v>
      </c>
      <c r="L335" s="272">
        <v>49</v>
      </c>
      <c r="M335" s="338" t="s">
        <v>907</v>
      </c>
      <c r="N335" s="336"/>
    </row>
    <row r="336" spans="1:14" s="74" customFormat="1" ht="31.5" customHeight="1" thickBot="1">
      <c r="A336" s="262">
        <v>57</v>
      </c>
      <c r="B336" s="263" t="s">
        <v>847</v>
      </c>
      <c r="C336" s="272">
        <v>355306</v>
      </c>
      <c r="D336" s="272" t="s">
        <v>46</v>
      </c>
      <c r="E336" s="272" t="s">
        <v>906</v>
      </c>
      <c r="F336" s="272" t="s">
        <v>846</v>
      </c>
      <c r="G336" s="272">
        <v>9</v>
      </c>
      <c r="H336" s="337">
        <v>1.01E-2</v>
      </c>
      <c r="I336" s="272">
        <v>180</v>
      </c>
      <c r="J336" s="272">
        <v>0.99</v>
      </c>
      <c r="K336" s="274">
        <v>7.8E-2</v>
      </c>
      <c r="L336" s="272">
        <v>148</v>
      </c>
      <c r="M336" s="283" t="s">
        <v>887</v>
      </c>
      <c r="N336" s="310">
        <v>500</v>
      </c>
    </row>
    <row r="337" spans="1:14" s="74" customFormat="1" ht="31.5" customHeight="1" thickBot="1">
      <c r="A337" s="262">
        <v>58</v>
      </c>
      <c r="B337" s="263" t="s">
        <v>847</v>
      </c>
      <c r="C337" s="291">
        <v>200300</v>
      </c>
      <c r="D337" s="263" t="s">
        <v>247</v>
      </c>
      <c r="E337" s="266" t="s">
        <v>1078</v>
      </c>
      <c r="F337" s="266" t="s">
        <v>846</v>
      </c>
      <c r="G337" s="266">
        <v>16</v>
      </c>
      <c r="H337" s="266">
        <v>0.29499999999999998</v>
      </c>
      <c r="I337" s="266">
        <v>43</v>
      </c>
      <c r="J337" s="266">
        <v>2.4950000000000001</v>
      </c>
      <c r="K337" s="268">
        <v>1.5569999999999999</v>
      </c>
      <c r="L337" s="263">
        <v>16</v>
      </c>
      <c r="M337" s="283" t="s">
        <v>907</v>
      </c>
    </row>
    <row r="338" spans="1:14" s="74" customFormat="1" ht="31.5" customHeight="1" thickBot="1">
      <c r="A338" s="262">
        <v>59</v>
      </c>
      <c r="B338" s="263" t="s">
        <v>847</v>
      </c>
      <c r="C338" s="289">
        <v>200200</v>
      </c>
      <c r="D338" s="272" t="s">
        <v>115</v>
      </c>
      <c r="E338" s="272" t="s">
        <v>910</v>
      </c>
      <c r="F338" s="272" t="s">
        <v>846</v>
      </c>
      <c r="G338" s="272">
        <v>22</v>
      </c>
      <c r="H338" s="289">
        <v>0.15090000000000001</v>
      </c>
      <c r="I338" s="289">
        <v>45</v>
      </c>
      <c r="J338" s="289">
        <v>5.71</v>
      </c>
      <c r="K338" s="339">
        <v>1.7050000000000001</v>
      </c>
      <c r="L338" s="272">
        <v>65</v>
      </c>
      <c r="M338" s="275" t="s">
        <v>887</v>
      </c>
    </row>
    <row r="339" spans="1:14" s="74" customFormat="1" ht="36.75" customHeight="1" thickBot="1">
      <c r="A339" s="262">
        <v>60</v>
      </c>
      <c r="B339" s="263" t="s">
        <v>847</v>
      </c>
      <c r="C339" s="340">
        <v>510081</v>
      </c>
      <c r="D339" s="305" t="s">
        <v>338</v>
      </c>
      <c r="E339" s="306" t="s">
        <v>845</v>
      </c>
      <c r="F339" s="306" t="s">
        <v>846</v>
      </c>
      <c r="G339" s="306">
        <v>20</v>
      </c>
      <c r="H339" s="306">
        <v>8.2170000000000007E-2</v>
      </c>
      <c r="I339" s="305">
        <v>90</v>
      </c>
      <c r="J339" s="305">
        <v>1.145</v>
      </c>
      <c r="K339" s="341">
        <v>8.8900000000000007E-2</v>
      </c>
      <c r="L339" s="306">
        <v>90</v>
      </c>
      <c r="M339" s="308" t="s">
        <v>887</v>
      </c>
      <c r="N339" s="342">
        <v>350</v>
      </c>
    </row>
    <row r="340" spans="1:14" s="74" customFormat="1" ht="36.75" customHeight="1" thickBot="1">
      <c r="A340" s="262">
        <v>61</v>
      </c>
      <c r="B340" s="263" t="s">
        <v>847</v>
      </c>
      <c r="C340" s="321">
        <v>510087</v>
      </c>
      <c r="D340" s="323" t="s">
        <v>73</v>
      </c>
      <c r="E340" s="321" t="s">
        <v>845</v>
      </c>
      <c r="F340" s="321" t="s">
        <v>846</v>
      </c>
      <c r="G340" s="321">
        <v>20</v>
      </c>
      <c r="H340" s="321">
        <v>5.4399999999999997E-2</v>
      </c>
      <c r="I340" s="323">
        <v>90</v>
      </c>
      <c r="J340" s="343">
        <v>1.121</v>
      </c>
      <c r="K340" s="324">
        <v>0.2</v>
      </c>
      <c r="L340" s="321">
        <v>136</v>
      </c>
      <c r="M340" s="325" t="s">
        <v>887</v>
      </c>
      <c r="N340" s="318"/>
    </row>
    <row r="341" spans="1:14" s="74" customFormat="1" ht="36.75" customHeight="1" thickBot="1">
      <c r="A341" s="262">
        <v>62</v>
      </c>
      <c r="B341" s="263" t="s">
        <v>847</v>
      </c>
      <c r="C341" s="344" t="s">
        <v>345</v>
      </c>
      <c r="D341" s="323" t="s">
        <v>344</v>
      </c>
      <c r="E341" s="321" t="s">
        <v>906</v>
      </c>
      <c r="F341" s="321" t="s">
        <v>846</v>
      </c>
      <c r="G341" s="321">
        <v>8</v>
      </c>
      <c r="H341" s="321">
        <v>7.7000000000000002E-3</v>
      </c>
      <c r="I341" s="322">
        <v>45</v>
      </c>
      <c r="J341" s="323">
        <v>1.03</v>
      </c>
      <c r="K341" s="324">
        <v>1.62</v>
      </c>
      <c r="L341" s="321">
        <v>151</v>
      </c>
      <c r="M341" s="325" t="s">
        <v>907</v>
      </c>
      <c r="N341" s="318"/>
    </row>
    <row r="342" spans="1:14" s="74" customFormat="1" ht="36.75" customHeight="1" thickBot="1">
      <c r="A342" s="262">
        <v>63</v>
      </c>
      <c r="B342" s="263" t="s">
        <v>847</v>
      </c>
      <c r="C342" s="306">
        <v>199400</v>
      </c>
      <c r="D342" s="306" t="s">
        <v>94</v>
      </c>
      <c r="E342" s="306" t="s">
        <v>906</v>
      </c>
      <c r="F342" s="306" t="s">
        <v>846</v>
      </c>
      <c r="G342" s="306">
        <v>6</v>
      </c>
      <c r="H342" s="306">
        <v>2.46E-2</v>
      </c>
      <c r="I342" s="306">
        <v>120</v>
      </c>
      <c r="J342" s="306">
        <v>1.04</v>
      </c>
      <c r="K342" s="345">
        <v>0.12</v>
      </c>
      <c r="L342" s="306">
        <v>27</v>
      </c>
      <c r="M342" s="308" t="s">
        <v>887</v>
      </c>
      <c r="N342" s="318"/>
    </row>
    <row r="343" spans="1:14" s="74" customFormat="1" ht="42.75" customHeight="1" thickBot="1">
      <c r="A343" s="262">
        <v>64</v>
      </c>
      <c r="B343" s="263" t="s">
        <v>847</v>
      </c>
      <c r="C343" s="346" t="s">
        <v>355</v>
      </c>
      <c r="D343" s="346" t="s">
        <v>348</v>
      </c>
      <c r="E343" s="346" t="s">
        <v>903</v>
      </c>
      <c r="F343" s="346" t="s">
        <v>856</v>
      </c>
      <c r="G343" s="346">
        <v>4</v>
      </c>
      <c r="H343" s="346">
        <v>4.8999999999999998E-3</v>
      </c>
      <c r="I343" s="346">
        <v>70</v>
      </c>
      <c r="J343" s="346">
        <v>4.4669999999999996</v>
      </c>
      <c r="K343" s="347">
        <v>0.28000000000000003</v>
      </c>
      <c r="L343" s="346">
        <v>66</v>
      </c>
      <c r="M343" s="348" t="s">
        <v>907</v>
      </c>
      <c r="N343" s="318"/>
    </row>
    <row r="344" spans="1:14" s="74" customFormat="1" ht="42.75" customHeight="1" thickBot="1">
      <c r="A344" s="262">
        <v>65</v>
      </c>
      <c r="B344" s="263" t="s">
        <v>847</v>
      </c>
      <c r="C344" s="306" t="s">
        <v>1095</v>
      </c>
      <c r="D344" s="306" t="s">
        <v>356</v>
      </c>
      <c r="E344" s="306" t="s">
        <v>848</v>
      </c>
      <c r="F344" s="306" t="s">
        <v>846</v>
      </c>
      <c r="G344" s="306">
        <v>14</v>
      </c>
      <c r="H344" s="306">
        <v>6.5890000000000004E-2</v>
      </c>
      <c r="I344" s="306">
        <v>27</v>
      </c>
      <c r="J344" s="306">
        <v>3.26</v>
      </c>
      <c r="K344" s="345">
        <v>0.87</v>
      </c>
      <c r="L344" s="306">
        <v>55</v>
      </c>
      <c r="M344" s="308" t="s">
        <v>887</v>
      </c>
      <c r="N344" s="310">
        <v>300</v>
      </c>
    </row>
    <row r="345" spans="1:14" s="74" customFormat="1" ht="42.75" customHeight="1" thickBot="1">
      <c r="A345" s="262">
        <v>66</v>
      </c>
      <c r="B345" s="263" t="s">
        <v>847</v>
      </c>
      <c r="C345" s="306" t="s">
        <v>201</v>
      </c>
      <c r="D345" s="306" t="s">
        <v>200</v>
      </c>
      <c r="E345" s="306" t="s">
        <v>898</v>
      </c>
      <c r="F345" s="349"/>
      <c r="G345" s="349"/>
      <c r="H345" s="349"/>
      <c r="I345" s="306">
        <v>100</v>
      </c>
      <c r="J345" s="349"/>
      <c r="K345" s="345">
        <v>0.5</v>
      </c>
      <c r="L345" s="349"/>
      <c r="M345" s="308" t="s">
        <v>887</v>
      </c>
      <c r="N345" s="350" t="s">
        <v>1096</v>
      </c>
    </row>
    <row r="346" spans="1:14" s="74" customFormat="1" ht="42.75" customHeight="1" thickBot="1">
      <c r="A346" s="262">
        <v>67</v>
      </c>
      <c r="B346" s="263" t="s">
        <v>847</v>
      </c>
      <c r="C346" s="306" t="s">
        <v>1097</v>
      </c>
      <c r="D346" s="321" t="s">
        <v>387</v>
      </c>
      <c r="E346" s="306" t="s">
        <v>898</v>
      </c>
      <c r="F346" s="349"/>
      <c r="G346" s="349"/>
      <c r="H346" s="349"/>
      <c r="I346" s="306">
        <v>67</v>
      </c>
      <c r="J346" s="349"/>
      <c r="K346" s="345">
        <v>0.5</v>
      </c>
      <c r="L346" s="349"/>
      <c r="M346" s="308" t="s">
        <v>887</v>
      </c>
      <c r="N346" s="350" t="s">
        <v>1096</v>
      </c>
    </row>
    <row r="347" spans="1:14" s="74" customFormat="1" ht="42.75" customHeight="1" thickBot="1">
      <c r="A347" s="262">
        <v>68</v>
      </c>
      <c r="B347" s="263" t="s">
        <v>847</v>
      </c>
      <c r="C347" s="321">
        <v>512520</v>
      </c>
      <c r="D347" s="321" t="s">
        <v>1098</v>
      </c>
      <c r="E347" s="323" t="s">
        <v>1099</v>
      </c>
      <c r="F347" s="321" t="s">
        <v>846</v>
      </c>
      <c r="G347" s="321">
        <v>16</v>
      </c>
      <c r="H347" s="321">
        <v>3.3500000000000002E-2</v>
      </c>
      <c r="I347" s="321">
        <v>52</v>
      </c>
      <c r="J347" s="321">
        <v>2.956</v>
      </c>
      <c r="K347" s="324">
        <v>0.52</v>
      </c>
      <c r="L347" s="321">
        <v>141</v>
      </c>
      <c r="M347" s="325" t="s">
        <v>887</v>
      </c>
      <c r="N347" s="175" t="s">
        <v>1100</v>
      </c>
    </row>
    <row r="348" spans="1:14" s="74" customFormat="1" ht="42.75" customHeight="1">
      <c r="A348" s="351">
        <v>69</v>
      </c>
      <c r="B348" s="286" t="s">
        <v>847</v>
      </c>
      <c r="C348" s="321">
        <v>510021</v>
      </c>
      <c r="D348" s="321" t="s">
        <v>363</v>
      </c>
      <c r="E348" s="323" t="s">
        <v>845</v>
      </c>
      <c r="F348" s="321" t="s">
        <v>1101</v>
      </c>
      <c r="G348" s="321">
        <v>10</v>
      </c>
      <c r="H348" s="321">
        <v>5.3499999999999999E-2</v>
      </c>
      <c r="I348" s="321">
        <v>51</v>
      </c>
      <c r="J348" s="321">
        <v>1.35</v>
      </c>
      <c r="K348" s="324">
        <v>0.52</v>
      </c>
      <c r="L348" s="321">
        <v>44</v>
      </c>
      <c r="M348" s="325" t="s">
        <v>907</v>
      </c>
    </row>
    <row r="349" spans="1:14" s="74" customFormat="1" ht="42.75" customHeight="1">
      <c r="A349" s="352">
        <v>70</v>
      </c>
      <c r="B349" s="353" t="s">
        <v>847</v>
      </c>
      <c r="C349" s="354" t="s">
        <v>747</v>
      </c>
      <c r="D349" s="354" t="s">
        <v>746</v>
      </c>
      <c r="E349" s="355" t="s">
        <v>910</v>
      </c>
      <c r="F349" s="354" t="s">
        <v>846</v>
      </c>
      <c r="G349" s="354">
        <v>12</v>
      </c>
      <c r="H349" s="354"/>
      <c r="I349" s="354"/>
      <c r="J349" s="354"/>
      <c r="K349" s="356">
        <f>0.35/2.9</f>
        <v>0.12068965517241378</v>
      </c>
      <c r="L349" s="354"/>
      <c r="M349" s="354"/>
    </row>
    <row r="350" spans="1:14" s="74" customFormat="1" ht="31.5" customHeight="1" thickBot="1">
      <c r="A350" s="262">
        <v>70</v>
      </c>
      <c r="B350" s="263" t="s">
        <v>847</v>
      </c>
      <c r="C350" s="357">
        <v>100623</v>
      </c>
      <c r="D350" s="358" t="s">
        <v>75</v>
      </c>
      <c r="E350" s="358" t="s">
        <v>848</v>
      </c>
      <c r="F350" s="358" t="s">
        <v>846</v>
      </c>
      <c r="G350" s="358">
        <v>6.4</v>
      </c>
      <c r="H350" s="357">
        <v>1.1350000000000001E-2</v>
      </c>
      <c r="I350" s="357">
        <v>100</v>
      </c>
      <c r="J350" s="357">
        <v>3.71</v>
      </c>
      <c r="K350" s="357">
        <v>0.127</v>
      </c>
      <c r="L350" s="358">
        <v>69</v>
      </c>
      <c r="M350" s="358" t="s">
        <v>907</v>
      </c>
    </row>
    <row r="351" spans="1:14" s="150" customFormat="1" ht="31.5" customHeight="1" thickBot="1">
      <c r="A351" s="262">
        <v>71</v>
      </c>
      <c r="B351" s="263" t="s">
        <v>847</v>
      </c>
      <c r="C351" s="359" t="s">
        <v>24</v>
      </c>
      <c r="D351" s="272" t="s">
        <v>25</v>
      </c>
      <c r="E351" s="272" t="s">
        <v>903</v>
      </c>
      <c r="F351" s="272" t="s">
        <v>846</v>
      </c>
      <c r="G351" s="272">
        <v>9</v>
      </c>
      <c r="H351" s="272">
        <v>5.4999999999999997E-3</v>
      </c>
      <c r="I351" s="290">
        <v>180</v>
      </c>
      <c r="J351" s="290">
        <v>3.2490000000000001</v>
      </c>
      <c r="K351" s="272">
        <v>0.10299999999999999</v>
      </c>
      <c r="L351" s="272">
        <v>272</v>
      </c>
      <c r="M351" s="275" t="s">
        <v>887</v>
      </c>
    </row>
    <row r="352" spans="1:14" s="74" customFormat="1" ht="31.5" customHeight="1" thickBot="1">
      <c r="A352" s="262">
        <v>72</v>
      </c>
      <c r="B352" s="263" t="s">
        <v>847</v>
      </c>
      <c r="C352" s="272">
        <v>511040</v>
      </c>
      <c r="D352" s="272" t="s">
        <v>474</v>
      </c>
      <c r="E352" s="272" t="s">
        <v>910</v>
      </c>
      <c r="F352" s="272" t="s">
        <v>846</v>
      </c>
      <c r="G352" s="272">
        <v>18</v>
      </c>
      <c r="H352" s="337">
        <v>2.9000000000000001E-2</v>
      </c>
      <c r="I352" s="272">
        <v>150</v>
      </c>
      <c r="J352" s="272">
        <v>6.4139999999999997</v>
      </c>
      <c r="K352" s="274">
        <v>0.22</v>
      </c>
      <c r="L352" s="272">
        <v>229</v>
      </c>
      <c r="M352" s="275" t="s">
        <v>907</v>
      </c>
    </row>
    <row r="353" spans="1:14" s="74" customFormat="1" ht="31.5" customHeight="1" thickBot="1">
      <c r="A353" s="262">
        <v>73</v>
      </c>
      <c r="B353" s="263" t="s">
        <v>847</v>
      </c>
      <c r="C353" s="360">
        <v>510530</v>
      </c>
      <c r="D353" s="360" t="s">
        <v>203</v>
      </c>
      <c r="E353" s="360" t="s">
        <v>910</v>
      </c>
      <c r="F353" s="360" t="s">
        <v>846</v>
      </c>
      <c r="G353" s="360">
        <v>6.5</v>
      </c>
      <c r="H353" s="360">
        <v>8.0999999999999996E-3</v>
      </c>
      <c r="I353" s="360">
        <v>90</v>
      </c>
      <c r="J353" s="360">
        <v>5.7</v>
      </c>
      <c r="K353" s="361">
        <v>0.09</v>
      </c>
      <c r="L353" s="360">
        <v>106</v>
      </c>
      <c r="M353" s="362" t="s">
        <v>907</v>
      </c>
    </row>
    <row r="354" spans="1:14" s="74" customFormat="1" ht="31.5" customHeight="1" thickBot="1">
      <c r="A354" s="262">
        <v>74</v>
      </c>
      <c r="B354" s="263" t="s">
        <v>847</v>
      </c>
      <c r="C354" s="363">
        <v>43850</v>
      </c>
      <c r="D354" s="364" t="s">
        <v>117</v>
      </c>
      <c r="E354" s="364" t="s">
        <v>845</v>
      </c>
      <c r="F354" s="364" t="s">
        <v>846</v>
      </c>
      <c r="G354" s="364">
        <v>10</v>
      </c>
      <c r="H354" s="364">
        <v>9.8200000000000006E-3</v>
      </c>
      <c r="I354" s="365">
        <v>180</v>
      </c>
      <c r="J354" s="366">
        <v>0.8</v>
      </c>
      <c r="K354" s="367">
        <f>0.08</f>
        <v>0.08</v>
      </c>
      <c r="L354" s="364">
        <v>188</v>
      </c>
      <c r="M354" s="368" t="s">
        <v>887</v>
      </c>
    </row>
    <row r="355" spans="1:14" s="74" customFormat="1" ht="31.5" customHeight="1" thickBot="1">
      <c r="A355" s="262">
        <v>75</v>
      </c>
      <c r="B355" s="263" t="s">
        <v>847</v>
      </c>
      <c r="C355" s="364">
        <v>510530</v>
      </c>
      <c r="D355" s="364" t="s">
        <v>1102</v>
      </c>
      <c r="E355" s="364" t="s">
        <v>910</v>
      </c>
      <c r="F355" s="364" t="s">
        <v>846</v>
      </c>
      <c r="G355" s="364">
        <v>10.5</v>
      </c>
      <c r="H355" s="364">
        <v>2.12E-2</v>
      </c>
      <c r="I355" s="365">
        <v>90</v>
      </c>
      <c r="J355" s="365">
        <v>2.8290000000000002</v>
      </c>
      <c r="K355" s="367">
        <v>0.09</v>
      </c>
      <c r="L355" s="364">
        <v>106</v>
      </c>
      <c r="M355" s="368" t="s">
        <v>907</v>
      </c>
    </row>
    <row r="356" spans="1:14" s="74" customFormat="1" ht="31.5" customHeight="1" thickBot="1">
      <c r="A356" s="262">
        <v>76</v>
      </c>
      <c r="B356" s="263" t="s">
        <v>847</v>
      </c>
      <c r="C356" s="134">
        <v>513280</v>
      </c>
      <c r="D356" s="369" t="s">
        <v>213</v>
      </c>
      <c r="E356" s="134" t="s">
        <v>910</v>
      </c>
      <c r="F356" s="134" t="s">
        <v>846</v>
      </c>
      <c r="G356" s="134">
        <v>5</v>
      </c>
      <c r="H356" s="134">
        <v>4.7000000000000002E-3</v>
      </c>
      <c r="I356" s="134">
        <v>120</v>
      </c>
      <c r="J356" s="134">
        <v>6.23</v>
      </c>
      <c r="K356" s="370">
        <v>0.09</v>
      </c>
      <c r="L356" s="134">
        <v>106</v>
      </c>
      <c r="M356" s="134" t="s">
        <v>907</v>
      </c>
    </row>
    <row r="357" spans="1:14" s="74" customFormat="1" ht="31.5" customHeight="1" thickBot="1">
      <c r="A357" s="262">
        <v>77</v>
      </c>
      <c r="B357" s="263" t="s">
        <v>847</v>
      </c>
      <c r="C357" s="340">
        <v>511110</v>
      </c>
      <c r="D357" s="306" t="s">
        <v>89</v>
      </c>
      <c r="E357" s="306" t="s">
        <v>849</v>
      </c>
      <c r="F357" s="306" t="s">
        <v>846</v>
      </c>
      <c r="G357" s="306">
        <v>6</v>
      </c>
      <c r="H357" s="306">
        <v>7.8352999999999999E-3</v>
      </c>
      <c r="I357" s="305">
        <v>90</v>
      </c>
      <c r="J357" s="305">
        <v>3.0979999999999999</v>
      </c>
      <c r="K357" s="306">
        <v>9.5000000000000001E-2</v>
      </c>
      <c r="L357" s="306">
        <v>85</v>
      </c>
      <c r="M357" s="308" t="s">
        <v>887</v>
      </c>
      <c r="N357" s="342">
        <v>350</v>
      </c>
    </row>
    <row r="358" spans="1:14" s="74" customFormat="1" ht="31.5" customHeight="1" thickBot="1">
      <c r="A358" s="262">
        <v>78</v>
      </c>
      <c r="B358" s="263" t="s">
        <v>847</v>
      </c>
      <c r="C358" s="340">
        <v>511100</v>
      </c>
      <c r="D358" s="306" t="s">
        <v>86</v>
      </c>
      <c r="E358" s="306" t="s">
        <v>849</v>
      </c>
      <c r="F358" s="306" t="s">
        <v>846</v>
      </c>
      <c r="G358" s="306">
        <v>6</v>
      </c>
      <c r="H358" s="340">
        <v>1.54E-2</v>
      </c>
      <c r="I358" s="305">
        <v>90</v>
      </c>
      <c r="J358" s="340">
        <v>3.0979999999999999</v>
      </c>
      <c r="K358" s="371">
        <v>0.16</v>
      </c>
      <c r="L358" s="306">
        <v>43</v>
      </c>
      <c r="M358" s="308" t="s">
        <v>907</v>
      </c>
      <c r="N358" s="342">
        <v>350</v>
      </c>
    </row>
    <row r="359" spans="1:14" s="74" customFormat="1" ht="31.5" customHeight="1" thickBot="1">
      <c r="A359" s="262">
        <v>79</v>
      </c>
      <c r="B359" s="263" t="s">
        <v>847</v>
      </c>
      <c r="C359" s="363" t="s">
        <v>1092</v>
      </c>
      <c r="D359" s="364" t="s">
        <v>1103</v>
      </c>
      <c r="E359" s="364" t="s">
        <v>906</v>
      </c>
      <c r="F359" s="364" t="s">
        <v>846</v>
      </c>
      <c r="G359" s="364">
        <v>6</v>
      </c>
      <c r="H359" s="363">
        <v>6.6600000000000006E-2</v>
      </c>
      <c r="I359" s="363">
        <v>110</v>
      </c>
      <c r="J359" s="363">
        <v>1.1499999999999999</v>
      </c>
      <c r="K359" s="372">
        <v>0.2</v>
      </c>
      <c r="L359" s="364">
        <v>10</v>
      </c>
      <c r="M359" s="368" t="s">
        <v>907</v>
      </c>
    </row>
    <row r="360" spans="1:14" s="74" customFormat="1" ht="31.5" customHeight="1" thickBot="1">
      <c r="A360" s="262">
        <v>80</v>
      </c>
      <c r="B360" s="263" t="s">
        <v>847</v>
      </c>
      <c r="C360" s="363">
        <v>43504</v>
      </c>
      <c r="D360" s="364" t="s">
        <v>1104</v>
      </c>
      <c r="E360" s="364" t="s">
        <v>919</v>
      </c>
      <c r="F360" s="364" t="s">
        <v>846</v>
      </c>
      <c r="G360" s="364">
        <v>20</v>
      </c>
      <c r="H360" s="363">
        <v>0.35210000000000002</v>
      </c>
      <c r="I360" s="363">
        <v>30</v>
      </c>
      <c r="J360" s="363">
        <v>1.1499999999999999</v>
      </c>
      <c r="K360" s="372">
        <v>1.84</v>
      </c>
      <c r="L360" s="364">
        <v>21</v>
      </c>
      <c r="M360" s="368" t="s">
        <v>907</v>
      </c>
    </row>
    <row r="361" spans="1:14" s="74" customFormat="1" ht="31.5" customHeight="1" thickBot="1">
      <c r="A361" s="262">
        <v>81</v>
      </c>
      <c r="B361" s="263" t="s">
        <v>847</v>
      </c>
      <c r="C361" s="340">
        <v>35133801</v>
      </c>
      <c r="D361" s="306" t="s">
        <v>380</v>
      </c>
      <c r="E361" s="306" t="s">
        <v>906</v>
      </c>
      <c r="F361" s="306" t="s">
        <v>846</v>
      </c>
      <c r="G361" s="306">
        <v>22</v>
      </c>
      <c r="H361" s="340">
        <v>0.14430000000000001</v>
      </c>
      <c r="I361" s="340">
        <v>32</v>
      </c>
      <c r="J361" s="340">
        <v>0.69499999999999995</v>
      </c>
      <c r="K361" s="371">
        <v>0.35</v>
      </c>
      <c r="L361" s="306">
        <v>62</v>
      </c>
      <c r="M361" s="308" t="s">
        <v>907</v>
      </c>
    </row>
    <row r="362" spans="1:14" s="74" customFormat="1" ht="31.5" customHeight="1" thickBot="1">
      <c r="A362" s="262">
        <v>82</v>
      </c>
      <c r="B362" s="263" t="s">
        <v>847</v>
      </c>
      <c r="C362" s="363">
        <v>35134600</v>
      </c>
      <c r="D362" s="364" t="s">
        <v>1105</v>
      </c>
      <c r="E362" s="364" t="s">
        <v>906</v>
      </c>
      <c r="F362" s="364" t="s">
        <v>846</v>
      </c>
      <c r="G362" s="364">
        <v>22</v>
      </c>
      <c r="H362" s="363">
        <v>0.1133</v>
      </c>
      <c r="I362" s="363">
        <v>60</v>
      </c>
      <c r="J362" s="363">
        <v>1</v>
      </c>
      <c r="K362" s="372">
        <v>0.3</v>
      </c>
      <c r="L362" s="364">
        <v>79</v>
      </c>
      <c r="M362" s="368" t="s">
        <v>907</v>
      </c>
    </row>
    <row r="363" spans="1:14" s="74" customFormat="1" ht="31.5" customHeight="1" thickBot="1">
      <c r="A363" s="262">
        <v>83</v>
      </c>
      <c r="B363" s="263" t="s">
        <v>847</v>
      </c>
      <c r="C363" s="363">
        <v>35124801</v>
      </c>
      <c r="D363" s="364" t="s">
        <v>1106</v>
      </c>
      <c r="E363" s="364" t="s">
        <v>906</v>
      </c>
      <c r="F363" s="364" t="s">
        <v>846</v>
      </c>
      <c r="G363" s="364">
        <v>19</v>
      </c>
      <c r="H363" s="363">
        <v>0.1043</v>
      </c>
      <c r="I363" s="363">
        <v>60</v>
      </c>
      <c r="J363" s="363">
        <v>1.22</v>
      </c>
      <c r="K363" s="372">
        <v>0.28999999999999998</v>
      </c>
      <c r="L363" s="364">
        <v>64</v>
      </c>
      <c r="M363" s="368" t="s">
        <v>887</v>
      </c>
    </row>
    <row r="364" spans="1:14" s="377" customFormat="1" ht="31.5" customHeight="1" thickBot="1">
      <c r="A364" s="262">
        <v>84</v>
      </c>
      <c r="B364" s="263" t="s">
        <v>847</v>
      </c>
      <c r="C364" s="373" t="s">
        <v>155</v>
      </c>
      <c r="D364" s="374" t="s">
        <v>1107</v>
      </c>
      <c r="E364" s="374" t="s">
        <v>849</v>
      </c>
      <c r="F364" s="374" t="s">
        <v>911</v>
      </c>
      <c r="G364" s="374">
        <v>7</v>
      </c>
      <c r="H364" s="373">
        <v>1.44E-2</v>
      </c>
      <c r="I364" s="373">
        <v>24</v>
      </c>
      <c r="J364" s="373">
        <v>4.101</v>
      </c>
      <c r="K364" s="375">
        <v>1.75</v>
      </c>
      <c r="L364" s="374">
        <v>69</v>
      </c>
      <c r="M364" s="376" t="s">
        <v>907</v>
      </c>
    </row>
    <row r="365" spans="1:14" s="74" customFormat="1" ht="31.5" customHeight="1" thickBot="1">
      <c r="A365" s="262">
        <v>85</v>
      </c>
      <c r="B365" s="263" t="s">
        <v>847</v>
      </c>
      <c r="C365" s="378" t="s">
        <v>1108</v>
      </c>
      <c r="D365" s="364" t="s">
        <v>1109</v>
      </c>
      <c r="E365" s="364" t="s">
        <v>849</v>
      </c>
      <c r="F365" s="364" t="s">
        <v>846</v>
      </c>
      <c r="G365" s="364">
        <v>9</v>
      </c>
      <c r="H365" s="363">
        <v>5.3E-3</v>
      </c>
      <c r="I365" s="363">
        <v>60</v>
      </c>
      <c r="J365" s="363">
        <v>4.2039999999999997</v>
      </c>
      <c r="K365" s="372">
        <v>0.38</v>
      </c>
      <c r="L365" s="364">
        <v>282</v>
      </c>
      <c r="M365" s="368" t="s">
        <v>887</v>
      </c>
    </row>
    <row r="366" spans="1:14" s="74" customFormat="1" ht="33.75" customHeight="1" thickBot="1">
      <c r="A366" s="262">
        <v>86</v>
      </c>
      <c r="B366" s="263" t="s">
        <v>847</v>
      </c>
      <c r="C366" s="378" t="s">
        <v>1110</v>
      </c>
      <c r="D366" s="364" t="s">
        <v>1111</v>
      </c>
      <c r="E366" s="364" t="s">
        <v>971</v>
      </c>
      <c r="F366" s="364" t="s">
        <v>846</v>
      </c>
      <c r="G366" s="364">
        <v>6</v>
      </c>
      <c r="H366" s="363">
        <v>1.34E-3</v>
      </c>
      <c r="I366" s="363">
        <v>90</v>
      </c>
      <c r="J366" s="363">
        <v>19.2</v>
      </c>
      <c r="K366" s="372">
        <v>0.38</v>
      </c>
      <c r="L366" s="364">
        <v>89</v>
      </c>
      <c r="M366" s="368" t="s">
        <v>907</v>
      </c>
    </row>
    <row r="367" spans="1:14" s="74" customFormat="1" ht="31.5" customHeight="1" thickBot="1">
      <c r="A367" s="262">
        <v>87</v>
      </c>
      <c r="B367" s="263" t="s">
        <v>847</v>
      </c>
      <c r="C367" s="378" t="s">
        <v>1112</v>
      </c>
      <c r="D367" s="364" t="s">
        <v>1113</v>
      </c>
      <c r="E367" s="364" t="s">
        <v>971</v>
      </c>
      <c r="F367" s="364" t="s">
        <v>846</v>
      </c>
      <c r="G367" s="364">
        <v>6</v>
      </c>
      <c r="H367" s="363">
        <v>9.3999999999999997E-4</v>
      </c>
      <c r="I367" s="363">
        <v>90</v>
      </c>
      <c r="J367" s="363">
        <v>19.2</v>
      </c>
      <c r="K367" s="372">
        <v>0.38</v>
      </c>
      <c r="L367" s="364">
        <v>127</v>
      </c>
      <c r="M367" s="368" t="s">
        <v>907</v>
      </c>
    </row>
    <row r="368" spans="1:14" s="74" customFormat="1" ht="31.5" customHeight="1" thickBot="1">
      <c r="A368" s="262">
        <v>88</v>
      </c>
      <c r="B368" s="263" t="s">
        <v>847</v>
      </c>
      <c r="C368" s="378" t="s">
        <v>1114</v>
      </c>
      <c r="D368" s="364" t="s">
        <v>1115</v>
      </c>
      <c r="E368" s="364" t="s">
        <v>906</v>
      </c>
      <c r="F368" s="364" t="s">
        <v>846</v>
      </c>
      <c r="G368" s="364">
        <v>12.5</v>
      </c>
      <c r="H368" s="363">
        <v>1.5900000000000001E-2</v>
      </c>
      <c r="I368" s="363">
        <v>990</v>
      </c>
      <c r="J368" s="363">
        <v>0.9</v>
      </c>
      <c r="K368" s="379">
        <v>6.08E-2</v>
      </c>
      <c r="L368" s="364">
        <v>181</v>
      </c>
      <c r="M368" s="368" t="s">
        <v>907</v>
      </c>
    </row>
    <row r="369" spans="1:13" s="74" customFormat="1" ht="31.5" customHeight="1" thickBot="1">
      <c r="A369" s="262">
        <v>89</v>
      </c>
      <c r="B369" s="263" t="s">
        <v>847</v>
      </c>
      <c r="C369" s="378" t="s">
        <v>123</v>
      </c>
      <c r="D369" s="364" t="s">
        <v>1116</v>
      </c>
      <c r="E369" s="364" t="s">
        <v>1117</v>
      </c>
      <c r="F369" s="364" t="s">
        <v>846</v>
      </c>
      <c r="G369" s="364">
        <v>5</v>
      </c>
      <c r="H369" s="363">
        <v>9.2399999999999996E-2</v>
      </c>
      <c r="I369" s="363">
        <v>180</v>
      </c>
      <c r="J369" s="363">
        <v>3.88</v>
      </c>
      <c r="K369" s="372">
        <v>0.52500000000000002</v>
      </c>
      <c r="L369" s="364">
        <v>5</v>
      </c>
      <c r="M369" s="368" t="s">
        <v>887</v>
      </c>
    </row>
    <row r="370" spans="1:13" s="74" customFormat="1" ht="31.5" customHeight="1" thickBot="1">
      <c r="A370" s="262">
        <v>90</v>
      </c>
      <c r="B370" s="263" t="s">
        <v>847</v>
      </c>
      <c r="C370" s="134">
        <v>215215011</v>
      </c>
      <c r="D370" s="134" t="s">
        <v>227</v>
      </c>
      <c r="E370" s="134" t="s">
        <v>910</v>
      </c>
      <c r="F370" s="134" t="s">
        <v>1118</v>
      </c>
      <c r="G370" s="134">
        <v>24</v>
      </c>
      <c r="H370" s="134">
        <v>0.125</v>
      </c>
      <c r="I370" s="134">
        <v>47</v>
      </c>
      <c r="J370" s="134">
        <v>3.78</v>
      </c>
      <c r="K370" s="370">
        <v>0.6</v>
      </c>
      <c r="L370" s="134">
        <v>119</v>
      </c>
      <c r="M370" s="134" t="s">
        <v>907</v>
      </c>
    </row>
    <row r="371" spans="1:13" s="74" customFormat="1" ht="31.5" customHeight="1" thickBot="1">
      <c r="A371" s="262">
        <v>91</v>
      </c>
      <c r="B371" s="263" t="s">
        <v>847</v>
      </c>
      <c r="C371" s="364">
        <v>651128</v>
      </c>
      <c r="D371" s="364" t="s">
        <v>1119</v>
      </c>
      <c r="E371" s="364" t="s">
        <v>906</v>
      </c>
      <c r="F371" s="364" t="s">
        <v>911</v>
      </c>
      <c r="G371" s="364">
        <v>14</v>
      </c>
      <c r="H371" s="364">
        <v>3.9899999999999998E-2</v>
      </c>
      <c r="I371" s="364">
        <v>120</v>
      </c>
      <c r="J371" s="364">
        <v>1.0900000000000001</v>
      </c>
      <c r="K371" s="367">
        <v>0.22</v>
      </c>
      <c r="L371" s="364">
        <v>100</v>
      </c>
      <c r="M371" s="368" t="s">
        <v>907</v>
      </c>
    </row>
    <row r="372" spans="1:13" s="74" customFormat="1" ht="31.5" customHeight="1" thickBot="1">
      <c r="A372" s="262">
        <v>92</v>
      </c>
      <c r="B372" s="263" t="s">
        <v>847</v>
      </c>
      <c r="C372" s="364" t="s">
        <v>123</v>
      </c>
      <c r="D372" s="364" t="s">
        <v>1120</v>
      </c>
      <c r="E372" s="364" t="s">
        <v>906</v>
      </c>
      <c r="F372" s="364" t="s">
        <v>846</v>
      </c>
      <c r="G372" s="364">
        <v>6</v>
      </c>
      <c r="H372" s="364">
        <v>6.6600000000000006E-2</v>
      </c>
      <c r="I372" s="364">
        <v>130</v>
      </c>
      <c r="J372" s="364"/>
      <c r="K372" s="367"/>
      <c r="L372" s="364"/>
      <c r="M372" s="362"/>
    </row>
    <row r="373" spans="1:13" s="74" customFormat="1" ht="31.5" customHeight="1" thickBot="1">
      <c r="A373" s="262">
        <v>93</v>
      </c>
      <c r="B373" s="263" t="s">
        <v>847</v>
      </c>
      <c r="C373" s="380" t="s">
        <v>1121</v>
      </c>
      <c r="D373" s="380" t="s">
        <v>821</v>
      </c>
      <c r="E373" s="381" t="s">
        <v>1122</v>
      </c>
      <c r="F373" s="380" t="s">
        <v>1123</v>
      </c>
      <c r="G373" s="380"/>
      <c r="H373" s="380"/>
      <c r="I373" s="380"/>
      <c r="J373" s="380"/>
      <c r="K373" s="382"/>
      <c r="L373" s="380"/>
      <c r="M373" s="106"/>
    </row>
    <row r="374" spans="1:13" s="74" customFormat="1" ht="31.5" customHeight="1" thickBot="1">
      <c r="A374" s="262">
        <v>93</v>
      </c>
      <c r="B374" s="383"/>
      <c r="C374" s="383" t="s">
        <v>420</v>
      </c>
      <c r="D374" s="383" t="s">
        <v>215</v>
      </c>
      <c r="E374" s="383"/>
      <c r="F374" s="383"/>
      <c r="G374" s="383"/>
      <c r="H374" s="383"/>
      <c r="I374" s="383"/>
      <c r="J374" s="383"/>
      <c r="K374" s="383"/>
      <c r="L374" s="383"/>
      <c r="M374" s="383"/>
    </row>
    <row r="375" spans="1:13" s="74" customFormat="1" ht="31.5" customHeight="1" thickBot="1">
      <c r="A375" s="262">
        <v>94</v>
      </c>
      <c r="B375" s="106"/>
      <c r="C375" s="106" t="s">
        <v>420</v>
      </c>
      <c r="D375" s="106" t="s">
        <v>1124</v>
      </c>
      <c r="E375" s="106"/>
      <c r="F375" s="106"/>
      <c r="G375" s="106"/>
      <c r="H375" s="106"/>
      <c r="I375" s="106"/>
      <c r="J375" s="106"/>
      <c r="K375" s="106"/>
      <c r="L375" s="106"/>
      <c r="M375" s="106"/>
    </row>
    <row r="376" spans="1:13" s="74" customFormat="1" ht="31.5" customHeight="1" thickBot="1">
      <c r="A376" s="262">
        <v>95</v>
      </c>
      <c r="B376" s="106"/>
      <c r="C376" s="106" t="s">
        <v>420</v>
      </c>
      <c r="D376" s="108" t="s">
        <v>1125</v>
      </c>
      <c r="E376" s="106"/>
      <c r="F376" s="106"/>
      <c r="G376" s="106"/>
      <c r="H376" s="106"/>
      <c r="I376" s="106"/>
      <c r="J376" s="106"/>
      <c r="K376" s="106"/>
      <c r="L376" s="106"/>
      <c r="M376" s="106"/>
    </row>
    <row r="377" spans="1:13" s="74" customFormat="1" ht="31.5" customHeight="1" thickBot="1">
      <c r="A377" s="262">
        <v>96</v>
      </c>
      <c r="B377" s="106"/>
      <c r="C377" s="106" t="s">
        <v>420</v>
      </c>
      <c r="D377" s="106" t="s">
        <v>224</v>
      </c>
      <c r="E377" s="106"/>
      <c r="F377" s="106"/>
      <c r="G377" s="106"/>
      <c r="H377" s="106"/>
      <c r="I377" s="106"/>
      <c r="J377" s="106"/>
      <c r="K377" s="106"/>
      <c r="L377" s="106"/>
      <c r="M377" s="106"/>
    </row>
    <row r="378" spans="1:13" s="74" customFormat="1" ht="31.5" customHeight="1" thickBot="1">
      <c r="A378" s="262">
        <v>97</v>
      </c>
      <c r="B378" s="106"/>
      <c r="C378" s="106" t="s">
        <v>420</v>
      </c>
      <c r="D378" s="106" t="s">
        <v>225</v>
      </c>
      <c r="E378" s="106"/>
      <c r="F378" s="106"/>
      <c r="G378" s="106"/>
      <c r="H378" s="106"/>
      <c r="I378" s="106"/>
      <c r="J378" s="106"/>
      <c r="K378" s="106"/>
      <c r="L378" s="106"/>
      <c r="M378" s="106"/>
    </row>
    <row r="379" spans="1:13" s="74" customFormat="1" ht="31.5" customHeight="1" thickBot="1">
      <c r="A379" s="262">
        <v>98</v>
      </c>
      <c r="B379" s="106"/>
      <c r="C379" s="106" t="s">
        <v>420</v>
      </c>
      <c r="D379" s="106" t="s">
        <v>226</v>
      </c>
      <c r="E379" s="106"/>
      <c r="F379" s="106"/>
      <c r="G379" s="106"/>
      <c r="H379" s="106"/>
      <c r="I379" s="106"/>
      <c r="J379" s="106"/>
      <c r="K379" s="106"/>
      <c r="L379" s="106"/>
      <c r="M379" s="106"/>
    </row>
    <row r="380" spans="1:13" s="74" customFormat="1" ht="31.5" customHeight="1" thickBot="1">
      <c r="A380" s="262">
        <v>99</v>
      </c>
      <c r="B380" s="106"/>
      <c r="C380" s="106" t="s">
        <v>420</v>
      </c>
      <c r="D380" s="108" t="s">
        <v>1126</v>
      </c>
      <c r="E380" s="106" t="s">
        <v>906</v>
      </c>
      <c r="F380" s="106" t="s">
        <v>856</v>
      </c>
      <c r="G380" s="106">
        <v>19</v>
      </c>
      <c r="H380" s="106">
        <v>4.3299999999999998E-2</v>
      </c>
      <c r="I380" s="106">
        <v>120</v>
      </c>
      <c r="J380" s="106">
        <v>0.75</v>
      </c>
      <c r="K380" s="106">
        <f>0.49/2.4</f>
        <v>0.20416666666666666</v>
      </c>
      <c r="L380" s="106"/>
      <c r="M380" s="106"/>
    </row>
    <row r="381" spans="1:13" s="74" customFormat="1" ht="31.5" customHeight="1" thickBot="1">
      <c r="A381" s="262">
        <v>100</v>
      </c>
      <c r="B381" s="106"/>
      <c r="C381" s="106" t="s">
        <v>420</v>
      </c>
      <c r="D381" s="106" t="s">
        <v>1127</v>
      </c>
      <c r="E381" s="106"/>
      <c r="F381" s="106"/>
      <c r="G381" s="106"/>
      <c r="H381" s="106"/>
      <c r="I381" s="106"/>
      <c r="J381" s="106">
        <v>1.3</v>
      </c>
      <c r="K381" s="106">
        <f>3/2.4</f>
        <v>1.25</v>
      </c>
      <c r="L381" s="106"/>
      <c r="M381" s="106"/>
    </row>
    <row r="382" spans="1:13" s="74" customFormat="1" ht="31.5" customHeight="1" thickBot="1">
      <c r="A382" s="262">
        <v>101</v>
      </c>
      <c r="B382" s="106"/>
      <c r="C382" s="106" t="s">
        <v>420</v>
      </c>
      <c r="D382" s="108" t="s">
        <v>229</v>
      </c>
      <c r="E382" s="106" t="s">
        <v>906</v>
      </c>
      <c r="F382" s="106" t="s">
        <v>846</v>
      </c>
      <c r="G382" s="106">
        <v>16</v>
      </c>
      <c r="H382" s="106">
        <v>2.8000000000000001E-2</v>
      </c>
      <c r="I382" s="106">
        <v>120</v>
      </c>
      <c r="J382" s="106">
        <v>0.75</v>
      </c>
      <c r="K382" s="106">
        <f>0.204/2.4</f>
        <v>8.4999999999999992E-2</v>
      </c>
      <c r="L382" s="106"/>
      <c r="M382" s="106"/>
    </row>
    <row r="383" spans="1:13" s="74" customFormat="1" ht="31.5" customHeight="1" thickBot="1">
      <c r="A383" s="262">
        <v>102</v>
      </c>
      <c r="B383" s="106"/>
      <c r="C383" s="106" t="s">
        <v>1128</v>
      </c>
      <c r="D383" s="108" t="s">
        <v>233</v>
      </c>
      <c r="E383" s="106" t="s">
        <v>906</v>
      </c>
      <c r="F383" s="106" t="s">
        <v>846</v>
      </c>
      <c r="G383" s="106">
        <v>6</v>
      </c>
      <c r="H383" s="106">
        <v>3.3E-3</v>
      </c>
      <c r="I383" s="106">
        <v>220</v>
      </c>
      <c r="J383" s="106">
        <v>0.75</v>
      </c>
      <c r="K383" s="106">
        <f>0.06/2.4</f>
        <v>2.5000000000000001E-2</v>
      </c>
      <c r="L383" s="106"/>
      <c r="M383" s="106"/>
    </row>
    <row r="384" spans="1:13" s="74" customFormat="1" ht="31.5" customHeight="1" thickBot="1">
      <c r="A384" s="262">
        <v>103</v>
      </c>
      <c r="B384" s="106"/>
      <c r="C384" s="106" t="s">
        <v>238</v>
      </c>
      <c r="D384" s="106" t="s">
        <v>237</v>
      </c>
      <c r="E384" s="106" t="s">
        <v>906</v>
      </c>
      <c r="F384" s="106" t="s">
        <v>856</v>
      </c>
      <c r="G384" s="106">
        <v>19</v>
      </c>
      <c r="H384" s="106">
        <v>9.2999999999999999E-2</v>
      </c>
      <c r="I384" s="106">
        <v>90</v>
      </c>
      <c r="J384" s="106">
        <v>0.75</v>
      </c>
      <c r="K384" s="106">
        <f>1.734/2.4</f>
        <v>0.72250000000000003</v>
      </c>
      <c r="L384" s="106"/>
      <c r="M384" s="106"/>
    </row>
    <row r="385" spans="1:13" s="74" customFormat="1" ht="31.5" customHeight="1" thickBot="1">
      <c r="A385" s="262">
        <v>104</v>
      </c>
      <c r="B385" s="106"/>
      <c r="C385" s="107" t="s">
        <v>241</v>
      </c>
      <c r="D385" s="106" t="s">
        <v>240</v>
      </c>
      <c r="E385" s="106">
        <v>0</v>
      </c>
      <c r="F385" s="106">
        <v>0</v>
      </c>
      <c r="G385" s="106">
        <v>0</v>
      </c>
      <c r="H385" s="106">
        <v>0</v>
      </c>
      <c r="I385" s="108">
        <v>0</v>
      </c>
      <c r="J385" s="108">
        <v>0</v>
      </c>
      <c r="K385" s="106">
        <f>0.15/2.4</f>
        <v>6.25E-2</v>
      </c>
      <c r="L385" s="106"/>
      <c r="M385" s="106"/>
    </row>
    <row r="386" spans="1:13" s="74" customFormat="1" ht="31.5" customHeight="1" thickBot="1">
      <c r="A386" s="262">
        <v>105</v>
      </c>
      <c r="B386" s="106"/>
      <c r="C386" s="107" t="s">
        <v>246</v>
      </c>
      <c r="D386" s="106" t="s">
        <v>1129</v>
      </c>
      <c r="E386" s="106">
        <v>0</v>
      </c>
      <c r="F386" s="106">
        <v>0</v>
      </c>
      <c r="G386" s="106">
        <v>0</v>
      </c>
      <c r="H386" s="106">
        <v>0</v>
      </c>
      <c r="I386" s="108">
        <v>0</v>
      </c>
      <c r="J386" s="108">
        <v>0</v>
      </c>
      <c r="K386" s="106">
        <f>0.15/2.4</f>
        <v>6.25E-2</v>
      </c>
      <c r="L386" s="106"/>
      <c r="M386" s="106"/>
    </row>
    <row r="387" spans="1:13" s="74" customFormat="1" ht="31.5" customHeight="1" thickBot="1">
      <c r="A387" s="262">
        <v>106</v>
      </c>
      <c r="B387" s="106"/>
      <c r="C387" s="107" t="s">
        <v>1130</v>
      </c>
      <c r="D387" s="106" t="s">
        <v>248</v>
      </c>
      <c r="E387" s="106">
        <v>0</v>
      </c>
      <c r="F387" s="106">
        <v>0</v>
      </c>
      <c r="G387" s="106">
        <v>0</v>
      </c>
      <c r="H387" s="106">
        <v>0</v>
      </c>
      <c r="I387" s="108">
        <v>0</v>
      </c>
      <c r="J387" s="108">
        <v>0</v>
      </c>
      <c r="K387" s="106">
        <f>0.15/2.4</f>
        <v>6.25E-2</v>
      </c>
      <c r="L387" s="106"/>
      <c r="M387" s="106"/>
    </row>
    <row r="388" spans="1:13" s="74" customFormat="1" ht="31.5" customHeight="1" thickBot="1">
      <c r="A388" s="262">
        <v>107</v>
      </c>
      <c r="B388" s="106"/>
      <c r="C388" s="107" t="s">
        <v>1131</v>
      </c>
      <c r="D388" s="106" t="s">
        <v>1132</v>
      </c>
      <c r="E388" s="106">
        <v>0</v>
      </c>
      <c r="F388" s="106">
        <v>0</v>
      </c>
      <c r="G388" s="106">
        <v>0</v>
      </c>
      <c r="H388" s="106">
        <v>0</v>
      </c>
      <c r="I388" s="108">
        <v>0</v>
      </c>
      <c r="J388" s="108">
        <v>0</v>
      </c>
      <c r="K388" s="106">
        <f>0.2/2.4</f>
        <v>8.3333333333333343E-2</v>
      </c>
      <c r="L388" s="106"/>
      <c r="M388" s="106"/>
    </row>
    <row r="389" spans="1:13" s="74" customFormat="1" ht="31.5" customHeight="1" thickBot="1">
      <c r="A389" s="262">
        <v>108</v>
      </c>
      <c r="B389" s="106"/>
      <c r="C389" s="107" t="s">
        <v>250</v>
      </c>
      <c r="D389" s="106" t="s">
        <v>249</v>
      </c>
      <c r="E389" s="106">
        <v>0</v>
      </c>
      <c r="F389" s="106">
        <v>0</v>
      </c>
      <c r="G389" s="106">
        <v>0</v>
      </c>
      <c r="H389" s="106">
        <v>0</v>
      </c>
      <c r="I389" s="108">
        <v>0</v>
      </c>
      <c r="J389" s="108">
        <v>0</v>
      </c>
      <c r="K389" s="106">
        <f>0.2/2.4</f>
        <v>8.3333333333333343E-2</v>
      </c>
      <c r="L389" s="106"/>
      <c r="M389" s="106"/>
    </row>
    <row r="390" spans="1:13" s="74" customFormat="1" ht="31.5" customHeight="1" thickBot="1">
      <c r="A390" s="262">
        <v>109</v>
      </c>
      <c r="B390" s="106"/>
      <c r="C390" s="107" t="s">
        <v>251</v>
      </c>
      <c r="D390" s="106" t="s">
        <v>1133</v>
      </c>
      <c r="E390" s="106">
        <v>0</v>
      </c>
      <c r="F390" s="106">
        <v>0</v>
      </c>
      <c r="G390" s="106">
        <v>0</v>
      </c>
      <c r="H390" s="106">
        <v>0</v>
      </c>
      <c r="I390" s="108">
        <v>0</v>
      </c>
      <c r="J390" s="108">
        <v>0</v>
      </c>
      <c r="K390" s="106">
        <f>0.15/2.4</f>
        <v>6.25E-2</v>
      </c>
      <c r="L390" s="106"/>
      <c r="M390" s="106"/>
    </row>
    <row r="391" spans="1:13" s="74" customFormat="1" ht="31.5" customHeight="1" thickBot="1">
      <c r="A391" s="262">
        <v>110</v>
      </c>
      <c r="B391" s="106"/>
      <c r="C391" s="107" t="s">
        <v>262</v>
      </c>
      <c r="D391" s="106" t="s">
        <v>261</v>
      </c>
      <c r="E391" s="106">
        <v>0</v>
      </c>
      <c r="F391" s="106">
        <v>0</v>
      </c>
      <c r="G391" s="106">
        <v>0</v>
      </c>
      <c r="H391" s="106">
        <v>0</v>
      </c>
      <c r="I391" s="108">
        <v>0</v>
      </c>
      <c r="J391" s="108">
        <v>0</v>
      </c>
      <c r="K391" s="106">
        <f>0.15/2.4</f>
        <v>6.25E-2</v>
      </c>
      <c r="L391" s="106"/>
      <c r="M391" s="106"/>
    </row>
    <row r="392" spans="1:13" s="74" customFormat="1" ht="31.5" customHeight="1" thickBot="1">
      <c r="A392" s="262">
        <v>111</v>
      </c>
      <c r="B392" s="106"/>
      <c r="C392" s="107" t="s">
        <v>1134</v>
      </c>
      <c r="D392" s="106" t="s">
        <v>1135</v>
      </c>
      <c r="E392" s="106">
        <v>0</v>
      </c>
      <c r="F392" s="106">
        <v>0</v>
      </c>
      <c r="G392" s="106">
        <v>0</v>
      </c>
      <c r="H392" s="106">
        <v>0</v>
      </c>
      <c r="I392" s="108">
        <v>0</v>
      </c>
      <c r="J392" s="108">
        <v>0</v>
      </c>
      <c r="K392" s="106">
        <f>0.15/2.4</f>
        <v>6.25E-2</v>
      </c>
      <c r="L392" s="106"/>
      <c r="M392" s="106"/>
    </row>
    <row r="393" spans="1:13" s="74" customFormat="1" ht="31.5" customHeight="1" thickBot="1">
      <c r="A393" s="262">
        <v>112</v>
      </c>
      <c r="B393" s="106"/>
      <c r="C393" s="107"/>
      <c r="D393" s="106" t="s">
        <v>1136</v>
      </c>
      <c r="E393" s="106">
        <v>0</v>
      </c>
      <c r="F393" s="106">
        <v>0</v>
      </c>
      <c r="G393" s="106">
        <v>0</v>
      </c>
      <c r="H393" s="106">
        <v>0</v>
      </c>
      <c r="I393" s="108">
        <v>0</v>
      </c>
      <c r="J393" s="108">
        <v>0</v>
      </c>
      <c r="K393" s="106">
        <v>0</v>
      </c>
      <c r="L393" s="106">
        <v>0</v>
      </c>
      <c r="M393" s="106">
        <v>0</v>
      </c>
    </row>
    <row r="394" spans="1:13" s="74" customFormat="1" ht="31.5" customHeight="1" thickBot="1">
      <c r="A394" s="262">
        <v>113</v>
      </c>
      <c r="B394" s="106"/>
      <c r="C394" s="107" t="s">
        <v>269</v>
      </c>
      <c r="D394" s="106" t="s">
        <v>268</v>
      </c>
      <c r="E394" s="106">
        <v>0</v>
      </c>
      <c r="F394" s="106">
        <v>0</v>
      </c>
      <c r="G394" s="106">
        <v>0</v>
      </c>
      <c r="H394" s="106">
        <v>0</v>
      </c>
      <c r="I394" s="108">
        <v>0</v>
      </c>
      <c r="J394" s="108">
        <v>0</v>
      </c>
      <c r="K394" s="106">
        <f>0.2/2.4</f>
        <v>8.3333333333333343E-2</v>
      </c>
      <c r="L394" s="106"/>
      <c r="M394" s="106"/>
    </row>
    <row r="395" spans="1:13" s="74" customFormat="1" ht="31.5" customHeight="1" thickBot="1">
      <c r="A395" s="262">
        <v>114</v>
      </c>
      <c r="B395" s="106"/>
      <c r="C395" s="107" t="s">
        <v>1137</v>
      </c>
      <c r="D395" s="106" t="s">
        <v>273</v>
      </c>
      <c r="E395" s="106" t="s">
        <v>906</v>
      </c>
      <c r="F395" s="106" t="s">
        <v>856</v>
      </c>
      <c r="G395" s="106">
        <v>22</v>
      </c>
      <c r="H395" s="106">
        <v>7.3999999999999996E-2</v>
      </c>
      <c r="I395" s="108">
        <v>90</v>
      </c>
      <c r="J395" s="108">
        <f>2.7/2.4</f>
        <v>1.1250000000000002</v>
      </c>
      <c r="K395" s="106">
        <f>0.552/2.4</f>
        <v>0.23000000000000004</v>
      </c>
      <c r="L395" s="106"/>
      <c r="M395" s="106"/>
    </row>
    <row r="396" spans="1:13" s="74" customFormat="1" ht="31.5" customHeight="1" thickBot="1">
      <c r="A396" s="262">
        <v>115</v>
      </c>
      <c r="B396" s="106"/>
      <c r="C396" s="107">
        <v>6069</v>
      </c>
      <c r="D396" s="106" t="s">
        <v>270</v>
      </c>
      <c r="E396" s="106" t="s">
        <v>880</v>
      </c>
      <c r="F396" s="106" t="s">
        <v>846</v>
      </c>
      <c r="G396" s="106" t="s">
        <v>881</v>
      </c>
      <c r="H396" s="106">
        <v>5.8000000000000003E-2</v>
      </c>
      <c r="I396" s="108">
        <v>90</v>
      </c>
      <c r="J396" s="108">
        <f>3/2.4</f>
        <v>1.25</v>
      </c>
      <c r="K396" s="106">
        <f>0.43/2.4</f>
        <v>0.17916666666666667</v>
      </c>
      <c r="L396" s="106"/>
      <c r="M396" s="106"/>
    </row>
    <row r="397" spans="1:13" s="74" customFormat="1" ht="31.5" customHeight="1" thickBot="1">
      <c r="A397" s="262">
        <v>116</v>
      </c>
      <c r="B397" s="106"/>
      <c r="C397" s="107">
        <v>6131</v>
      </c>
      <c r="D397" s="106" t="s">
        <v>274</v>
      </c>
      <c r="E397" s="106" t="s">
        <v>880</v>
      </c>
      <c r="F397" s="106" t="s">
        <v>846</v>
      </c>
      <c r="G397" s="106" t="s">
        <v>1138</v>
      </c>
      <c r="H397" s="106">
        <v>6.1100000000000002E-2</v>
      </c>
      <c r="I397" s="108">
        <v>90</v>
      </c>
      <c r="J397" s="108">
        <v>1.8</v>
      </c>
      <c r="K397" s="106">
        <f>0.42/2.4</f>
        <v>0.17499999999999999</v>
      </c>
      <c r="L397" s="106"/>
      <c r="M397" s="106"/>
    </row>
    <row r="398" spans="1:13" s="74" customFormat="1" ht="31.5" customHeight="1" thickBot="1">
      <c r="A398" s="262">
        <v>117</v>
      </c>
      <c r="B398" s="106"/>
      <c r="C398" s="107">
        <v>6082</v>
      </c>
      <c r="D398" s="106" t="s">
        <v>275</v>
      </c>
      <c r="E398" s="106" t="s">
        <v>880</v>
      </c>
      <c r="F398" s="106" t="s">
        <v>846</v>
      </c>
      <c r="G398" s="106" t="s">
        <v>881</v>
      </c>
      <c r="H398" s="106">
        <v>7.0999999999999994E-2</v>
      </c>
      <c r="I398" s="108">
        <v>90</v>
      </c>
      <c r="J398" s="108">
        <v>3</v>
      </c>
      <c r="K398" s="106">
        <f>0.48/2.4</f>
        <v>0.2</v>
      </c>
      <c r="L398" s="106"/>
      <c r="M398" s="106"/>
    </row>
    <row r="399" spans="1:13" s="74" customFormat="1" ht="31.5" customHeight="1" thickBot="1">
      <c r="A399" s="262">
        <v>118</v>
      </c>
      <c r="B399" s="106"/>
      <c r="C399" s="107" t="s">
        <v>277</v>
      </c>
      <c r="D399" s="106" t="s">
        <v>276</v>
      </c>
      <c r="E399" s="106" t="s">
        <v>880</v>
      </c>
      <c r="F399" s="106" t="s">
        <v>846</v>
      </c>
      <c r="G399" s="106" t="s">
        <v>909</v>
      </c>
      <c r="H399" s="106">
        <v>0</v>
      </c>
      <c r="I399" s="108">
        <v>130</v>
      </c>
      <c r="J399" s="108">
        <v>0</v>
      </c>
      <c r="K399" s="106">
        <f>0.15/2.4</f>
        <v>6.25E-2</v>
      </c>
      <c r="L399" s="106"/>
      <c r="M399" s="106"/>
    </row>
    <row r="400" spans="1:13" s="44" customFormat="1" ht="31.5" customHeight="1" thickBot="1">
      <c r="A400" s="262">
        <v>119</v>
      </c>
      <c r="B400" s="106"/>
      <c r="C400" s="107" t="s">
        <v>279</v>
      </c>
      <c r="D400" s="106" t="s">
        <v>278</v>
      </c>
      <c r="E400" s="106" t="s">
        <v>880</v>
      </c>
      <c r="F400" s="106" t="s">
        <v>846</v>
      </c>
      <c r="G400" s="106" t="s">
        <v>909</v>
      </c>
      <c r="H400" s="106">
        <v>0</v>
      </c>
      <c r="I400" s="108">
        <v>130</v>
      </c>
      <c r="J400" s="108">
        <v>0</v>
      </c>
      <c r="K400" s="106">
        <f>0.15/2.4</f>
        <v>6.25E-2</v>
      </c>
      <c r="L400" s="106"/>
      <c r="M400" s="106"/>
    </row>
    <row r="401" spans="1:13" s="44" customFormat="1" ht="31.5" customHeight="1" thickBot="1">
      <c r="A401" s="262">
        <v>120</v>
      </c>
      <c r="B401" s="360" t="s">
        <v>420</v>
      </c>
      <c r="C401" s="384" t="s">
        <v>1139</v>
      </c>
      <c r="D401" s="360" t="s">
        <v>281</v>
      </c>
      <c r="E401" s="360" t="s">
        <v>906</v>
      </c>
      <c r="F401" s="360" t="s">
        <v>856</v>
      </c>
      <c r="G401" s="360">
        <v>19</v>
      </c>
      <c r="H401" s="360">
        <v>9.2999999999999999E-2</v>
      </c>
      <c r="I401" s="360">
        <v>90</v>
      </c>
      <c r="J401" s="360">
        <f>1.83/2.4</f>
        <v>0.76250000000000007</v>
      </c>
      <c r="K401" s="360">
        <f>1.734/2.4</f>
        <v>0.72250000000000003</v>
      </c>
      <c r="L401" s="360"/>
      <c r="M401" s="362"/>
    </row>
    <row r="402" spans="1:13" s="44" customFormat="1" ht="31.5" customHeight="1" thickBot="1">
      <c r="A402" s="262">
        <v>121</v>
      </c>
      <c r="B402" s="360" t="s">
        <v>420</v>
      </c>
      <c r="C402" s="384" t="s">
        <v>742</v>
      </c>
      <c r="D402" s="360" t="s">
        <v>741</v>
      </c>
      <c r="E402" s="360" t="s">
        <v>906</v>
      </c>
      <c r="F402" s="360" t="s">
        <v>846</v>
      </c>
      <c r="G402" s="360" t="s">
        <v>886</v>
      </c>
      <c r="H402" s="360"/>
      <c r="I402" s="360">
        <v>120</v>
      </c>
      <c r="J402" s="360"/>
      <c r="K402" s="360"/>
      <c r="L402" s="360"/>
      <c r="M402" s="362"/>
    </row>
    <row r="403" spans="1:13" s="44" customFormat="1" ht="31.5" customHeight="1" thickBot="1">
      <c r="A403" s="262">
        <v>122</v>
      </c>
      <c r="B403" s="360" t="s">
        <v>420</v>
      </c>
      <c r="C403" s="384" t="s">
        <v>744</v>
      </c>
      <c r="D403" s="360" t="s">
        <v>743</v>
      </c>
      <c r="E403" s="360" t="s">
        <v>906</v>
      </c>
      <c r="F403" s="360" t="s">
        <v>846</v>
      </c>
      <c r="G403" s="360" t="s">
        <v>1051</v>
      </c>
      <c r="H403" s="360"/>
      <c r="I403" s="360">
        <v>60</v>
      </c>
      <c r="J403" s="360"/>
      <c r="K403" s="360"/>
      <c r="L403" s="360"/>
      <c r="M403" s="362"/>
    </row>
    <row r="404" spans="1:13" s="44" customFormat="1" ht="31.5" customHeight="1" thickBot="1">
      <c r="A404" s="262">
        <v>123</v>
      </c>
      <c r="B404" s="360" t="s">
        <v>420</v>
      </c>
      <c r="C404" s="384" t="s">
        <v>749</v>
      </c>
      <c r="D404" s="360" t="s">
        <v>748</v>
      </c>
      <c r="E404" s="360" t="s">
        <v>906</v>
      </c>
      <c r="F404" s="360" t="s">
        <v>846</v>
      </c>
      <c r="G404" s="360" t="s">
        <v>1140</v>
      </c>
      <c r="H404" s="360"/>
      <c r="I404" s="360">
        <v>60</v>
      </c>
      <c r="J404" s="360"/>
      <c r="K404" s="360">
        <v>0.193</v>
      </c>
      <c r="L404" s="360"/>
      <c r="M404" s="362"/>
    </row>
    <row r="405" spans="1:13" s="44" customFormat="1" ht="31.5" customHeight="1" thickBot="1">
      <c r="A405" s="262">
        <v>124</v>
      </c>
      <c r="B405" s="360" t="s">
        <v>420</v>
      </c>
      <c r="C405" s="384" t="s">
        <v>1141</v>
      </c>
      <c r="D405" s="360" t="s">
        <v>755</v>
      </c>
      <c r="E405" s="360" t="s">
        <v>906</v>
      </c>
      <c r="F405" s="360" t="s">
        <v>846</v>
      </c>
      <c r="G405" s="360"/>
      <c r="H405" s="360"/>
      <c r="I405" s="360">
        <v>60</v>
      </c>
      <c r="J405" s="360"/>
      <c r="K405" s="360"/>
      <c r="L405" s="360"/>
      <c r="M405" s="362"/>
    </row>
    <row r="406" spans="1:13" s="44" customFormat="1" ht="29.25" customHeight="1" thickBot="1">
      <c r="A406" s="262">
        <v>125</v>
      </c>
      <c r="B406" s="360" t="s">
        <v>420</v>
      </c>
      <c r="C406" s="384" t="s">
        <v>1142</v>
      </c>
      <c r="D406" s="360" t="s">
        <v>750</v>
      </c>
      <c r="E406" s="360" t="s">
        <v>906</v>
      </c>
      <c r="F406" s="360" t="s">
        <v>846</v>
      </c>
      <c r="G406" s="360" t="s">
        <v>886</v>
      </c>
      <c r="H406" s="360"/>
      <c r="I406" s="360">
        <v>61</v>
      </c>
      <c r="J406" s="360"/>
      <c r="K406" s="360">
        <v>0.14000000000000001</v>
      </c>
      <c r="L406" s="360"/>
      <c r="M406" s="362" t="s">
        <v>970</v>
      </c>
    </row>
    <row r="407" spans="1:13" s="44" customFormat="1" ht="31.5" customHeight="1">
      <c r="A407" s="351">
        <v>126</v>
      </c>
      <c r="B407" s="360" t="s">
        <v>420</v>
      </c>
      <c r="C407" s="384" t="s">
        <v>763</v>
      </c>
      <c r="D407" s="360" t="s">
        <v>753</v>
      </c>
      <c r="E407" s="360" t="s">
        <v>906</v>
      </c>
      <c r="F407" s="360" t="s">
        <v>846</v>
      </c>
      <c r="G407" s="360" t="s">
        <v>1051</v>
      </c>
      <c r="H407" s="360"/>
      <c r="I407" s="360">
        <v>62</v>
      </c>
      <c r="J407" s="360"/>
      <c r="K407" s="360">
        <v>0.33100000000000002</v>
      </c>
      <c r="L407" s="360"/>
      <c r="M407" s="362" t="s">
        <v>970</v>
      </c>
    </row>
    <row r="408" spans="1:13" s="44" customFormat="1" ht="31.5" customHeight="1">
      <c r="A408" s="352">
        <v>127</v>
      </c>
      <c r="B408" s="106" t="s">
        <v>420</v>
      </c>
      <c r="C408" s="107">
        <v>181261</v>
      </c>
      <c r="D408" s="106" t="s">
        <v>701</v>
      </c>
      <c r="E408" s="106" t="s">
        <v>906</v>
      </c>
      <c r="F408" s="106" t="s">
        <v>846</v>
      </c>
      <c r="G408" s="106" t="s">
        <v>1026</v>
      </c>
      <c r="H408" s="106"/>
      <c r="I408" s="106">
        <v>62</v>
      </c>
      <c r="J408" s="106"/>
      <c r="K408" s="106">
        <v>1.6319999999999999</v>
      </c>
      <c r="L408" s="106"/>
      <c r="M408" s="106" t="s">
        <v>998</v>
      </c>
    </row>
    <row r="409" spans="1:13" s="44" customFormat="1" ht="31.5" customHeight="1">
      <c r="A409" s="352" t="s">
        <v>16</v>
      </c>
      <c r="B409" s="106" t="s">
        <v>420</v>
      </c>
      <c r="C409" s="107" t="s">
        <v>815</v>
      </c>
      <c r="D409" s="106" t="s">
        <v>814</v>
      </c>
      <c r="E409" s="106"/>
      <c r="F409" s="106"/>
      <c r="G409" s="106"/>
      <c r="H409" s="106"/>
      <c r="I409" s="106"/>
      <c r="J409" s="106"/>
      <c r="K409" s="106"/>
      <c r="L409" s="106"/>
      <c r="M409" s="106"/>
    </row>
    <row r="410" spans="1:13" s="44" customFormat="1" ht="31.5" customHeight="1">
      <c r="A410" s="385">
        <v>128</v>
      </c>
      <c r="B410" s="126" t="s">
        <v>420</v>
      </c>
      <c r="C410" s="386" t="s">
        <v>765</v>
      </c>
      <c r="D410" s="126" t="s">
        <v>745</v>
      </c>
      <c r="E410" s="126" t="s">
        <v>906</v>
      </c>
      <c r="F410" s="126" t="s">
        <v>846</v>
      </c>
      <c r="G410" s="126" t="s">
        <v>881</v>
      </c>
      <c r="H410" s="126"/>
      <c r="I410" s="126">
        <v>120</v>
      </c>
      <c r="J410" s="126"/>
      <c r="K410" s="126"/>
      <c r="L410" s="126"/>
      <c r="M410" s="126" t="s">
        <v>970</v>
      </c>
    </row>
    <row r="411" spans="1:13" s="44" customFormat="1" ht="31.5" customHeight="1">
      <c r="A411" s="385">
        <v>129</v>
      </c>
      <c r="B411" s="126" t="s">
        <v>420</v>
      </c>
      <c r="C411" s="386" t="s">
        <v>1143</v>
      </c>
      <c r="D411" s="126" t="s">
        <v>761</v>
      </c>
      <c r="E411" s="126" t="s">
        <v>906</v>
      </c>
      <c r="F411" s="126" t="s">
        <v>846</v>
      </c>
      <c r="G411" s="126" t="s">
        <v>1140</v>
      </c>
      <c r="H411" s="126"/>
      <c r="I411" s="126">
        <v>120</v>
      </c>
      <c r="J411" s="126"/>
      <c r="K411" s="126">
        <v>0.17499999999999999</v>
      </c>
      <c r="L411" s="126"/>
      <c r="M411" s="126" t="s">
        <v>970</v>
      </c>
    </row>
    <row r="412" spans="1:13" s="44" customFormat="1" ht="31.5" customHeight="1">
      <c r="A412" s="385">
        <v>130</v>
      </c>
      <c r="B412" s="126" t="s">
        <v>420</v>
      </c>
      <c r="C412" s="386" t="s">
        <v>754</v>
      </c>
      <c r="D412" s="126" t="s">
        <v>770</v>
      </c>
      <c r="E412" s="126" t="s">
        <v>906</v>
      </c>
      <c r="F412" s="126" t="s">
        <v>846</v>
      </c>
      <c r="G412" s="126" t="s">
        <v>1051</v>
      </c>
      <c r="H412" s="126"/>
      <c r="I412" s="126">
        <v>90</v>
      </c>
      <c r="J412" s="126"/>
      <c r="K412" s="126"/>
      <c r="L412" s="126"/>
      <c r="M412" s="126" t="s">
        <v>970</v>
      </c>
    </row>
    <row r="413" spans="1:13" s="44" customFormat="1" ht="31.5" customHeight="1">
      <c r="A413" s="385">
        <v>131</v>
      </c>
      <c r="B413" s="126" t="s">
        <v>420</v>
      </c>
      <c r="C413" s="386" t="s">
        <v>767</v>
      </c>
      <c r="D413" s="126" t="s">
        <v>1144</v>
      </c>
      <c r="E413" s="126" t="s">
        <v>906</v>
      </c>
      <c r="F413" s="126" t="s">
        <v>846</v>
      </c>
      <c r="G413" s="126" t="s">
        <v>1145</v>
      </c>
      <c r="H413" s="126"/>
      <c r="I413" s="126">
        <v>90</v>
      </c>
      <c r="J413" s="126"/>
      <c r="K413" s="126"/>
      <c r="L413" s="126"/>
      <c r="M413" s="126" t="s">
        <v>907</v>
      </c>
    </row>
    <row r="414" spans="1:13" s="44" customFormat="1" ht="31.5" customHeight="1">
      <c r="A414" s="385">
        <v>132</v>
      </c>
      <c r="B414" s="126" t="s">
        <v>420</v>
      </c>
      <c r="C414" s="386" t="s">
        <v>767</v>
      </c>
      <c r="D414" s="126" t="s">
        <v>766</v>
      </c>
      <c r="E414" s="126" t="s">
        <v>906</v>
      </c>
      <c r="F414" s="126" t="s">
        <v>846</v>
      </c>
      <c r="G414" s="126" t="s">
        <v>1145</v>
      </c>
      <c r="H414" s="126"/>
      <c r="I414" s="126">
        <v>90</v>
      </c>
      <c r="J414" s="126"/>
      <c r="K414" s="126"/>
      <c r="L414" s="126"/>
      <c r="M414" s="126" t="s">
        <v>907</v>
      </c>
    </row>
    <row r="415" spans="1:13" s="44" customFormat="1" ht="31.5" customHeight="1">
      <c r="A415" s="385">
        <v>133</v>
      </c>
      <c r="B415" s="126" t="s">
        <v>420</v>
      </c>
      <c r="C415" s="386" t="s">
        <v>771</v>
      </c>
      <c r="D415" s="126" t="s">
        <v>768</v>
      </c>
      <c r="E415" s="126" t="s">
        <v>906</v>
      </c>
      <c r="F415" s="126" t="s">
        <v>846</v>
      </c>
      <c r="G415" s="126">
        <v>10</v>
      </c>
      <c r="H415" s="126"/>
      <c r="I415" s="126">
        <v>120</v>
      </c>
      <c r="J415" s="126"/>
      <c r="K415" s="126">
        <v>6.5000000000000002E-2</v>
      </c>
      <c r="L415" s="126"/>
      <c r="M415" s="126" t="s">
        <v>907</v>
      </c>
    </row>
    <row r="416" spans="1:13" s="44" customFormat="1" ht="31.5" customHeight="1">
      <c r="A416" s="385">
        <v>134</v>
      </c>
      <c r="B416" s="126" t="s">
        <v>420</v>
      </c>
      <c r="C416" s="387" t="s">
        <v>773</v>
      </c>
      <c r="D416" s="126" t="s">
        <v>772</v>
      </c>
      <c r="E416" s="126" t="s">
        <v>906</v>
      </c>
      <c r="F416" s="126" t="s">
        <v>846</v>
      </c>
      <c r="G416" s="126" t="s">
        <v>1026</v>
      </c>
      <c r="H416" s="126"/>
      <c r="I416" s="126">
        <v>120</v>
      </c>
      <c r="J416" s="126"/>
      <c r="K416" s="126">
        <v>0.31</v>
      </c>
      <c r="L416" s="126"/>
      <c r="M416" s="126" t="s">
        <v>970</v>
      </c>
    </row>
    <row r="417" spans="1:13" s="44" customFormat="1" ht="31.5" customHeight="1">
      <c r="A417" s="385">
        <v>135</v>
      </c>
      <c r="B417" s="126" t="s">
        <v>420</v>
      </c>
      <c r="C417" s="387" t="s">
        <v>433</v>
      </c>
      <c r="D417" s="126" t="s">
        <v>774</v>
      </c>
      <c r="E417" s="126" t="s">
        <v>906</v>
      </c>
      <c r="F417" s="126" t="s">
        <v>846</v>
      </c>
      <c r="G417" s="126" t="s">
        <v>1031</v>
      </c>
      <c r="H417" s="126"/>
      <c r="I417" s="126">
        <v>120</v>
      </c>
      <c r="J417" s="126"/>
      <c r="K417" s="126">
        <v>0.11799999999999999</v>
      </c>
      <c r="L417" s="126"/>
      <c r="M417" s="126" t="s">
        <v>970</v>
      </c>
    </row>
    <row r="418" spans="1:13" s="44" customFormat="1" ht="31.5" customHeight="1">
      <c r="A418" s="385">
        <v>136</v>
      </c>
      <c r="B418" s="126" t="s">
        <v>420</v>
      </c>
      <c r="C418" s="387" t="s">
        <v>776</v>
      </c>
      <c r="D418" s="126" t="s">
        <v>775</v>
      </c>
      <c r="E418" s="126" t="s">
        <v>906</v>
      </c>
      <c r="F418" s="126" t="s">
        <v>846</v>
      </c>
      <c r="G418" s="126" t="s">
        <v>1146</v>
      </c>
      <c r="H418" s="126"/>
      <c r="I418" s="126">
        <v>80</v>
      </c>
      <c r="J418" s="126"/>
      <c r="K418" s="126">
        <v>0.62</v>
      </c>
      <c r="L418" s="126"/>
      <c r="M418" s="126" t="s">
        <v>998</v>
      </c>
    </row>
    <row r="419" spans="1:13" s="44" customFormat="1" ht="31.5" customHeight="1">
      <c r="A419" s="385">
        <v>137</v>
      </c>
      <c r="B419" s="126" t="s">
        <v>420</v>
      </c>
      <c r="C419" s="387" t="s">
        <v>778</v>
      </c>
      <c r="D419" s="126" t="s">
        <v>779</v>
      </c>
      <c r="E419" s="126" t="s">
        <v>906</v>
      </c>
      <c r="F419" s="126" t="s">
        <v>846</v>
      </c>
      <c r="G419" s="126" t="s">
        <v>1026</v>
      </c>
      <c r="H419" s="126"/>
      <c r="I419" s="126">
        <v>80</v>
      </c>
      <c r="J419" s="126"/>
      <c r="K419" s="126">
        <v>0.33200000000000002</v>
      </c>
      <c r="L419" s="126"/>
      <c r="M419" s="126" t="s">
        <v>970</v>
      </c>
    </row>
    <row r="420" spans="1:13" s="44" customFormat="1" ht="31.5" customHeight="1">
      <c r="A420" s="385">
        <v>138</v>
      </c>
      <c r="B420" s="126" t="s">
        <v>420</v>
      </c>
      <c r="C420" s="387" t="s">
        <v>1147</v>
      </c>
      <c r="D420" s="126" t="s">
        <v>780</v>
      </c>
      <c r="E420" s="126" t="s">
        <v>906</v>
      </c>
      <c r="F420" s="126" t="s">
        <v>846</v>
      </c>
      <c r="G420" s="126" t="s">
        <v>1148</v>
      </c>
      <c r="H420" s="126"/>
      <c r="I420" s="126">
        <v>90</v>
      </c>
      <c r="J420" s="126"/>
      <c r="K420" s="126">
        <v>0.128</v>
      </c>
      <c r="L420" s="126"/>
      <c r="M420" s="126" t="s">
        <v>1149</v>
      </c>
    </row>
    <row r="421" spans="1:13" s="44" customFormat="1" ht="31.5" customHeight="1">
      <c r="A421" s="385">
        <v>139</v>
      </c>
      <c r="B421" s="126" t="s">
        <v>420</v>
      </c>
      <c r="C421" s="388">
        <v>7012</v>
      </c>
      <c r="D421" s="126" t="s">
        <v>782</v>
      </c>
      <c r="E421" s="126"/>
      <c r="F421" s="126" t="s">
        <v>846</v>
      </c>
      <c r="G421" s="126"/>
      <c r="H421" s="126"/>
      <c r="I421" s="126">
        <v>20</v>
      </c>
      <c r="J421" s="126"/>
      <c r="K421" s="126"/>
      <c r="L421" s="126"/>
      <c r="M421" s="126" t="s">
        <v>1150</v>
      </c>
    </row>
    <row r="422" spans="1:13" s="44" customFormat="1" ht="31.5" customHeight="1">
      <c r="A422" s="385">
        <v>140</v>
      </c>
      <c r="B422" s="126" t="s">
        <v>420</v>
      </c>
      <c r="C422" s="388" t="s">
        <v>1151</v>
      </c>
      <c r="D422" s="126" t="s">
        <v>783</v>
      </c>
      <c r="E422" s="126"/>
      <c r="F422" s="126" t="s">
        <v>846</v>
      </c>
      <c r="G422" s="126" t="s">
        <v>1024</v>
      </c>
      <c r="H422" s="126"/>
      <c r="I422" s="126">
        <v>120</v>
      </c>
      <c r="J422" s="126"/>
      <c r="K422" s="126"/>
      <c r="L422" s="126"/>
      <c r="M422" s="126" t="s">
        <v>1150</v>
      </c>
    </row>
    <row r="423" spans="1:13" s="44" customFormat="1" ht="31.5" customHeight="1">
      <c r="A423" s="385">
        <v>141</v>
      </c>
      <c r="B423" s="126" t="s">
        <v>420</v>
      </c>
      <c r="C423" s="388" t="s">
        <v>718</v>
      </c>
      <c r="D423" s="126" t="s">
        <v>784</v>
      </c>
      <c r="E423" s="126"/>
      <c r="F423" s="126" t="s">
        <v>846</v>
      </c>
      <c r="G423" s="126" t="s">
        <v>985</v>
      </c>
      <c r="H423" s="126"/>
      <c r="I423" s="126">
        <v>120</v>
      </c>
      <c r="J423" s="126"/>
      <c r="K423" s="126"/>
      <c r="L423" s="126"/>
      <c r="M423" s="126" t="s">
        <v>1150</v>
      </c>
    </row>
    <row r="424" spans="1:13" s="44" customFormat="1" ht="31.5" customHeight="1">
      <c r="A424" s="385">
        <v>142</v>
      </c>
      <c r="B424" s="126" t="s">
        <v>420</v>
      </c>
      <c r="C424" s="388" t="s">
        <v>787</v>
      </c>
      <c r="D424" s="126" t="s">
        <v>786</v>
      </c>
      <c r="E424" s="126"/>
      <c r="F424" s="126" t="s">
        <v>846</v>
      </c>
      <c r="G424" s="126" t="s">
        <v>1051</v>
      </c>
      <c r="H424" s="126"/>
      <c r="I424" s="126">
        <v>120</v>
      </c>
      <c r="J424" s="126"/>
      <c r="K424" s="126"/>
      <c r="L424" s="126"/>
      <c r="M424" s="126" t="s">
        <v>1150</v>
      </c>
    </row>
    <row r="425" spans="1:13" s="44" customFormat="1" ht="31.5" customHeight="1">
      <c r="A425" s="385">
        <v>143</v>
      </c>
      <c r="B425" s="126" t="s">
        <v>847</v>
      </c>
      <c r="C425" s="388" t="s">
        <v>789</v>
      </c>
      <c r="D425" s="126" t="s">
        <v>788</v>
      </c>
      <c r="E425" s="126"/>
      <c r="F425" s="126" t="s">
        <v>846</v>
      </c>
      <c r="G425" s="126"/>
      <c r="H425" s="126"/>
      <c r="I425" s="126">
        <v>30</v>
      </c>
      <c r="J425" s="126"/>
      <c r="K425" s="126"/>
      <c r="L425" s="126"/>
      <c r="M425" s="126" t="s">
        <v>907</v>
      </c>
    </row>
    <row r="426" spans="1:13" s="44" customFormat="1" ht="31.5" customHeight="1">
      <c r="A426" s="385">
        <v>144</v>
      </c>
      <c r="B426" s="126" t="s">
        <v>847</v>
      </c>
      <c r="C426" s="388" t="s">
        <v>791</v>
      </c>
      <c r="D426" s="126" t="s">
        <v>790</v>
      </c>
      <c r="E426" s="126"/>
      <c r="F426" s="126" t="s">
        <v>846</v>
      </c>
      <c r="G426" s="126" t="s">
        <v>1031</v>
      </c>
      <c r="H426" s="126"/>
      <c r="I426" s="126">
        <v>120</v>
      </c>
      <c r="J426" s="126"/>
      <c r="K426" s="126"/>
      <c r="L426" s="126"/>
      <c r="M426" s="126" t="s">
        <v>887</v>
      </c>
    </row>
    <row r="427" spans="1:13" s="44" customFormat="1" ht="31.5" customHeight="1">
      <c r="A427" s="385">
        <v>145</v>
      </c>
      <c r="B427" s="126" t="s">
        <v>847</v>
      </c>
      <c r="C427" s="388" t="s">
        <v>554</v>
      </c>
      <c r="D427" s="126" t="s">
        <v>793</v>
      </c>
      <c r="E427" s="126"/>
      <c r="F427" s="126" t="s">
        <v>846</v>
      </c>
      <c r="G427" s="126" t="s">
        <v>884</v>
      </c>
      <c r="H427" s="126"/>
      <c r="I427" s="126">
        <v>120</v>
      </c>
      <c r="J427" s="126"/>
      <c r="K427" s="126"/>
      <c r="L427" s="126"/>
      <c r="M427" s="126" t="s">
        <v>887</v>
      </c>
    </row>
    <row r="428" spans="1:13" s="44" customFormat="1" ht="31.5" customHeight="1">
      <c r="A428" s="385">
        <v>146</v>
      </c>
      <c r="B428" s="126" t="s">
        <v>847</v>
      </c>
      <c r="C428" s="388" t="s">
        <v>754</v>
      </c>
      <c r="D428" s="126" t="s">
        <v>792</v>
      </c>
      <c r="E428" s="126"/>
      <c r="F428" s="126" t="s">
        <v>846</v>
      </c>
      <c r="G428" s="126" t="s">
        <v>1051</v>
      </c>
      <c r="H428" s="126"/>
      <c r="I428" s="126">
        <v>120</v>
      </c>
      <c r="J428" s="126"/>
      <c r="K428" s="126"/>
      <c r="L428" s="126"/>
      <c r="M428" s="126" t="s">
        <v>887</v>
      </c>
    </row>
    <row r="429" spans="1:13" s="44" customFormat="1" ht="31.5" customHeight="1">
      <c r="A429" s="385">
        <v>147</v>
      </c>
      <c r="B429" s="126" t="s">
        <v>1152</v>
      </c>
      <c r="C429" s="388" t="s">
        <v>795</v>
      </c>
      <c r="D429" s="126" t="s">
        <v>794</v>
      </c>
      <c r="E429" s="126"/>
      <c r="F429" s="126" t="s">
        <v>846</v>
      </c>
      <c r="G429" s="126">
        <v>25</v>
      </c>
      <c r="H429" s="126"/>
      <c r="I429" s="126">
        <v>30</v>
      </c>
      <c r="J429" s="126"/>
      <c r="K429" s="126"/>
      <c r="L429" s="126"/>
      <c r="M429" s="126" t="s">
        <v>998</v>
      </c>
    </row>
    <row r="430" spans="1:13" s="44" customFormat="1" ht="31.5" customHeight="1">
      <c r="A430" s="385">
        <v>148</v>
      </c>
      <c r="B430" s="126" t="s">
        <v>1152</v>
      </c>
      <c r="C430" s="388" t="s">
        <v>797</v>
      </c>
      <c r="D430" s="126" t="s">
        <v>796</v>
      </c>
      <c r="E430" s="126"/>
      <c r="F430" s="126" t="s">
        <v>846</v>
      </c>
      <c r="G430" s="126" t="s">
        <v>1153</v>
      </c>
      <c r="H430" s="126"/>
      <c r="I430" s="126">
        <v>24</v>
      </c>
      <c r="J430" s="126"/>
      <c r="K430" s="126"/>
      <c r="L430" s="126"/>
      <c r="M430" s="126" t="s">
        <v>998</v>
      </c>
    </row>
    <row r="431" spans="1:13" s="44" customFormat="1" ht="31.5" customHeight="1">
      <c r="A431" s="385">
        <v>149</v>
      </c>
      <c r="B431" s="126" t="s">
        <v>1152</v>
      </c>
      <c r="C431" s="388" t="s">
        <v>530</v>
      </c>
      <c r="D431" s="126" t="s">
        <v>798</v>
      </c>
      <c r="E431" s="126"/>
      <c r="F431" s="126" t="s">
        <v>846</v>
      </c>
      <c r="G431" s="126" t="s">
        <v>1154</v>
      </c>
      <c r="H431" s="126"/>
      <c r="I431" s="126">
        <v>120</v>
      </c>
      <c r="J431" s="126"/>
      <c r="K431" s="126"/>
      <c r="L431" s="126"/>
      <c r="M431" s="126" t="s">
        <v>970</v>
      </c>
    </row>
    <row r="432" spans="1:13" s="44" customFormat="1" ht="31.5" customHeight="1">
      <c r="A432" s="385">
        <v>150</v>
      </c>
      <c r="B432" s="126" t="s">
        <v>1152</v>
      </c>
      <c r="C432" s="388" t="s">
        <v>801</v>
      </c>
      <c r="D432" s="126" t="s">
        <v>800</v>
      </c>
      <c r="E432" s="126"/>
      <c r="F432" s="126" t="s">
        <v>846</v>
      </c>
      <c r="G432" s="126">
        <v>10.5</v>
      </c>
      <c r="H432" s="126"/>
      <c r="I432" s="126">
        <v>90</v>
      </c>
      <c r="J432" s="126"/>
      <c r="K432" s="126"/>
      <c r="L432" s="126"/>
      <c r="M432" s="126" t="s">
        <v>970</v>
      </c>
    </row>
    <row r="433" spans="1:13" s="44" customFormat="1" ht="31.5" customHeight="1">
      <c r="A433" s="385">
        <v>151</v>
      </c>
      <c r="B433" s="126" t="s">
        <v>1152</v>
      </c>
      <c r="C433" s="388" t="s">
        <v>1410</v>
      </c>
      <c r="D433" s="126" t="s">
        <v>1409</v>
      </c>
      <c r="E433" s="126"/>
      <c r="F433" s="126"/>
      <c r="G433" s="126"/>
      <c r="H433" s="126"/>
      <c r="I433" s="126">
        <v>45</v>
      </c>
      <c r="J433" s="126"/>
      <c r="K433" s="126"/>
      <c r="L433" s="126"/>
      <c r="M433" s="126" t="s">
        <v>970</v>
      </c>
    </row>
    <row r="434" spans="1:13" s="44" customFormat="1" ht="31.5" customHeight="1">
      <c r="A434" s="385">
        <v>152</v>
      </c>
      <c r="B434" s="126" t="s">
        <v>1152</v>
      </c>
      <c r="C434" s="388" t="s">
        <v>1414</v>
      </c>
      <c r="D434" s="126" t="s">
        <v>1413</v>
      </c>
      <c r="E434" s="126"/>
      <c r="F434" s="126"/>
      <c r="G434" s="126"/>
      <c r="H434" s="126"/>
      <c r="I434" s="126">
        <v>70</v>
      </c>
      <c r="J434" s="126"/>
      <c r="K434" s="126"/>
      <c r="L434" s="126"/>
      <c r="M434" s="126" t="s">
        <v>970</v>
      </c>
    </row>
    <row r="435" spans="1:13" s="44" customFormat="1" ht="31.5" customHeight="1">
      <c r="A435" s="385">
        <v>153</v>
      </c>
      <c r="B435" s="126" t="s">
        <v>1152</v>
      </c>
      <c r="C435" s="388" t="s">
        <v>1416</v>
      </c>
      <c r="D435" s="126" t="s">
        <v>1415</v>
      </c>
      <c r="E435" s="126"/>
      <c r="F435" s="126"/>
      <c r="G435" s="126"/>
      <c r="H435" s="126"/>
      <c r="I435" s="126">
        <v>120</v>
      </c>
      <c r="J435" s="126"/>
      <c r="K435" s="126"/>
      <c r="L435" s="126"/>
      <c r="M435" s="126" t="s">
        <v>970</v>
      </c>
    </row>
    <row r="436" spans="1:13" s="44" customFormat="1" ht="31.5" customHeight="1">
      <c r="A436" s="385">
        <v>154</v>
      </c>
      <c r="B436" s="126" t="s">
        <v>1152</v>
      </c>
      <c r="C436" s="388" t="s">
        <v>1422</v>
      </c>
      <c r="D436" s="126" t="s">
        <v>1420</v>
      </c>
      <c r="E436" s="126"/>
      <c r="F436" s="126"/>
      <c r="G436" s="126"/>
      <c r="H436" s="126"/>
      <c r="I436" s="126">
        <v>50</v>
      </c>
      <c r="J436" s="126"/>
      <c r="K436" s="126"/>
      <c r="L436" s="126"/>
      <c r="M436" s="126" t="s">
        <v>970</v>
      </c>
    </row>
    <row r="437" spans="1:13" s="44" customFormat="1" ht="31.5" customHeight="1">
      <c r="A437" s="385">
        <v>155</v>
      </c>
      <c r="B437" s="126" t="s">
        <v>1152</v>
      </c>
      <c r="C437" s="388" t="s">
        <v>809</v>
      </c>
      <c r="D437" s="126" t="s">
        <v>1417</v>
      </c>
      <c r="E437" s="126"/>
      <c r="F437" s="126"/>
      <c r="G437" s="126"/>
      <c r="H437" s="126"/>
      <c r="I437" s="126">
        <v>90</v>
      </c>
      <c r="J437" s="126"/>
      <c r="K437" s="126"/>
      <c r="L437" s="126"/>
      <c r="M437" s="126" t="s">
        <v>970</v>
      </c>
    </row>
    <row r="438" spans="1:13" s="44" customFormat="1" ht="31.5" customHeight="1">
      <c r="A438" s="385">
        <v>156</v>
      </c>
      <c r="B438" s="126" t="s">
        <v>1152</v>
      </c>
      <c r="C438" s="388" t="s">
        <v>1419</v>
      </c>
      <c r="D438" s="126" t="s">
        <v>1418</v>
      </c>
      <c r="E438" s="126"/>
      <c r="F438" s="126"/>
      <c r="G438" s="126"/>
      <c r="H438" s="126"/>
      <c r="I438" s="126">
        <v>90</v>
      </c>
      <c r="J438" s="126"/>
      <c r="K438" s="126"/>
      <c r="L438" s="126"/>
      <c r="M438" s="126" t="s">
        <v>970</v>
      </c>
    </row>
    <row r="439" spans="1:13" s="44" customFormat="1" ht="31.5" customHeight="1">
      <c r="C439" s="389"/>
      <c r="I439" s="71"/>
      <c r="J439" s="71"/>
    </row>
    <row r="440" spans="1:13" s="44" customFormat="1" ht="31.5" customHeight="1">
      <c r="C440" s="389"/>
      <c r="I440" s="71"/>
      <c r="J440" s="71"/>
    </row>
    <row r="441" spans="1:13" s="44" customFormat="1" ht="31.5" customHeight="1">
      <c r="C441" s="389"/>
      <c r="I441" s="71"/>
      <c r="J441" s="71"/>
    </row>
    <row r="442" spans="1:13" s="44" customFormat="1" ht="31.5" customHeight="1">
      <c r="C442" s="389"/>
      <c r="I442" s="71"/>
      <c r="J442" s="71"/>
    </row>
    <row r="443" spans="1:13" s="44" customFormat="1" ht="31.5" customHeight="1">
      <c r="C443" s="389"/>
      <c r="I443" s="71"/>
      <c r="J443" s="71"/>
    </row>
    <row r="444" spans="1:13" s="44" customFormat="1" ht="31.5" customHeight="1">
      <c r="C444" s="389"/>
      <c r="I444" s="71"/>
      <c r="J444" s="71"/>
    </row>
    <row r="445" spans="1:13" s="44" customFormat="1" ht="31.5" customHeight="1">
      <c r="C445" s="389"/>
      <c r="I445" s="71"/>
      <c r="J445" s="71"/>
    </row>
    <row r="446" spans="1:13" s="44" customFormat="1" ht="31.5" customHeight="1">
      <c r="C446" s="389"/>
      <c r="I446" s="71"/>
      <c r="J446" s="71"/>
    </row>
    <row r="447" spans="1:13" s="44" customFormat="1" ht="31.5" customHeight="1">
      <c r="C447" s="389"/>
      <c r="I447" s="71"/>
      <c r="J447" s="71"/>
    </row>
    <row r="448" spans="1:13" s="44" customFormat="1" ht="31.5" customHeight="1">
      <c r="C448" s="389"/>
      <c r="I448" s="71"/>
      <c r="J448" s="71"/>
    </row>
    <row r="449" spans="3:10" s="44" customFormat="1" ht="31.5" customHeight="1">
      <c r="C449" s="389"/>
      <c r="I449" s="71"/>
      <c r="J449" s="71"/>
    </row>
    <row r="450" spans="3:10" s="44" customFormat="1" ht="31.5" customHeight="1">
      <c r="C450" s="389"/>
      <c r="I450" s="71"/>
      <c r="J450" s="71"/>
    </row>
    <row r="451" spans="3:10" s="44" customFormat="1" ht="31.5" customHeight="1">
      <c r="C451" s="389"/>
      <c r="I451" s="71"/>
      <c r="J451" s="71"/>
    </row>
    <row r="452" spans="3:10" s="44" customFormat="1" ht="31.5" customHeight="1">
      <c r="C452" s="389"/>
      <c r="I452" s="71"/>
      <c r="J452" s="71"/>
    </row>
    <row r="453" spans="3:10" s="44" customFormat="1" ht="31.5" customHeight="1">
      <c r="C453" s="389"/>
      <c r="I453" s="71"/>
      <c r="J453" s="71"/>
    </row>
    <row r="454" spans="3:10" s="44" customFormat="1" ht="31.5" customHeight="1">
      <c r="C454" s="389"/>
      <c r="I454" s="71"/>
      <c r="J454" s="71"/>
    </row>
    <row r="455" spans="3:10" s="44" customFormat="1" ht="31.5" customHeight="1">
      <c r="C455" s="389"/>
      <c r="I455" s="71"/>
      <c r="J455" s="71"/>
    </row>
    <row r="456" spans="3:10" s="44" customFormat="1" ht="31.5" customHeight="1">
      <c r="C456" s="389"/>
      <c r="I456" s="71"/>
      <c r="J456" s="71"/>
    </row>
    <row r="457" spans="3:10" s="44" customFormat="1" ht="31.5" customHeight="1">
      <c r="C457" s="389"/>
      <c r="I457" s="71"/>
      <c r="J457" s="71"/>
    </row>
    <row r="458" spans="3:10" s="44" customFormat="1" ht="31.5" customHeight="1">
      <c r="C458" s="389"/>
      <c r="I458" s="71"/>
      <c r="J458" s="71"/>
    </row>
    <row r="459" spans="3:10" s="44" customFormat="1" ht="31.5" customHeight="1">
      <c r="C459" s="389"/>
      <c r="I459" s="71"/>
      <c r="J459" s="71"/>
    </row>
    <row r="460" spans="3:10" s="44" customFormat="1" ht="31.5" customHeight="1">
      <c r="C460" s="389"/>
      <c r="I460" s="71"/>
      <c r="J460" s="71"/>
    </row>
    <row r="461" spans="3:10" s="44" customFormat="1" ht="31.5" customHeight="1">
      <c r="C461" s="389"/>
      <c r="I461" s="71"/>
      <c r="J461" s="71"/>
    </row>
    <row r="462" spans="3:10" s="44" customFormat="1" ht="31.5" customHeight="1">
      <c r="C462" s="389"/>
      <c r="I462" s="71"/>
      <c r="J462" s="71"/>
    </row>
    <row r="463" spans="3:10" s="44" customFormat="1" ht="31.5" customHeight="1">
      <c r="C463" s="389"/>
      <c r="I463" s="71"/>
      <c r="J463" s="71"/>
    </row>
    <row r="464" spans="3:10" s="44" customFormat="1" ht="31.5" customHeight="1">
      <c r="C464" s="389"/>
      <c r="I464" s="71"/>
      <c r="J464" s="71"/>
    </row>
    <row r="465" spans="3:10" s="44" customFormat="1" ht="31.5" customHeight="1">
      <c r="C465" s="389"/>
      <c r="I465" s="71"/>
      <c r="J465" s="71"/>
    </row>
    <row r="466" spans="3:10" s="44" customFormat="1" ht="31.5" customHeight="1">
      <c r="C466" s="389"/>
      <c r="I466" s="71"/>
      <c r="J466" s="71"/>
    </row>
    <row r="467" spans="3:10" s="44" customFormat="1" ht="31.5" customHeight="1">
      <c r="C467" s="389"/>
      <c r="I467" s="71"/>
      <c r="J467" s="71"/>
    </row>
    <row r="468" spans="3:10" s="44" customFormat="1" ht="31.5" customHeight="1">
      <c r="C468" s="389"/>
      <c r="I468" s="71"/>
      <c r="J468" s="71"/>
    </row>
    <row r="469" spans="3:10" s="44" customFormat="1" ht="31.5" customHeight="1">
      <c r="C469" s="389"/>
      <c r="I469" s="71"/>
      <c r="J469" s="71"/>
    </row>
    <row r="470" spans="3:10" s="44" customFormat="1" ht="31.5" customHeight="1">
      <c r="C470" s="389"/>
      <c r="I470" s="71"/>
      <c r="J470" s="71"/>
    </row>
    <row r="471" spans="3:10" s="44" customFormat="1" ht="31.5" customHeight="1">
      <c r="C471" s="389"/>
      <c r="I471" s="71"/>
      <c r="J471" s="71"/>
    </row>
    <row r="472" spans="3:10" s="44" customFormat="1" ht="31.5" customHeight="1">
      <c r="C472" s="389"/>
      <c r="I472" s="71"/>
      <c r="J472" s="71"/>
    </row>
    <row r="473" spans="3:10" s="44" customFormat="1" ht="31.5" customHeight="1">
      <c r="C473" s="389"/>
      <c r="I473" s="71"/>
      <c r="J473" s="71"/>
    </row>
    <row r="474" spans="3:10" s="44" customFormat="1" ht="31.5" customHeight="1">
      <c r="C474" s="389"/>
      <c r="I474" s="71"/>
      <c r="J474" s="71"/>
    </row>
    <row r="475" spans="3:10" s="44" customFormat="1" ht="31.5" customHeight="1">
      <c r="C475" s="389"/>
      <c r="I475" s="71"/>
      <c r="J475" s="71"/>
    </row>
    <row r="476" spans="3:10" s="44" customFormat="1" ht="31.5" customHeight="1">
      <c r="C476" s="389"/>
      <c r="I476" s="71"/>
      <c r="J476" s="71"/>
    </row>
    <row r="477" spans="3:10" s="44" customFormat="1" ht="31.5" customHeight="1">
      <c r="C477" s="389"/>
      <c r="I477" s="71"/>
      <c r="J477" s="71"/>
    </row>
    <row r="478" spans="3:10" s="44" customFormat="1" ht="31.5" customHeight="1">
      <c r="C478" s="389"/>
      <c r="I478" s="71"/>
      <c r="J478" s="71"/>
    </row>
    <row r="479" spans="3:10" s="44" customFormat="1" ht="31.5" customHeight="1">
      <c r="C479" s="389"/>
      <c r="I479" s="71"/>
      <c r="J479" s="71"/>
    </row>
    <row r="480" spans="3:10" s="44" customFormat="1" ht="31.5" customHeight="1">
      <c r="C480" s="389"/>
      <c r="I480" s="71"/>
      <c r="J480" s="71"/>
    </row>
    <row r="481" spans="3:10" s="44" customFormat="1" ht="31.5" customHeight="1">
      <c r="C481" s="389"/>
      <c r="I481" s="71"/>
      <c r="J481" s="71"/>
    </row>
    <row r="482" spans="3:10" s="44" customFormat="1" ht="31.5" customHeight="1">
      <c r="C482" s="389"/>
      <c r="I482" s="71"/>
      <c r="J482" s="71"/>
    </row>
    <row r="483" spans="3:10" s="44" customFormat="1" ht="31.5" customHeight="1">
      <c r="C483" s="389"/>
      <c r="I483" s="71"/>
      <c r="J483" s="71"/>
    </row>
    <row r="484" spans="3:10" s="44" customFormat="1" ht="31.5" customHeight="1">
      <c r="C484" s="389"/>
      <c r="I484" s="71"/>
      <c r="J484" s="71"/>
    </row>
    <row r="485" spans="3:10" s="44" customFormat="1" ht="31.5" customHeight="1">
      <c r="C485" s="389"/>
      <c r="I485" s="71"/>
      <c r="J485" s="71"/>
    </row>
    <row r="486" spans="3:10" s="44" customFormat="1" ht="31.5" customHeight="1">
      <c r="C486" s="389"/>
      <c r="I486" s="71"/>
      <c r="J486" s="71"/>
    </row>
    <row r="487" spans="3:10" s="44" customFormat="1" ht="31.5" customHeight="1">
      <c r="C487" s="389"/>
      <c r="I487" s="71"/>
      <c r="J487" s="71"/>
    </row>
    <row r="488" spans="3:10" s="44" customFormat="1" ht="31.5" customHeight="1">
      <c r="C488" s="389"/>
      <c r="I488" s="71"/>
      <c r="J488" s="71"/>
    </row>
    <row r="489" spans="3:10" s="44" customFormat="1" ht="31.5" customHeight="1">
      <c r="C489" s="389"/>
      <c r="I489" s="71"/>
      <c r="J489" s="71"/>
    </row>
    <row r="490" spans="3:10" s="44" customFormat="1" ht="31.5" customHeight="1">
      <c r="C490" s="389"/>
      <c r="I490" s="71"/>
      <c r="J490" s="71"/>
    </row>
    <row r="491" spans="3:10" s="44" customFormat="1" ht="31.5" customHeight="1">
      <c r="C491" s="389"/>
      <c r="I491" s="71"/>
      <c r="J491" s="71"/>
    </row>
    <row r="492" spans="3:10" s="44" customFormat="1" ht="31.5" customHeight="1">
      <c r="C492" s="389"/>
      <c r="I492" s="71"/>
      <c r="J492" s="71"/>
    </row>
    <row r="493" spans="3:10" s="44" customFormat="1" ht="31.5" customHeight="1">
      <c r="C493" s="389"/>
      <c r="I493" s="71"/>
      <c r="J493" s="71"/>
    </row>
    <row r="494" spans="3:10" s="44" customFormat="1" ht="31.5" customHeight="1">
      <c r="C494" s="389"/>
      <c r="I494" s="71"/>
      <c r="J494" s="71"/>
    </row>
    <row r="495" spans="3:10" s="44" customFormat="1" ht="31.5" customHeight="1">
      <c r="C495" s="389"/>
      <c r="I495" s="71"/>
      <c r="J495" s="71"/>
    </row>
    <row r="496" spans="3:10" s="44" customFormat="1" ht="31.5" customHeight="1">
      <c r="C496" s="389"/>
      <c r="I496" s="71"/>
      <c r="J496" s="71"/>
    </row>
    <row r="497" spans="3:10" s="44" customFormat="1" ht="31.5" customHeight="1">
      <c r="C497" s="389"/>
      <c r="I497" s="71"/>
      <c r="J497" s="71"/>
    </row>
    <row r="498" spans="3:10" s="44" customFormat="1" ht="31.5" customHeight="1">
      <c r="C498" s="389"/>
      <c r="I498" s="71"/>
      <c r="J498" s="71"/>
    </row>
    <row r="499" spans="3:10" s="44" customFormat="1" ht="31.5" customHeight="1">
      <c r="C499" s="389"/>
      <c r="I499" s="71"/>
      <c r="J499" s="71"/>
    </row>
    <row r="500" spans="3:10" s="44" customFormat="1" ht="31.5" customHeight="1">
      <c r="C500" s="389"/>
      <c r="I500" s="71"/>
      <c r="J500" s="71"/>
    </row>
    <row r="501" spans="3:10" s="44" customFormat="1" ht="31.5" customHeight="1">
      <c r="C501" s="389"/>
      <c r="I501" s="71"/>
      <c r="J501" s="71"/>
    </row>
    <row r="502" spans="3:10" s="44" customFormat="1" ht="31.5" customHeight="1">
      <c r="C502" s="389"/>
      <c r="I502" s="71"/>
      <c r="J502" s="71"/>
    </row>
    <row r="503" spans="3:10" s="44" customFormat="1" ht="31.5" customHeight="1">
      <c r="C503" s="389"/>
      <c r="I503" s="71"/>
      <c r="J503" s="71"/>
    </row>
    <row r="504" spans="3:10" s="44" customFormat="1" ht="31.5" customHeight="1">
      <c r="C504" s="389"/>
      <c r="I504" s="71"/>
      <c r="J504" s="71"/>
    </row>
    <row r="505" spans="3:10" s="44" customFormat="1" ht="31.5" customHeight="1">
      <c r="C505" s="389"/>
      <c r="I505" s="71"/>
      <c r="J505" s="71"/>
    </row>
    <row r="506" spans="3:10" s="44" customFormat="1" ht="31.5" customHeight="1">
      <c r="C506" s="389"/>
      <c r="I506" s="71"/>
      <c r="J506" s="71"/>
    </row>
    <row r="507" spans="3:10" s="44" customFormat="1" ht="31.5" customHeight="1">
      <c r="C507" s="389"/>
      <c r="I507" s="71"/>
      <c r="J507" s="71"/>
    </row>
    <row r="508" spans="3:10" s="44" customFormat="1" ht="31.5" customHeight="1">
      <c r="C508" s="389"/>
      <c r="I508" s="71"/>
      <c r="J508" s="71"/>
    </row>
    <row r="509" spans="3:10" s="44" customFormat="1" ht="31.5" customHeight="1">
      <c r="C509" s="389"/>
      <c r="I509" s="71"/>
      <c r="J509" s="71"/>
    </row>
    <row r="510" spans="3:10" s="44" customFormat="1" ht="31.5" customHeight="1">
      <c r="C510" s="389"/>
      <c r="I510" s="71"/>
      <c r="J510" s="71"/>
    </row>
    <row r="511" spans="3:10" s="44" customFormat="1" ht="31.5" customHeight="1">
      <c r="C511" s="389"/>
      <c r="I511" s="71"/>
      <c r="J511" s="71"/>
    </row>
    <row r="512" spans="3:10" s="44" customFormat="1" ht="31.5" customHeight="1">
      <c r="C512" s="389"/>
      <c r="I512" s="71"/>
      <c r="J512" s="71"/>
    </row>
    <row r="513" spans="3:10" s="44" customFormat="1" ht="31.5" customHeight="1">
      <c r="C513" s="389"/>
      <c r="I513" s="71"/>
      <c r="J513" s="71"/>
    </row>
    <row r="514" spans="3:10" s="44" customFormat="1" ht="31.5" customHeight="1">
      <c r="C514" s="389"/>
      <c r="I514" s="71"/>
      <c r="J514" s="71"/>
    </row>
    <row r="515" spans="3:10" s="44" customFormat="1" ht="31.5" customHeight="1">
      <c r="C515" s="389"/>
      <c r="I515" s="71"/>
      <c r="J515" s="71"/>
    </row>
    <row r="516" spans="3:10" s="44" customFormat="1" ht="31.5" customHeight="1">
      <c r="C516" s="389"/>
      <c r="I516" s="71"/>
      <c r="J516" s="71"/>
    </row>
    <row r="517" spans="3:10" s="44" customFormat="1" ht="31.5" customHeight="1">
      <c r="C517" s="389"/>
      <c r="I517" s="71"/>
      <c r="J517" s="71"/>
    </row>
    <row r="518" spans="3:10" s="44" customFormat="1" ht="31.5" customHeight="1">
      <c r="C518" s="389"/>
      <c r="I518" s="71"/>
      <c r="J518" s="71"/>
    </row>
    <row r="519" spans="3:10" s="44" customFormat="1" ht="31.5" customHeight="1">
      <c r="C519" s="389"/>
      <c r="I519" s="71"/>
      <c r="J519" s="71"/>
    </row>
    <row r="520" spans="3:10" s="44" customFormat="1" ht="31.5" customHeight="1">
      <c r="C520" s="389"/>
      <c r="I520" s="71"/>
      <c r="J520" s="71"/>
    </row>
    <row r="521" spans="3:10" s="44" customFormat="1" ht="31.5" customHeight="1">
      <c r="C521" s="389"/>
      <c r="I521" s="71"/>
      <c r="J521" s="71"/>
    </row>
    <row r="522" spans="3:10" s="44" customFormat="1" ht="31.5" customHeight="1">
      <c r="C522" s="389"/>
      <c r="I522" s="71"/>
      <c r="J522" s="71"/>
    </row>
    <row r="523" spans="3:10" s="44" customFormat="1" ht="31.5" customHeight="1">
      <c r="C523" s="389"/>
      <c r="I523" s="71"/>
      <c r="J523" s="71"/>
    </row>
    <row r="524" spans="3:10" s="44" customFormat="1" ht="31.5" customHeight="1">
      <c r="C524" s="389"/>
      <c r="I524" s="71"/>
      <c r="J524" s="71"/>
    </row>
    <row r="525" spans="3:10" s="44" customFormat="1" ht="31.5" customHeight="1">
      <c r="C525" s="389"/>
      <c r="I525" s="71"/>
      <c r="J525" s="71"/>
    </row>
    <row r="526" spans="3:10" s="44" customFormat="1" ht="31.5" customHeight="1">
      <c r="C526" s="389"/>
      <c r="I526" s="71"/>
      <c r="J526" s="71"/>
    </row>
    <row r="527" spans="3:10" s="44" customFormat="1" ht="31.5" customHeight="1">
      <c r="C527" s="389"/>
      <c r="I527" s="71"/>
      <c r="J527" s="71"/>
    </row>
    <row r="528" spans="3:10" s="44" customFormat="1" ht="31.5" customHeight="1">
      <c r="C528" s="389"/>
      <c r="I528" s="71"/>
      <c r="J528" s="71"/>
    </row>
    <row r="529" spans="3:10" s="44" customFormat="1" ht="31.5" customHeight="1">
      <c r="C529" s="389"/>
      <c r="I529" s="71"/>
      <c r="J529" s="71"/>
    </row>
    <row r="530" spans="3:10" s="44" customFormat="1" ht="31.5" customHeight="1">
      <c r="C530" s="389"/>
      <c r="I530" s="71"/>
      <c r="J530" s="71"/>
    </row>
    <row r="531" spans="3:10" s="44" customFormat="1" ht="31.5" customHeight="1">
      <c r="C531" s="389"/>
      <c r="I531" s="71"/>
      <c r="J531" s="71"/>
    </row>
    <row r="532" spans="3:10" s="44" customFormat="1" ht="31.5" customHeight="1">
      <c r="C532" s="389"/>
      <c r="I532" s="71"/>
      <c r="J532" s="71"/>
    </row>
    <row r="533" spans="3:10" s="44" customFormat="1" ht="31.5" customHeight="1">
      <c r="C533" s="389"/>
      <c r="I533" s="71"/>
      <c r="J533" s="71"/>
    </row>
    <row r="534" spans="3:10" s="44" customFormat="1" ht="31.5" customHeight="1">
      <c r="C534" s="389"/>
      <c r="I534" s="71"/>
      <c r="J534" s="71"/>
    </row>
    <row r="535" spans="3:10" s="44" customFormat="1" ht="31.5" customHeight="1">
      <c r="C535" s="389"/>
      <c r="I535" s="71"/>
      <c r="J535" s="71"/>
    </row>
    <row r="536" spans="3:10" s="44" customFormat="1" ht="31.5" customHeight="1">
      <c r="C536" s="389"/>
      <c r="I536" s="71"/>
      <c r="J536" s="71"/>
    </row>
    <row r="537" spans="3:10" s="44" customFormat="1" ht="31.5" customHeight="1">
      <c r="C537" s="389"/>
      <c r="I537" s="71"/>
      <c r="J537" s="71"/>
    </row>
    <row r="538" spans="3:10" s="44" customFormat="1" ht="31.5" customHeight="1">
      <c r="C538" s="389"/>
      <c r="I538" s="71"/>
      <c r="J538" s="71"/>
    </row>
    <row r="539" spans="3:10" s="44" customFormat="1" ht="31.5" customHeight="1">
      <c r="C539" s="389"/>
      <c r="I539" s="71"/>
      <c r="J539" s="71"/>
    </row>
    <row r="540" spans="3:10" s="44" customFormat="1" ht="31.5" customHeight="1">
      <c r="C540" s="389"/>
      <c r="I540" s="71"/>
      <c r="J540" s="71"/>
    </row>
    <row r="541" spans="3:10" s="44" customFormat="1" ht="31.5" customHeight="1">
      <c r="C541" s="389"/>
      <c r="I541" s="71"/>
      <c r="J541" s="71"/>
    </row>
    <row r="542" spans="3:10" s="44" customFormat="1" ht="31.5" customHeight="1">
      <c r="C542" s="389"/>
      <c r="I542" s="71"/>
      <c r="J542" s="71"/>
    </row>
    <row r="543" spans="3:10" s="44" customFormat="1" ht="31.5" customHeight="1">
      <c r="C543" s="389"/>
      <c r="I543" s="71"/>
      <c r="J543" s="71"/>
    </row>
    <row r="544" spans="3:10" s="44" customFormat="1" ht="31.5" customHeight="1">
      <c r="C544" s="389"/>
      <c r="I544" s="71"/>
      <c r="J544" s="71"/>
    </row>
    <row r="545" spans="3:10" s="44" customFormat="1" ht="31.5" customHeight="1">
      <c r="C545" s="389"/>
      <c r="I545" s="71"/>
      <c r="J545" s="71"/>
    </row>
    <row r="546" spans="3:10" s="44" customFormat="1" ht="31.5" customHeight="1">
      <c r="C546" s="389"/>
      <c r="I546" s="71"/>
      <c r="J546" s="71"/>
    </row>
    <row r="547" spans="3:10" s="44" customFormat="1" ht="31.5" customHeight="1">
      <c r="C547" s="389"/>
      <c r="I547" s="71"/>
      <c r="J547" s="71"/>
    </row>
    <row r="548" spans="3:10" s="44" customFormat="1" ht="31.5" customHeight="1">
      <c r="C548" s="389"/>
      <c r="I548" s="71"/>
      <c r="J548" s="71"/>
    </row>
    <row r="549" spans="3:10" s="44" customFormat="1" ht="31.5" customHeight="1">
      <c r="C549" s="389"/>
      <c r="I549" s="71"/>
      <c r="J549" s="71"/>
    </row>
    <row r="550" spans="3:10" s="44" customFormat="1" ht="31.5" customHeight="1">
      <c r="C550" s="389"/>
      <c r="I550" s="71"/>
      <c r="J550" s="71"/>
    </row>
    <row r="551" spans="3:10" s="44" customFormat="1" ht="31.5" customHeight="1">
      <c r="C551" s="389"/>
      <c r="I551" s="71"/>
      <c r="J551" s="71"/>
    </row>
    <row r="552" spans="3:10" s="44" customFormat="1" ht="31.5" customHeight="1">
      <c r="C552" s="389"/>
      <c r="I552" s="71"/>
      <c r="J552" s="71"/>
    </row>
    <row r="553" spans="3:10" s="44" customFormat="1" ht="31.5" customHeight="1">
      <c r="C553" s="389"/>
      <c r="I553" s="71"/>
      <c r="J553" s="71"/>
    </row>
    <row r="554" spans="3:10" s="44" customFormat="1" ht="31.5" customHeight="1">
      <c r="C554" s="389"/>
      <c r="I554" s="71"/>
      <c r="J554" s="71"/>
    </row>
    <row r="555" spans="3:10" s="44" customFormat="1" ht="31.5" customHeight="1">
      <c r="C555" s="389"/>
      <c r="I555" s="71"/>
      <c r="J555" s="71"/>
    </row>
    <row r="556" spans="3:10" s="44" customFormat="1" ht="31.5" customHeight="1">
      <c r="C556" s="389"/>
      <c r="I556" s="71"/>
      <c r="J556" s="71"/>
    </row>
    <row r="557" spans="3:10" s="44" customFormat="1" ht="31.5" customHeight="1">
      <c r="C557" s="389"/>
      <c r="I557" s="71"/>
      <c r="J557" s="71"/>
    </row>
    <row r="558" spans="3:10" s="44" customFormat="1" ht="31.5" customHeight="1">
      <c r="C558" s="389"/>
      <c r="I558" s="71"/>
      <c r="J558" s="71"/>
    </row>
    <row r="559" spans="3:10" s="44" customFormat="1" ht="31.5" customHeight="1">
      <c r="C559" s="389"/>
      <c r="I559" s="71"/>
      <c r="J559" s="71"/>
    </row>
    <row r="560" spans="3:10" s="44" customFormat="1" ht="31.5" customHeight="1">
      <c r="C560" s="389"/>
      <c r="I560" s="71"/>
      <c r="J560" s="71"/>
    </row>
    <row r="561" spans="3:10" s="44" customFormat="1" ht="31.5" customHeight="1">
      <c r="C561" s="389"/>
      <c r="I561" s="71"/>
      <c r="J561" s="71"/>
    </row>
    <row r="562" spans="3:10" s="44" customFormat="1" ht="31.5" customHeight="1">
      <c r="C562" s="389"/>
      <c r="I562" s="71"/>
      <c r="J562" s="71"/>
    </row>
    <row r="563" spans="3:10" s="44" customFormat="1" ht="31.5" customHeight="1">
      <c r="C563" s="389"/>
      <c r="I563" s="71"/>
      <c r="J563" s="71"/>
    </row>
    <row r="564" spans="3:10" s="44" customFormat="1" ht="31.5" customHeight="1">
      <c r="C564" s="389"/>
      <c r="I564" s="71"/>
      <c r="J564" s="71"/>
    </row>
    <row r="565" spans="3:10" s="44" customFormat="1" ht="31.5" customHeight="1">
      <c r="C565" s="389"/>
      <c r="I565" s="71"/>
      <c r="J565" s="71"/>
    </row>
    <row r="566" spans="3:10" s="44" customFormat="1" ht="31.5" customHeight="1">
      <c r="C566" s="389"/>
      <c r="I566" s="71"/>
      <c r="J566" s="71"/>
    </row>
    <row r="567" spans="3:10" s="44" customFormat="1" ht="31.5" customHeight="1">
      <c r="C567" s="389"/>
      <c r="I567" s="71"/>
      <c r="J567" s="71"/>
    </row>
    <row r="568" spans="3:10" s="44" customFormat="1" ht="31.5" customHeight="1">
      <c r="C568" s="389"/>
      <c r="I568" s="71"/>
      <c r="J568" s="71"/>
    </row>
    <row r="569" spans="3:10" s="44" customFormat="1" ht="31.5" customHeight="1">
      <c r="C569" s="389"/>
      <c r="I569" s="71"/>
      <c r="J569" s="71"/>
    </row>
    <row r="570" spans="3:10" s="44" customFormat="1" ht="31.5" customHeight="1">
      <c r="C570" s="389"/>
      <c r="I570" s="71"/>
      <c r="J570" s="71"/>
    </row>
    <row r="571" spans="3:10" s="44" customFormat="1" ht="31.5" customHeight="1">
      <c r="C571" s="389"/>
      <c r="I571" s="71"/>
      <c r="J571" s="71"/>
    </row>
    <row r="572" spans="3:10" s="44" customFormat="1" ht="31.5" customHeight="1">
      <c r="C572" s="389"/>
      <c r="I572" s="71"/>
      <c r="J572" s="71"/>
    </row>
    <row r="573" spans="3:10" s="44" customFormat="1" ht="31.5" customHeight="1">
      <c r="C573" s="389"/>
      <c r="I573" s="71"/>
      <c r="J573" s="71"/>
    </row>
    <row r="574" spans="3:10" s="44" customFormat="1" ht="31.5" customHeight="1">
      <c r="C574" s="389"/>
      <c r="I574" s="71"/>
      <c r="J574" s="71"/>
    </row>
    <row r="575" spans="3:10" s="44" customFormat="1" ht="31.5" customHeight="1">
      <c r="C575" s="389"/>
      <c r="I575" s="71"/>
      <c r="J575" s="71"/>
    </row>
    <row r="576" spans="3:10" s="44" customFormat="1" ht="31.5" customHeight="1">
      <c r="C576" s="389"/>
      <c r="I576" s="71"/>
      <c r="J576" s="71"/>
    </row>
    <row r="577" spans="3:10" s="44" customFormat="1" ht="31.5" customHeight="1">
      <c r="C577" s="389"/>
      <c r="I577" s="71"/>
      <c r="J577" s="71"/>
    </row>
    <row r="578" spans="3:10" s="44" customFormat="1" ht="31.5" customHeight="1">
      <c r="C578" s="389"/>
      <c r="I578" s="71"/>
      <c r="J578" s="71"/>
    </row>
    <row r="579" spans="3:10" s="44" customFormat="1" ht="31.5" customHeight="1">
      <c r="C579" s="389"/>
      <c r="I579" s="71"/>
      <c r="J579" s="71"/>
    </row>
    <row r="580" spans="3:10" s="44" customFormat="1" ht="31.5" customHeight="1">
      <c r="C580" s="389"/>
      <c r="I580" s="71"/>
      <c r="J580" s="71"/>
    </row>
    <row r="581" spans="3:10" s="44" customFormat="1" ht="31.5" customHeight="1">
      <c r="C581" s="389"/>
      <c r="I581" s="71"/>
      <c r="J581" s="71"/>
    </row>
    <row r="582" spans="3:10" s="44" customFormat="1" ht="31.5" customHeight="1">
      <c r="C582" s="389"/>
      <c r="I582" s="71"/>
      <c r="J582" s="71"/>
    </row>
    <row r="583" spans="3:10" s="44" customFormat="1" ht="31.5" customHeight="1">
      <c r="C583" s="389"/>
      <c r="I583" s="71"/>
      <c r="J583" s="71"/>
    </row>
    <row r="584" spans="3:10" s="44" customFormat="1" ht="31.5" customHeight="1">
      <c r="C584" s="389"/>
      <c r="I584" s="71"/>
      <c r="J584" s="71"/>
    </row>
    <row r="585" spans="3:10" s="44" customFormat="1" ht="31.5" customHeight="1">
      <c r="C585" s="389"/>
      <c r="I585" s="71"/>
      <c r="J585" s="71"/>
    </row>
    <row r="586" spans="3:10" s="44" customFormat="1" ht="31.5" customHeight="1">
      <c r="C586" s="389"/>
      <c r="I586" s="71"/>
      <c r="J586" s="71"/>
    </row>
    <row r="587" spans="3:10" s="44" customFormat="1" ht="31.5" customHeight="1">
      <c r="C587" s="389"/>
      <c r="I587" s="71"/>
      <c r="J587" s="71"/>
    </row>
    <row r="588" spans="3:10" s="44" customFormat="1" ht="31.5" customHeight="1">
      <c r="C588" s="389"/>
      <c r="I588" s="71"/>
      <c r="J588" s="71"/>
    </row>
    <row r="589" spans="3:10" s="44" customFormat="1" ht="31.5" customHeight="1">
      <c r="C589" s="389"/>
      <c r="I589" s="71"/>
      <c r="J589" s="71"/>
    </row>
    <row r="590" spans="3:10" s="44" customFormat="1" ht="31.5" customHeight="1">
      <c r="C590" s="389"/>
      <c r="I590" s="71"/>
      <c r="J590" s="71"/>
    </row>
    <row r="591" spans="3:10" s="44" customFormat="1" ht="31.5" customHeight="1">
      <c r="C591" s="389"/>
      <c r="I591" s="71"/>
      <c r="J591" s="71"/>
    </row>
    <row r="592" spans="3:10" s="44" customFormat="1" ht="31.5" customHeight="1">
      <c r="C592" s="389"/>
      <c r="I592" s="71"/>
      <c r="J592" s="71"/>
    </row>
    <row r="593" spans="3:10" s="44" customFormat="1" ht="31.5" customHeight="1">
      <c r="C593" s="389"/>
      <c r="I593" s="71"/>
      <c r="J593" s="71"/>
    </row>
    <row r="594" spans="3:10" s="44" customFormat="1" ht="31.5" customHeight="1">
      <c r="C594" s="389"/>
      <c r="I594" s="71"/>
      <c r="J594" s="71"/>
    </row>
    <row r="595" spans="3:10" s="44" customFormat="1" ht="31.5" customHeight="1">
      <c r="C595" s="389"/>
      <c r="I595" s="71"/>
      <c r="J595" s="71"/>
    </row>
    <row r="596" spans="3:10" s="44" customFormat="1" ht="31.5" customHeight="1">
      <c r="C596" s="389"/>
      <c r="I596" s="71"/>
      <c r="J596" s="71"/>
    </row>
    <row r="597" spans="3:10" s="44" customFormat="1" ht="31.5" customHeight="1">
      <c r="C597" s="389"/>
      <c r="I597" s="71"/>
      <c r="J597" s="71"/>
    </row>
    <row r="598" spans="3:10" s="44" customFormat="1" ht="31.5" customHeight="1">
      <c r="C598" s="389"/>
      <c r="I598" s="71"/>
      <c r="J598" s="71"/>
    </row>
    <row r="599" spans="3:10" s="44" customFormat="1" ht="31.5" customHeight="1">
      <c r="C599" s="389"/>
      <c r="I599" s="71"/>
      <c r="J599" s="71"/>
    </row>
    <row r="600" spans="3:10" s="44" customFormat="1" ht="31.5" customHeight="1">
      <c r="C600" s="389"/>
      <c r="I600" s="71"/>
      <c r="J600" s="71"/>
    </row>
    <row r="601" spans="3:10" s="44" customFormat="1" ht="31.5" customHeight="1">
      <c r="C601" s="389"/>
      <c r="I601" s="71"/>
      <c r="J601" s="71"/>
    </row>
    <row r="602" spans="3:10" s="44" customFormat="1" ht="31.5" customHeight="1">
      <c r="C602" s="389"/>
      <c r="I602" s="71"/>
      <c r="J602" s="71"/>
    </row>
    <row r="603" spans="3:10" s="44" customFormat="1" ht="31.5" customHeight="1">
      <c r="C603" s="389"/>
      <c r="I603" s="71"/>
      <c r="J603" s="71"/>
    </row>
    <row r="604" spans="3:10" s="44" customFormat="1" ht="31.5" customHeight="1">
      <c r="C604" s="389"/>
      <c r="I604" s="71"/>
      <c r="J604" s="71"/>
    </row>
    <row r="605" spans="3:10" s="44" customFormat="1" ht="31.5" customHeight="1">
      <c r="C605" s="389"/>
      <c r="I605" s="71"/>
      <c r="J605" s="71"/>
    </row>
    <row r="606" spans="3:10" s="44" customFormat="1" ht="31.5" customHeight="1">
      <c r="C606" s="389"/>
      <c r="I606" s="71"/>
      <c r="J606" s="71"/>
    </row>
    <row r="607" spans="3:10" s="44" customFormat="1" ht="31.5" customHeight="1">
      <c r="C607" s="389"/>
      <c r="I607" s="71"/>
      <c r="J607" s="71"/>
    </row>
    <row r="608" spans="3:10" s="44" customFormat="1" ht="31.5" customHeight="1">
      <c r="C608" s="389"/>
      <c r="I608" s="71"/>
      <c r="J608" s="71"/>
    </row>
    <row r="609" spans="3:10" s="44" customFormat="1" ht="31.5" customHeight="1">
      <c r="C609" s="389"/>
      <c r="I609" s="71"/>
      <c r="J609" s="71"/>
    </row>
    <row r="610" spans="3:10" s="44" customFormat="1" ht="31.5" customHeight="1">
      <c r="C610" s="389"/>
      <c r="I610" s="71"/>
      <c r="J610" s="71"/>
    </row>
    <row r="611" spans="3:10" s="44" customFormat="1" ht="31.5" customHeight="1">
      <c r="C611" s="389"/>
      <c r="I611" s="71"/>
      <c r="J611" s="71"/>
    </row>
    <row r="612" spans="3:10" s="44" customFormat="1" ht="31.5" customHeight="1">
      <c r="C612" s="389"/>
      <c r="I612" s="71"/>
      <c r="J612" s="71"/>
    </row>
    <row r="613" spans="3:10" s="44" customFormat="1" ht="31.5" customHeight="1">
      <c r="C613" s="389"/>
      <c r="I613" s="71"/>
      <c r="J613" s="71"/>
    </row>
    <row r="614" spans="3:10" s="44" customFormat="1" ht="31.5" customHeight="1">
      <c r="C614" s="389"/>
      <c r="I614" s="71"/>
      <c r="J614" s="71"/>
    </row>
    <row r="615" spans="3:10" s="44" customFormat="1" ht="31.5" customHeight="1">
      <c r="C615" s="389"/>
      <c r="I615" s="71"/>
      <c r="J615" s="71"/>
    </row>
    <row r="616" spans="3:10" s="44" customFormat="1" ht="31.5" customHeight="1">
      <c r="C616" s="389"/>
      <c r="I616" s="71"/>
      <c r="J616" s="71"/>
    </row>
    <row r="617" spans="3:10" s="44" customFormat="1" ht="31.5" customHeight="1">
      <c r="C617" s="389"/>
      <c r="I617" s="71"/>
      <c r="J617" s="71"/>
    </row>
    <row r="618" spans="3:10" s="44" customFormat="1" ht="31.5" customHeight="1">
      <c r="C618" s="389"/>
      <c r="I618" s="71"/>
      <c r="J618" s="71"/>
    </row>
    <row r="619" spans="3:10" s="44" customFormat="1" ht="31.5" customHeight="1">
      <c r="C619" s="389"/>
      <c r="I619" s="71"/>
      <c r="J619" s="71"/>
    </row>
    <row r="620" spans="3:10" s="44" customFormat="1" ht="31.5" customHeight="1">
      <c r="C620" s="389"/>
      <c r="I620" s="71"/>
      <c r="J620" s="71"/>
    </row>
    <row r="621" spans="3:10" s="44" customFormat="1" ht="31.5" customHeight="1">
      <c r="C621" s="389"/>
      <c r="I621" s="71"/>
      <c r="J621" s="71"/>
    </row>
    <row r="622" spans="3:10" s="44" customFormat="1" ht="31.5" customHeight="1">
      <c r="C622" s="389"/>
      <c r="I622" s="71"/>
      <c r="J622" s="71"/>
    </row>
    <row r="623" spans="3:10" s="44" customFormat="1" ht="31.5" customHeight="1">
      <c r="C623" s="389"/>
      <c r="I623" s="71"/>
      <c r="J623" s="71"/>
    </row>
    <row r="624" spans="3:10" s="44" customFormat="1" ht="31.5" customHeight="1">
      <c r="C624" s="389"/>
      <c r="I624" s="71"/>
      <c r="J624" s="71"/>
    </row>
    <row r="625" spans="3:10" s="44" customFormat="1" ht="31.5" customHeight="1">
      <c r="C625" s="389"/>
      <c r="I625" s="71"/>
      <c r="J625" s="71"/>
    </row>
    <row r="626" spans="3:10" s="44" customFormat="1" ht="31.5" customHeight="1">
      <c r="C626" s="389"/>
      <c r="I626" s="71"/>
      <c r="J626" s="71"/>
    </row>
    <row r="627" spans="3:10" s="44" customFormat="1" ht="31.5" customHeight="1">
      <c r="C627" s="389"/>
      <c r="I627" s="71"/>
      <c r="J627" s="71"/>
    </row>
    <row r="628" spans="3:10" s="44" customFormat="1" ht="31.5" customHeight="1">
      <c r="C628" s="389"/>
      <c r="I628" s="71"/>
      <c r="J628" s="71"/>
    </row>
    <row r="629" spans="3:10" s="44" customFormat="1" ht="31.5" customHeight="1">
      <c r="C629" s="389"/>
      <c r="I629" s="71"/>
      <c r="J629" s="71"/>
    </row>
    <row r="630" spans="3:10" s="44" customFormat="1" ht="31.5" customHeight="1">
      <c r="C630" s="389"/>
      <c r="I630" s="71"/>
      <c r="J630" s="71"/>
    </row>
    <row r="631" spans="3:10" s="44" customFormat="1" ht="31.5" customHeight="1">
      <c r="C631" s="389"/>
      <c r="I631" s="71"/>
      <c r="J631" s="71"/>
    </row>
    <row r="632" spans="3:10" s="44" customFormat="1" ht="31.5" customHeight="1">
      <c r="C632" s="389"/>
      <c r="I632" s="71"/>
      <c r="J632" s="71"/>
    </row>
    <row r="633" spans="3:10" s="44" customFormat="1" ht="31.5" customHeight="1">
      <c r="C633" s="389"/>
      <c r="I633" s="71"/>
      <c r="J633" s="71"/>
    </row>
    <row r="634" spans="3:10" s="44" customFormat="1" ht="31.5" customHeight="1">
      <c r="C634" s="389"/>
      <c r="I634" s="71"/>
      <c r="J634" s="71"/>
    </row>
    <row r="635" spans="3:10" s="44" customFormat="1" ht="31.5" customHeight="1">
      <c r="C635" s="389"/>
      <c r="I635" s="71"/>
      <c r="J635" s="71"/>
    </row>
    <row r="636" spans="3:10" s="44" customFormat="1" ht="31.5" customHeight="1">
      <c r="C636" s="389"/>
      <c r="I636" s="71"/>
      <c r="J636" s="71"/>
    </row>
    <row r="637" spans="3:10" s="44" customFormat="1" ht="31.5" customHeight="1">
      <c r="C637" s="389"/>
      <c r="I637" s="71"/>
      <c r="J637" s="71"/>
    </row>
    <row r="638" spans="3:10" s="44" customFormat="1" ht="31.5" customHeight="1">
      <c r="C638" s="389"/>
      <c r="I638" s="71"/>
      <c r="J638" s="71"/>
    </row>
    <row r="639" spans="3:10" s="44" customFormat="1" ht="31.5" customHeight="1">
      <c r="C639" s="389"/>
      <c r="I639" s="71"/>
      <c r="J639" s="71"/>
    </row>
    <row r="640" spans="3:10" s="44" customFormat="1" ht="31.5" customHeight="1">
      <c r="C640" s="389"/>
      <c r="I640" s="71"/>
      <c r="J640" s="71"/>
    </row>
    <row r="641" spans="3:10" s="44" customFormat="1" ht="31.5" customHeight="1">
      <c r="C641" s="389"/>
      <c r="I641" s="71"/>
      <c r="J641" s="71"/>
    </row>
    <row r="642" spans="3:10" s="44" customFormat="1" ht="31.5" customHeight="1">
      <c r="C642" s="389"/>
      <c r="I642" s="71"/>
      <c r="J642" s="71"/>
    </row>
    <row r="643" spans="3:10" s="44" customFormat="1" ht="31.5" customHeight="1">
      <c r="C643" s="389"/>
      <c r="I643" s="71"/>
      <c r="J643" s="71"/>
    </row>
    <row r="644" spans="3:10" s="44" customFormat="1" ht="31.5" customHeight="1">
      <c r="C644" s="389"/>
      <c r="I644" s="71"/>
      <c r="J644" s="71"/>
    </row>
    <row r="645" spans="3:10" s="44" customFormat="1" ht="31.5" customHeight="1">
      <c r="C645" s="389"/>
      <c r="I645" s="71"/>
      <c r="J645" s="71"/>
    </row>
    <row r="646" spans="3:10" s="44" customFormat="1" ht="31.5" customHeight="1">
      <c r="C646" s="389"/>
      <c r="I646" s="71"/>
      <c r="J646" s="71"/>
    </row>
    <row r="647" spans="3:10" s="44" customFormat="1" ht="31.5" customHeight="1">
      <c r="C647" s="389"/>
      <c r="I647" s="71"/>
      <c r="J647" s="71"/>
    </row>
    <row r="648" spans="3:10" s="44" customFormat="1" ht="31.5" customHeight="1">
      <c r="C648" s="389"/>
      <c r="I648" s="71"/>
      <c r="J648" s="71"/>
    </row>
    <row r="649" spans="3:10" s="44" customFormat="1" ht="31.5" customHeight="1">
      <c r="C649" s="389"/>
      <c r="I649" s="71"/>
      <c r="J649" s="71"/>
    </row>
    <row r="650" spans="3:10" s="44" customFormat="1" ht="31.5" customHeight="1">
      <c r="C650" s="389"/>
      <c r="I650" s="71"/>
      <c r="J650" s="71"/>
    </row>
    <row r="651" spans="3:10" s="44" customFormat="1" ht="31.5" customHeight="1">
      <c r="C651" s="389"/>
      <c r="I651" s="71"/>
      <c r="J651" s="71"/>
    </row>
    <row r="652" spans="3:10" s="44" customFormat="1" ht="31.5" customHeight="1">
      <c r="C652" s="389"/>
      <c r="I652" s="71"/>
      <c r="J652" s="71"/>
    </row>
    <row r="653" spans="3:10" s="44" customFormat="1" ht="31.5" customHeight="1">
      <c r="C653" s="389"/>
      <c r="I653" s="71"/>
      <c r="J653" s="71"/>
    </row>
    <row r="654" spans="3:10" s="44" customFormat="1" ht="31.5" customHeight="1">
      <c r="C654" s="389"/>
      <c r="I654" s="71"/>
      <c r="J654" s="71"/>
    </row>
    <row r="655" spans="3:10" s="44" customFormat="1" ht="31.5" customHeight="1">
      <c r="C655" s="389"/>
      <c r="I655" s="71"/>
      <c r="J655" s="71"/>
    </row>
    <row r="656" spans="3:10" s="44" customFormat="1" ht="31.5" customHeight="1">
      <c r="C656" s="389"/>
      <c r="I656" s="71"/>
      <c r="J656" s="71"/>
    </row>
    <row r="657" spans="3:10" s="44" customFormat="1" ht="31.5" customHeight="1">
      <c r="C657" s="389"/>
      <c r="I657" s="71"/>
      <c r="J657" s="71"/>
    </row>
    <row r="658" spans="3:10" s="44" customFormat="1" ht="31.5" customHeight="1">
      <c r="C658" s="389"/>
      <c r="I658" s="71"/>
      <c r="J658" s="71"/>
    </row>
    <row r="659" spans="3:10" s="44" customFormat="1" ht="31.5" customHeight="1">
      <c r="C659" s="389"/>
      <c r="I659" s="71"/>
      <c r="J659" s="71"/>
    </row>
    <row r="660" spans="3:10" s="44" customFormat="1" ht="31.5" customHeight="1">
      <c r="C660" s="389"/>
      <c r="I660" s="71"/>
      <c r="J660" s="71"/>
    </row>
    <row r="661" spans="3:10" s="44" customFormat="1" ht="31.5" customHeight="1">
      <c r="C661" s="389"/>
      <c r="I661" s="71"/>
      <c r="J661" s="71"/>
    </row>
    <row r="662" spans="3:10" s="44" customFormat="1" ht="31.5" customHeight="1">
      <c r="C662" s="389"/>
      <c r="I662" s="71"/>
      <c r="J662" s="71"/>
    </row>
    <row r="663" spans="3:10" s="44" customFormat="1" ht="31.5" customHeight="1">
      <c r="C663" s="389"/>
      <c r="I663" s="71"/>
      <c r="J663" s="71"/>
    </row>
    <row r="664" spans="3:10" s="44" customFormat="1" ht="31.5" customHeight="1">
      <c r="C664" s="389"/>
      <c r="I664" s="71"/>
      <c r="J664" s="71"/>
    </row>
    <row r="665" spans="3:10" s="44" customFormat="1" ht="31.5" customHeight="1">
      <c r="C665" s="389"/>
      <c r="I665" s="71"/>
      <c r="J665" s="71"/>
    </row>
    <row r="666" spans="3:10" s="44" customFormat="1" ht="31.5" customHeight="1">
      <c r="C666" s="389"/>
      <c r="I666" s="71"/>
      <c r="J666" s="71"/>
    </row>
    <row r="667" spans="3:10" s="44" customFormat="1" ht="31.5" customHeight="1">
      <c r="C667" s="389"/>
      <c r="I667" s="71"/>
      <c r="J667" s="71"/>
    </row>
    <row r="668" spans="3:10" s="44" customFormat="1" ht="31.5" customHeight="1">
      <c r="C668" s="389"/>
      <c r="I668" s="71"/>
      <c r="J668" s="71"/>
    </row>
    <row r="669" spans="3:10" s="44" customFormat="1" ht="31.5" customHeight="1">
      <c r="C669" s="389"/>
      <c r="I669" s="71"/>
      <c r="J669" s="71"/>
    </row>
    <row r="670" spans="3:10" s="44" customFormat="1" ht="31.5" customHeight="1">
      <c r="C670" s="389"/>
      <c r="I670" s="71"/>
      <c r="J670" s="71"/>
    </row>
    <row r="671" spans="3:10" s="44" customFormat="1" ht="31.5" customHeight="1">
      <c r="C671" s="389"/>
      <c r="I671" s="71"/>
      <c r="J671" s="71"/>
    </row>
    <row r="672" spans="3:10" s="44" customFormat="1" ht="31.5" customHeight="1">
      <c r="C672" s="389"/>
      <c r="I672" s="71"/>
      <c r="J672" s="71"/>
    </row>
    <row r="673" spans="3:10" s="44" customFormat="1" ht="31.5" customHeight="1">
      <c r="C673" s="389"/>
      <c r="I673" s="71"/>
      <c r="J673" s="71"/>
    </row>
    <row r="674" spans="3:10" s="44" customFormat="1" ht="31.5" customHeight="1">
      <c r="C674" s="389"/>
      <c r="I674" s="71"/>
      <c r="J674" s="71"/>
    </row>
    <row r="675" spans="3:10" s="44" customFormat="1" ht="31.5" customHeight="1">
      <c r="C675" s="389"/>
      <c r="I675" s="71"/>
      <c r="J675" s="71"/>
    </row>
    <row r="676" spans="3:10" s="44" customFormat="1" ht="31.5" customHeight="1">
      <c r="C676" s="389"/>
      <c r="I676" s="71"/>
      <c r="J676" s="71"/>
    </row>
    <row r="677" spans="3:10" s="44" customFormat="1" ht="31.5" customHeight="1">
      <c r="C677" s="389"/>
      <c r="I677" s="71"/>
      <c r="J677" s="71"/>
    </row>
    <row r="678" spans="3:10" s="44" customFormat="1" ht="31.5" customHeight="1">
      <c r="C678" s="389"/>
      <c r="I678" s="71"/>
      <c r="J678" s="71"/>
    </row>
    <row r="679" spans="3:10" s="44" customFormat="1" ht="31.5" customHeight="1">
      <c r="C679" s="389"/>
      <c r="I679" s="71"/>
      <c r="J679" s="71"/>
    </row>
    <row r="680" spans="3:10" s="44" customFormat="1" ht="31.5" customHeight="1">
      <c r="C680" s="389"/>
      <c r="I680" s="71"/>
      <c r="J680" s="71"/>
    </row>
    <row r="681" spans="3:10" s="44" customFormat="1" ht="31.5" customHeight="1">
      <c r="C681" s="389"/>
      <c r="I681" s="71"/>
      <c r="J681" s="71"/>
    </row>
    <row r="682" spans="3:10" s="44" customFormat="1" ht="31.5" customHeight="1">
      <c r="C682" s="389"/>
      <c r="I682" s="71"/>
      <c r="J682" s="71"/>
    </row>
    <row r="683" spans="3:10" s="44" customFormat="1" ht="31.5" customHeight="1">
      <c r="C683" s="389"/>
      <c r="I683" s="71"/>
      <c r="J683" s="71"/>
    </row>
    <row r="684" spans="3:10" s="44" customFormat="1" ht="31.5" customHeight="1">
      <c r="C684" s="389"/>
      <c r="I684" s="71"/>
      <c r="J684" s="71"/>
    </row>
    <row r="685" spans="3:10" s="44" customFormat="1" ht="31.5" customHeight="1">
      <c r="C685" s="389"/>
      <c r="I685" s="71"/>
      <c r="J685" s="71"/>
    </row>
    <row r="686" spans="3:10" s="44" customFormat="1" ht="31.5" customHeight="1">
      <c r="C686" s="389"/>
      <c r="I686" s="71"/>
      <c r="J686" s="71"/>
    </row>
    <row r="687" spans="3:10" s="44" customFormat="1" ht="31.5" customHeight="1">
      <c r="C687" s="389"/>
      <c r="I687" s="71"/>
      <c r="J687" s="71"/>
    </row>
    <row r="688" spans="3:10" s="44" customFormat="1" ht="31.5" customHeight="1">
      <c r="C688" s="389"/>
      <c r="I688" s="71"/>
      <c r="J688" s="71"/>
    </row>
    <row r="689" spans="3:10" s="44" customFormat="1" ht="31.5" customHeight="1">
      <c r="C689" s="389"/>
      <c r="I689" s="71"/>
      <c r="J689" s="71"/>
    </row>
    <row r="690" spans="3:10" s="44" customFormat="1" ht="31.5" customHeight="1">
      <c r="C690" s="389"/>
      <c r="I690" s="71"/>
      <c r="J690" s="71"/>
    </row>
    <row r="691" spans="3:10" s="44" customFormat="1" ht="31.5" customHeight="1">
      <c r="C691" s="389"/>
      <c r="I691" s="71"/>
      <c r="J691" s="71"/>
    </row>
    <row r="692" spans="3:10" s="44" customFormat="1" ht="31.5" customHeight="1">
      <c r="C692" s="389"/>
      <c r="I692" s="71"/>
      <c r="J692" s="71"/>
    </row>
    <row r="693" spans="3:10" s="44" customFormat="1" ht="31.5" customHeight="1">
      <c r="C693" s="389"/>
      <c r="I693" s="71"/>
      <c r="J693" s="71"/>
    </row>
    <row r="694" spans="3:10" s="44" customFormat="1" ht="31.5" customHeight="1">
      <c r="C694" s="389"/>
      <c r="I694" s="71"/>
      <c r="J694" s="71"/>
    </row>
    <row r="695" spans="3:10" s="44" customFormat="1" ht="31.5" customHeight="1">
      <c r="C695" s="389"/>
      <c r="I695" s="71"/>
      <c r="J695" s="71"/>
    </row>
    <row r="696" spans="3:10" s="44" customFormat="1" ht="31.5" customHeight="1">
      <c r="C696" s="389"/>
      <c r="I696" s="71"/>
      <c r="J696" s="71"/>
    </row>
    <row r="697" spans="3:10" s="44" customFormat="1" ht="31.5" customHeight="1">
      <c r="C697" s="389"/>
      <c r="I697" s="71"/>
      <c r="J697" s="71"/>
    </row>
    <row r="698" spans="3:10" s="44" customFormat="1" ht="31.5" customHeight="1">
      <c r="C698" s="389"/>
      <c r="I698" s="71"/>
      <c r="J698" s="71"/>
    </row>
    <row r="699" spans="3:10" s="44" customFormat="1" ht="31.5" customHeight="1">
      <c r="C699" s="389"/>
      <c r="I699" s="71"/>
      <c r="J699" s="71"/>
    </row>
    <row r="700" spans="3:10" s="44" customFormat="1" ht="31.5" customHeight="1">
      <c r="C700" s="389"/>
      <c r="I700" s="71"/>
      <c r="J700" s="71"/>
    </row>
    <row r="701" spans="3:10" s="44" customFormat="1" ht="31.5" customHeight="1">
      <c r="C701" s="389"/>
      <c r="I701" s="71"/>
      <c r="J701" s="71"/>
    </row>
    <row r="702" spans="3:10" s="44" customFormat="1" ht="31.5" customHeight="1">
      <c r="C702" s="389"/>
      <c r="I702" s="71"/>
      <c r="J702" s="71"/>
    </row>
    <row r="703" spans="3:10" s="44" customFormat="1" ht="31.5" customHeight="1">
      <c r="C703" s="389"/>
      <c r="I703" s="71"/>
      <c r="J703" s="71"/>
    </row>
    <row r="704" spans="3:10" s="44" customFormat="1" ht="31.5" customHeight="1">
      <c r="C704" s="389"/>
      <c r="I704" s="71"/>
      <c r="J704" s="71"/>
    </row>
    <row r="705" spans="3:10" s="44" customFormat="1" ht="31.5" customHeight="1">
      <c r="C705" s="389"/>
      <c r="I705" s="71"/>
      <c r="J705" s="71"/>
    </row>
    <row r="706" spans="3:10" s="44" customFormat="1" ht="31.5" customHeight="1">
      <c r="C706" s="389"/>
      <c r="I706" s="71"/>
      <c r="J706" s="71"/>
    </row>
    <row r="707" spans="3:10" s="44" customFormat="1" ht="31.5" customHeight="1">
      <c r="C707" s="389"/>
      <c r="I707" s="71"/>
      <c r="J707" s="71"/>
    </row>
    <row r="708" spans="3:10" s="44" customFormat="1" ht="31.5" customHeight="1">
      <c r="C708" s="389"/>
      <c r="I708" s="71"/>
      <c r="J708" s="71"/>
    </row>
    <row r="709" spans="3:10" s="44" customFormat="1" ht="31.5" customHeight="1">
      <c r="C709" s="389"/>
      <c r="I709" s="71"/>
      <c r="J709" s="71"/>
    </row>
    <row r="710" spans="3:10" s="44" customFormat="1" ht="31.5" customHeight="1">
      <c r="C710" s="389"/>
      <c r="I710" s="71"/>
      <c r="J710" s="71"/>
    </row>
    <row r="711" spans="3:10" s="44" customFormat="1" ht="31.5" customHeight="1">
      <c r="C711" s="389"/>
      <c r="I711" s="71"/>
      <c r="J711" s="71"/>
    </row>
    <row r="712" spans="3:10" s="44" customFormat="1" ht="31.5" customHeight="1">
      <c r="C712" s="389"/>
      <c r="I712" s="71"/>
      <c r="J712" s="71"/>
    </row>
    <row r="713" spans="3:10" s="44" customFormat="1" ht="31.5" customHeight="1">
      <c r="C713" s="389"/>
      <c r="I713" s="71"/>
      <c r="J713" s="71"/>
    </row>
    <row r="714" spans="3:10" s="44" customFormat="1" ht="31.5" customHeight="1">
      <c r="C714" s="389"/>
      <c r="I714" s="71"/>
      <c r="J714" s="71"/>
    </row>
    <row r="715" spans="3:10" s="44" customFormat="1" ht="31.5" customHeight="1">
      <c r="C715" s="389"/>
      <c r="I715" s="71"/>
      <c r="J715" s="71"/>
    </row>
    <row r="716" spans="3:10" s="44" customFormat="1" ht="31.5" customHeight="1">
      <c r="C716" s="389"/>
      <c r="I716" s="71"/>
      <c r="J716" s="71"/>
    </row>
    <row r="717" spans="3:10" s="44" customFormat="1" ht="31.5" customHeight="1">
      <c r="C717" s="389"/>
      <c r="I717" s="71"/>
      <c r="J717" s="71"/>
    </row>
    <row r="718" spans="3:10" s="44" customFormat="1" ht="31.5" customHeight="1">
      <c r="C718" s="389"/>
      <c r="I718" s="71"/>
      <c r="J718" s="71"/>
    </row>
    <row r="719" spans="3:10" s="44" customFormat="1" ht="31.5" customHeight="1">
      <c r="C719" s="389"/>
      <c r="I719" s="71"/>
      <c r="J719" s="71"/>
    </row>
    <row r="720" spans="3:10" s="44" customFormat="1" ht="31.5" customHeight="1">
      <c r="C720" s="389"/>
      <c r="I720" s="71"/>
      <c r="J720" s="71"/>
    </row>
    <row r="721" spans="3:10" s="44" customFormat="1" ht="31.5" customHeight="1">
      <c r="C721" s="389"/>
      <c r="I721" s="71"/>
      <c r="J721" s="71"/>
    </row>
    <row r="722" spans="3:10" s="44" customFormat="1" ht="31.5" customHeight="1">
      <c r="C722" s="389"/>
      <c r="I722" s="71"/>
      <c r="J722" s="71"/>
    </row>
    <row r="723" spans="3:10" s="44" customFormat="1" ht="31.5" customHeight="1">
      <c r="C723" s="389"/>
      <c r="I723" s="71"/>
      <c r="J723" s="71"/>
    </row>
    <row r="724" spans="3:10" s="44" customFormat="1" ht="31.5" customHeight="1">
      <c r="C724" s="389"/>
      <c r="I724" s="71"/>
      <c r="J724" s="71"/>
    </row>
    <row r="725" spans="3:10" s="44" customFormat="1" ht="31.5" customHeight="1">
      <c r="C725" s="389"/>
      <c r="I725" s="71"/>
      <c r="J725" s="71"/>
    </row>
    <row r="726" spans="3:10" s="44" customFormat="1" ht="31.5" customHeight="1">
      <c r="C726" s="389"/>
      <c r="I726" s="71"/>
      <c r="J726" s="71"/>
    </row>
    <row r="727" spans="3:10" s="44" customFormat="1" ht="31.5" customHeight="1">
      <c r="C727" s="389"/>
      <c r="I727" s="71"/>
      <c r="J727" s="71"/>
    </row>
    <row r="728" spans="3:10" s="44" customFormat="1" ht="31.5" customHeight="1">
      <c r="C728" s="389"/>
      <c r="I728" s="71"/>
      <c r="J728" s="71"/>
    </row>
    <row r="729" spans="3:10" s="44" customFormat="1" ht="31.5" customHeight="1">
      <c r="C729" s="389"/>
      <c r="I729" s="71"/>
      <c r="J729" s="71"/>
    </row>
    <row r="730" spans="3:10" s="44" customFormat="1" ht="31.5" customHeight="1">
      <c r="C730" s="389"/>
      <c r="I730" s="71"/>
      <c r="J730" s="71"/>
    </row>
    <row r="731" spans="3:10" s="44" customFormat="1" ht="31.5" customHeight="1">
      <c r="C731" s="389"/>
      <c r="I731" s="71"/>
      <c r="J731" s="71"/>
    </row>
    <row r="732" spans="3:10" s="44" customFormat="1" ht="31.5" customHeight="1">
      <c r="C732" s="389"/>
      <c r="I732" s="71"/>
      <c r="J732" s="71"/>
    </row>
    <row r="733" spans="3:10" s="44" customFormat="1" ht="31.5" customHeight="1">
      <c r="C733" s="389"/>
      <c r="I733" s="71"/>
      <c r="J733" s="71"/>
    </row>
    <row r="734" spans="3:10" s="44" customFormat="1" ht="31.5" customHeight="1">
      <c r="C734" s="389"/>
      <c r="I734" s="71"/>
      <c r="J734" s="71"/>
    </row>
    <row r="735" spans="3:10" s="44" customFormat="1" ht="31.5" customHeight="1">
      <c r="C735" s="389"/>
      <c r="I735" s="71"/>
      <c r="J735" s="71"/>
    </row>
    <row r="736" spans="3:10" s="44" customFormat="1" ht="31.5" customHeight="1">
      <c r="C736" s="389"/>
      <c r="I736" s="71"/>
      <c r="J736" s="71"/>
    </row>
    <row r="737" spans="3:10" s="44" customFormat="1" ht="31.5" customHeight="1">
      <c r="C737" s="389"/>
      <c r="I737" s="71"/>
      <c r="J737" s="71"/>
    </row>
    <row r="738" spans="3:10" s="44" customFormat="1" ht="31.5" customHeight="1">
      <c r="C738" s="389"/>
      <c r="I738" s="71"/>
      <c r="J738" s="71"/>
    </row>
    <row r="739" spans="3:10" s="44" customFormat="1" ht="31.5" customHeight="1">
      <c r="C739" s="389"/>
      <c r="I739" s="71"/>
      <c r="J739" s="71"/>
    </row>
    <row r="740" spans="3:10" s="44" customFormat="1" ht="31.5" customHeight="1">
      <c r="C740" s="389"/>
      <c r="I740" s="71"/>
      <c r="J740" s="71"/>
    </row>
    <row r="741" spans="3:10" s="44" customFormat="1" ht="31.5" customHeight="1">
      <c r="C741" s="389"/>
      <c r="I741" s="71"/>
      <c r="J741" s="71"/>
    </row>
    <row r="742" spans="3:10" s="44" customFormat="1" ht="31.5" customHeight="1">
      <c r="C742" s="389"/>
      <c r="I742" s="71"/>
      <c r="J742" s="71"/>
    </row>
    <row r="743" spans="3:10" s="44" customFormat="1" ht="31.5" customHeight="1">
      <c r="C743" s="389"/>
      <c r="I743" s="71"/>
      <c r="J743" s="71"/>
    </row>
    <row r="744" spans="3:10" s="44" customFormat="1" ht="31.5" customHeight="1">
      <c r="C744" s="389"/>
      <c r="I744" s="71"/>
      <c r="J744" s="71"/>
    </row>
    <row r="745" spans="3:10" s="44" customFormat="1" ht="31.5" customHeight="1">
      <c r="C745" s="389"/>
      <c r="I745" s="71"/>
      <c r="J745" s="71"/>
    </row>
    <row r="746" spans="3:10" s="44" customFormat="1" ht="31.5" customHeight="1">
      <c r="C746" s="389"/>
      <c r="I746" s="71"/>
      <c r="J746" s="71"/>
    </row>
    <row r="747" spans="3:10" s="44" customFormat="1" ht="31.5" customHeight="1">
      <c r="C747" s="389"/>
      <c r="I747" s="71"/>
      <c r="J747" s="71"/>
    </row>
    <row r="748" spans="3:10" s="44" customFormat="1" ht="31.5" customHeight="1">
      <c r="C748" s="389"/>
      <c r="I748" s="71"/>
      <c r="J748" s="71"/>
    </row>
    <row r="749" spans="3:10" s="44" customFormat="1" ht="31.5" customHeight="1">
      <c r="C749" s="389"/>
      <c r="I749" s="71"/>
      <c r="J749" s="71"/>
    </row>
    <row r="750" spans="3:10" s="44" customFormat="1" ht="31.5" customHeight="1">
      <c r="C750" s="389"/>
      <c r="I750" s="71"/>
      <c r="J750" s="71"/>
    </row>
    <row r="751" spans="3:10" s="44" customFormat="1" ht="31.5" customHeight="1">
      <c r="C751" s="389"/>
      <c r="I751" s="71"/>
      <c r="J751" s="71"/>
    </row>
    <row r="752" spans="3:10" s="44" customFormat="1" ht="31.5" customHeight="1">
      <c r="C752" s="389"/>
      <c r="I752" s="71"/>
      <c r="J752" s="71"/>
    </row>
    <row r="753" spans="3:10" s="44" customFormat="1" ht="31.5" customHeight="1">
      <c r="C753" s="389"/>
      <c r="I753" s="71"/>
      <c r="J753" s="71"/>
    </row>
    <row r="754" spans="3:10" s="44" customFormat="1" ht="31.5" customHeight="1">
      <c r="C754" s="389"/>
      <c r="I754" s="71"/>
      <c r="J754" s="71"/>
    </row>
    <row r="755" spans="3:10" s="44" customFormat="1" ht="31.5" customHeight="1">
      <c r="C755" s="389"/>
      <c r="I755" s="71"/>
      <c r="J755" s="71"/>
    </row>
    <row r="756" spans="3:10" s="44" customFormat="1" ht="31.5" customHeight="1">
      <c r="C756" s="389"/>
      <c r="I756" s="71"/>
      <c r="J756" s="71"/>
    </row>
    <row r="757" spans="3:10" s="44" customFormat="1" ht="31.5" customHeight="1">
      <c r="C757" s="389"/>
      <c r="I757" s="71"/>
      <c r="J757" s="71"/>
    </row>
    <row r="758" spans="3:10" s="44" customFormat="1" ht="31.5" customHeight="1">
      <c r="C758" s="389"/>
      <c r="I758" s="71"/>
      <c r="J758" s="71"/>
    </row>
    <row r="759" spans="3:10" s="44" customFormat="1" ht="31.5" customHeight="1">
      <c r="C759" s="389"/>
      <c r="I759" s="71"/>
      <c r="J759" s="71"/>
    </row>
    <row r="760" spans="3:10" s="44" customFormat="1" ht="31.5" customHeight="1">
      <c r="C760" s="389"/>
      <c r="I760" s="71"/>
      <c r="J760" s="71"/>
    </row>
    <row r="761" spans="3:10" s="44" customFormat="1" ht="31.5" customHeight="1">
      <c r="C761" s="389"/>
      <c r="I761" s="71"/>
      <c r="J761" s="71"/>
    </row>
    <row r="762" spans="3:10" s="44" customFormat="1" ht="31.5" customHeight="1">
      <c r="C762" s="389"/>
      <c r="I762" s="71"/>
      <c r="J762" s="71"/>
    </row>
    <row r="763" spans="3:10" s="44" customFormat="1" ht="31.5" customHeight="1">
      <c r="C763" s="389"/>
      <c r="I763" s="71"/>
      <c r="J763" s="71"/>
    </row>
    <row r="764" spans="3:10" s="44" customFormat="1" ht="31.5" customHeight="1">
      <c r="C764" s="389"/>
      <c r="I764" s="71"/>
      <c r="J764" s="71"/>
    </row>
    <row r="765" spans="3:10" s="44" customFormat="1" ht="31.5" customHeight="1">
      <c r="C765" s="389"/>
      <c r="I765" s="71"/>
      <c r="J765" s="71"/>
    </row>
    <row r="766" spans="3:10" s="44" customFormat="1" ht="31.5" customHeight="1">
      <c r="C766" s="389"/>
      <c r="I766" s="71"/>
      <c r="J766" s="71"/>
    </row>
    <row r="767" spans="3:10" s="44" customFormat="1" ht="31.5" customHeight="1">
      <c r="C767" s="389"/>
      <c r="I767" s="71"/>
      <c r="J767" s="71"/>
    </row>
    <row r="768" spans="3:10" s="44" customFormat="1" ht="31.5" customHeight="1">
      <c r="C768" s="389"/>
      <c r="I768" s="71"/>
      <c r="J768" s="71"/>
    </row>
    <row r="769" spans="3:10" s="44" customFormat="1" ht="31.5" customHeight="1">
      <c r="C769" s="389"/>
      <c r="I769" s="71"/>
      <c r="J769" s="71"/>
    </row>
    <row r="770" spans="3:10" s="44" customFormat="1" ht="31.5" customHeight="1">
      <c r="C770" s="389"/>
      <c r="I770" s="71"/>
      <c r="J770" s="71"/>
    </row>
    <row r="771" spans="3:10" s="44" customFormat="1" ht="31.5" customHeight="1">
      <c r="C771" s="389"/>
      <c r="I771" s="71"/>
      <c r="J771" s="71"/>
    </row>
    <row r="772" spans="3:10" s="44" customFormat="1" ht="31.5" customHeight="1">
      <c r="C772" s="389"/>
      <c r="I772" s="71"/>
      <c r="J772" s="71"/>
    </row>
    <row r="773" spans="3:10" s="44" customFormat="1" ht="31.5" customHeight="1">
      <c r="C773" s="389"/>
      <c r="I773" s="71"/>
      <c r="J773" s="71"/>
    </row>
    <row r="774" spans="3:10" s="44" customFormat="1" ht="31.5" customHeight="1">
      <c r="C774" s="389"/>
      <c r="I774" s="71"/>
      <c r="J774" s="71"/>
    </row>
    <row r="775" spans="3:10" s="44" customFormat="1" ht="31.5" customHeight="1">
      <c r="C775" s="389"/>
      <c r="I775" s="71"/>
      <c r="J775" s="71"/>
    </row>
    <row r="776" spans="3:10" s="44" customFormat="1" ht="31.5" customHeight="1">
      <c r="C776" s="389"/>
      <c r="I776" s="71"/>
      <c r="J776" s="71"/>
    </row>
    <row r="777" spans="3:10" s="44" customFormat="1" ht="31.5" customHeight="1">
      <c r="C777" s="389"/>
      <c r="I777" s="71"/>
      <c r="J777" s="71"/>
    </row>
    <row r="778" spans="3:10" s="44" customFormat="1" ht="31.5" customHeight="1">
      <c r="C778" s="389"/>
      <c r="I778" s="71"/>
      <c r="J778" s="71"/>
    </row>
    <row r="779" spans="3:10" s="44" customFormat="1" ht="31.5" customHeight="1">
      <c r="C779" s="389"/>
      <c r="I779" s="71"/>
      <c r="J779" s="71"/>
    </row>
    <row r="780" spans="3:10" s="44" customFormat="1" ht="31.5" customHeight="1">
      <c r="C780" s="389"/>
      <c r="I780" s="71"/>
      <c r="J780" s="71"/>
    </row>
    <row r="781" spans="3:10" s="44" customFormat="1" ht="31.5" customHeight="1">
      <c r="C781" s="389"/>
      <c r="I781" s="71"/>
      <c r="J781" s="71"/>
    </row>
    <row r="782" spans="3:10" s="44" customFormat="1" ht="31.5" customHeight="1">
      <c r="C782" s="389"/>
      <c r="I782" s="71"/>
      <c r="J782" s="71"/>
    </row>
    <row r="783" spans="3:10" s="44" customFormat="1" ht="31.5" customHeight="1">
      <c r="C783" s="389"/>
      <c r="I783" s="71"/>
      <c r="J783" s="71"/>
    </row>
    <row r="784" spans="3:10" s="44" customFormat="1" ht="31.5" customHeight="1">
      <c r="C784" s="389"/>
      <c r="I784" s="71"/>
      <c r="J784" s="71"/>
    </row>
    <row r="785" spans="3:10" s="44" customFormat="1" ht="31.5" customHeight="1">
      <c r="C785" s="389"/>
      <c r="I785" s="71"/>
      <c r="J785" s="71"/>
    </row>
    <row r="786" spans="3:10" s="44" customFormat="1" ht="31.5" customHeight="1">
      <c r="C786" s="389"/>
      <c r="I786" s="71"/>
      <c r="J786" s="71"/>
    </row>
    <row r="787" spans="3:10" s="44" customFormat="1" ht="31.5" customHeight="1">
      <c r="C787" s="389"/>
      <c r="I787" s="71"/>
      <c r="J787" s="71"/>
    </row>
    <row r="788" spans="3:10" s="44" customFormat="1" ht="31.5" customHeight="1">
      <c r="C788" s="389"/>
      <c r="I788" s="71"/>
      <c r="J788" s="71"/>
    </row>
    <row r="789" spans="3:10" s="44" customFormat="1" ht="31.5" customHeight="1">
      <c r="C789" s="389"/>
      <c r="I789" s="71"/>
      <c r="J789" s="71"/>
    </row>
    <row r="790" spans="3:10" s="44" customFormat="1" ht="31.5" customHeight="1">
      <c r="C790" s="389"/>
      <c r="I790" s="71"/>
      <c r="J790" s="71"/>
    </row>
    <row r="791" spans="3:10" s="44" customFormat="1" ht="31.5" customHeight="1">
      <c r="C791" s="389"/>
      <c r="I791" s="71"/>
      <c r="J791" s="71"/>
    </row>
    <row r="792" spans="3:10" s="44" customFormat="1" ht="31.5" customHeight="1">
      <c r="C792" s="389"/>
      <c r="I792" s="71"/>
      <c r="J792" s="71"/>
    </row>
    <row r="793" spans="3:10" s="44" customFormat="1" ht="31.5" customHeight="1">
      <c r="C793" s="389"/>
      <c r="I793" s="71"/>
      <c r="J793" s="71"/>
    </row>
    <row r="794" spans="3:10" s="44" customFormat="1" ht="31.5" customHeight="1">
      <c r="C794" s="389"/>
      <c r="I794" s="71"/>
      <c r="J794" s="71"/>
    </row>
    <row r="795" spans="3:10" s="44" customFormat="1" ht="31.5" customHeight="1">
      <c r="C795" s="389"/>
      <c r="I795" s="71"/>
      <c r="J795" s="71"/>
    </row>
    <row r="796" spans="3:10" s="44" customFormat="1" ht="31.5" customHeight="1">
      <c r="C796" s="389"/>
      <c r="I796" s="71"/>
      <c r="J796" s="71"/>
    </row>
    <row r="797" spans="3:10" s="44" customFormat="1" ht="31.5" customHeight="1">
      <c r="C797" s="389"/>
      <c r="I797" s="71"/>
      <c r="J797" s="71"/>
    </row>
    <row r="798" spans="3:10" s="44" customFormat="1" ht="31.5" customHeight="1">
      <c r="C798" s="389"/>
      <c r="I798" s="71"/>
      <c r="J798" s="71"/>
    </row>
    <row r="799" spans="3:10" s="44" customFormat="1" ht="31.5" customHeight="1">
      <c r="C799" s="389"/>
      <c r="I799" s="71"/>
      <c r="J799" s="71"/>
    </row>
    <row r="800" spans="3:10" s="44" customFormat="1" ht="31.5" customHeight="1">
      <c r="C800" s="389"/>
      <c r="I800" s="71"/>
      <c r="J800" s="71"/>
    </row>
    <row r="801" spans="3:10" s="44" customFormat="1" ht="31.5" customHeight="1">
      <c r="C801" s="389"/>
      <c r="I801" s="71"/>
      <c r="J801" s="71"/>
    </row>
    <row r="802" spans="3:10" s="44" customFormat="1" ht="31.5" customHeight="1">
      <c r="C802" s="389"/>
      <c r="I802" s="71"/>
      <c r="J802" s="71"/>
    </row>
    <row r="803" spans="3:10" s="44" customFormat="1" ht="31.5" customHeight="1">
      <c r="C803" s="389"/>
      <c r="I803" s="71"/>
      <c r="J803" s="71"/>
    </row>
    <row r="804" spans="3:10" s="44" customFormat="1" ht="31.5" customHeight="1">
      <c r="C804" s="389"/>
      <c r="I804" s="71"/>
      <c r="J804" s="71"/>
    </row>
    <row r="805" spans="3:10" s="44" customFormat="1" ht="31.5" customHeight="1">
      <c r="C805" s="389"/>
      <c r="I805" s="71"/>
      <c r="J805" s="71"/>
    </row>
    <row r="806" spans="3:10" s="44" customFormat="1" ht="31.5" customHeight="1">
      <c r="C806" s="389"/>
      <c r="I806" s="71"/>
      <c r="J806" s="71"/>
    </row>
    <row r="807" spans="3:10" s="44" customFormat="1" ht="31.5" customHeight="1">
      <c r="C807" s="389"/>
      <c r="I807" s="71"/>
      <c r="J807" s="71"/>
    </row>
    <row r="808" spans="3:10" s="44" customFormat="1" ht="31.5" customHeight="1">
      <c r="C808" s="389"/>
      <c r="I808" s="71"/>
      <c r="J808" s="71"/>
    </row>
    <row r="809" spans="3:10" s="44" customFormat="1" ht="31.5" customHeight="1">
      <c r="C809" s="389"/>
      <c r="I809" s="71"/>
      <c r="J809" s="71"/>
    </row>
    <row r="810" spans="3:10" s="44" customFormat="1" ht="31.5" customHeight="1">
      <c r="C810" s="389"/>
      <c r="I810" s="71"/>
      <c r="J810" s="71"/>
    </row>
    <row r="811" spans="3:10" s="44" customFormat="1" ht="31.5" customHeight="1">
      <c r="C811" s="389"/>
      <c r="I811" s="71"/>
      <c r="J811" s="71"/>
    </row>
    <row r="812" spans="3:10" s="44" customFormat="1" ht="31.5" customHeight="1">
      <c r="C812" s="389"/>
      <c r="I812" s="71"/>
      <c r="J812" s="71"/>
    </row>
    <row r="813" spans="3:10" s="44" customFormat="1" ht="31.5" customHeight="1">
      <c r="C813" s="389"/>
      <c r="I813" s="71"/>
      <c r="J813" s="71"/>
    </row>
    <row r="814" spans="3:10" s="44" customFormat="1" ht="31.5" customHeight="1">
      <c r="C814" s="389"/>
      <c r="I814" s="71"/>
      <c r="J814" s="71"/>
    </row>
    <row r="815" spans="3:10" s="44" customFormat="1" ht="31.5" customHeight="1">
      <c r="C815" s="389"/>
      <c r="I815" s="71"/>
      <c r="J815" s="71"/>
    </row>
    <row r="816" spans="3:10" s="44" customFormat="1" ht="31.5" customHeight="1">
      <c r="C816" s="389"/>
      <c r="I816" s="71"/>
      <c r="J816" s="71"/>
    </row>
    <row r="817" spans="3:10" s="44" customFormat="1" ht="31.5" customHeight="1">
      <c r="C817" s="389"/>
      <c r="I817" s="71"/>
      <c r="J817" s="71"/>
    </row>
    <row r="818" spans="3:10" s="44" customFormat="1" ht="31.5" customHeight="1">
      <c r="C818" s="389"/>
      <c r="I818" s="71"/>
      <c r="J818" s="71"/>
    </row>
    <row r="819" spans="3:10" s="44" customFormat="1" ht="31.5" customHeight="1">
      <c r="C819" s="389"/>
      <c r="I819" s="71"/>
      <c r="J819" s="71"/>
    </row>
    <row r="820" spans="3:10" s="44" customFormat="1" ht="31.5" customHeight="1">
      <c r="C820" s="389"/>
      <c r="I820" s="71"/>
      <c r="J820" s="71"/>
    </row>
    <row r="821" spans="3:10" s="44" customFormat="1" ht="31.5" customHeight="1">
      <c r="C821" s="389"/>
      <c r="I821" s="71"/>
      <c r="J821" s="71"/>
    </row>
    <row r="822" spans="3:10" s="44" customFormat="1" ht="31.5" customHeight="1">
      <c r="C822" s="389"/>
      <c r="I822" s="71"/>
      <c r="J822" s="71"/>
    </row>
    <row r="823" spans="3:10" s="44" customFormat="1" ht="31.5" customHeight="1">
      <c r="C823" s="389"/>
      <c r="I823" s="71"/>
      <c r="J823" s="71"/>
    </row>
    <row r="824" spans="3:10" s="44" customFormat="1" ht="31.5" customHeight="1">
      <c r="C824" s="389"/>
      <c r="I824" s="71"/>
      <c r="J824" s="71"/>
    </row>
    <row r="825" spans="3:10" s="44" customFormat="1" ht="31.5" customHeight="1">
      <c r="C825" s="389"/>
      <c r="I825" s="71"/>
      <c r="J825" s="71"/>
    </row>
    <row r="826" spans="3:10" s="44" customFormat="1" ht="31.5" customHeight="1">
      <c r="C826" s="389"/>
      <c r="I826" s="71"/>
      <c r="J826" s="71"/>
    </row>
    <row r="827" spans="3:10" s="44" customFormat="1" ht="31.5" customHeight="1">
      <c r="C827" s="389"/>
      <c r="I827" s="71"/>
      <c r="J827" s="71"/>
    </row>
    <row r="828" spans="3:10" s="44" customFormat="1" ht="31.5" customHeight="1">
      <c r="C828" s="389"/>
      <c r="I828" s="71"/>
      <c r="J828" s="71"/>
    </row>
    <row r="829" spans="3:10" s="44" customFormat="1" ht="31.5" customHeight="1">
      <c r="C829" s="389"/>
      <c r="I829" s="71"/>
      <c r="J829" s="71"/>
    </row>
    <row r="830" spans="3:10" s="44" customFormat="1" ht="31.5" customHeight="1">
      <c r="C830" s="389"/>
      <c r="I830" s="71"/>
      <c r="J830" s="71"/>
    </row>
    <row r="831" spans="3:10" s="44" customFormat="1" ht="31.5" customHeight="1">
      <c r="C831" s="389"/>
      <c r="I831" s="71"/>
      <c r="J831" s="71"/>
    </row>
    <row r="832" spans="3:10" s="44" customFormat="1" ht="31.5" customHeight="1">
      <c r="C832" s="389"/>
      <c r="I832" s="71"/>
      <c r="J832" s="71"/>
    </row>
    <row r="833" spans="1:13" s="44" customFormat="1" ht="31.5" customHeight="1">
      <c r="C833" s="389"/>
      <c r="I833" s="71"/>
      <c r="J833" s="71"/>
    </row>
    <row r="834" spans="1:13" s="44" customFormat="1" ht="31.5" customHeight="1">
      <c r="C834" s="389"/>
      <c r="I834" s="71"/>
      <c r="J834" s="71"/>
    </row>
    <row r="835" spans="1:13" s="44" customFormat="1" ht="31.5" customHeight="1">
      <c r="C835" s="389"/>
      <c r="I835" s="71"/>
      <c r="J835" s="71"/>
    </row>
    <row r="836" spans="1:13">
      <c r="A836" s="44"/>
      <c r="B836" s="44"/>
      <c r="C836" s="389"/>
      <c r="D836" s="44"/>
      <c r="E836" s="44"/>
      <c r="F836" s="44"/>
      <c r="G836" s="44"/>
      <c r="H836" s="44"/>
      <c r="I836" s="71"/>
      <c r="J836" s="71"/>
      <c r="K836" s="44"/>
      <c r="L836" s="44"/>
      <c r="M836" s="44"/>
    </row>
  </sheetData>
  <mergeCells count="7">
    <mergeCell ref="A59:M59"/>
    <mergeCell ref="A1:B4"/>
    <mergeCell ref="C1:J4"/>
    <mergeCell ref="L1:M1"/>
    <mergeCell ref="L2:M2"/>
    <mergeCell ref="L3:M3"/>
    <mergeCell ref="L4:M4"/>
  </mergeCells>
  <pageMargins left="0.19685039370078741" right="0.19685039370078741" top="0.19685039370078741" bottom="0.19685039370078741" header="0.15748031496062992" footer="0.15748031496062992"/>
  <pageSetup paperSize="9" scale="33" orientation="landscape" horizontalDpi="180" verticalDpi="180" r:id="rId1"/>
  <rowBreaks count="9" manualBreakCount="9">
    <brk id="40" max="14" man="1"/>
    <brk id="59" max="14" man="1"/>
    <brk id="198" max="14" man="1"/>
    <brk id="232" max="14" man="1"/>
    <brk id="279" max="14" man="1"/>
    <brk id="306" max="14" man="1"/>
    <brk id="331" max="14" man="1"/>
    <brk id="349" max="14" man="1"/>
    <brk id="389" max="14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7">
    <tabColor rgb="FFC00000"/>
  </sheetPr>
  <dimension ref="A1:AA48"/>
  <sheetViews>
    <sheetView tabSelected="1" view="pageBreakPreview" zoomScale="47" zoomScaleNormal="53" zoomScaleSheetLayoutView="47" zoomScalePageLayoutView="42" workbookViewId="0">
      <selection activeCell="E2" sqref="E2"/>
    </sheetView>
  </sheetViews>
  <sheetFormatPr baseColWidth="10" defaultRowHeight="15"/>
  <cols>
    <col min="1" max="1" width="14.140625" style="81" customWidth="1"/>
    <col min="2" max="2" width="28.42578125" style="81" bestFit="1" customWidth="1"/>
    <col min="3" max="3" width="22.28515625" style="81" customWidth="1"/>
    <col min="4" max="4" width="27.85546875" style="81" customWidth="1"/>
    <col min="5" max="8" width="21.5703125" style="81" customWidth="1"/>
    <col min="9" max="9" width="22" style="81" customWidth="1"/>
    <col min="10" max="12" width="19.140625" style="81" customWidth="1"/>
    <col min="13" max="16" width="20.42578125" style="81" customWidth="1"/>
    <col min="17" max="20" width="20.5703125" style="76" customWidth="1"/>
    <col min="21" max="21" width="32.42578125" style="76" customWidth="1"/>
    <col min="22" max="22" width="12" style="81" customWidth="1"/>
    <col min="23" max="23" width="16.85546875" style="76" customWidth="1"/>
    <col min="24" max="24" width="18.7109375" style="81" customWidth="1"/>
    <col min="25" max="25" width="22.140625" style="76" customWidth="1"/>
    <col min="26" max="26" width="20.28515625" style="76" customWidth="1"/>
    <col min="27" max="27" width="16.7109375" style="76" customWidth="1"/>
    <col min="28" max="16384" width="11.42578125" style="76"/>
  </cols>
  <sheetData>
    <row r="1" spans="1:27" ht="31.5">
      <c r="A1" s="88"/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10"/>
      <c r="R1" s="10"/>
      <c r="S1" s="10"/>
      <c r="T1" s="10" t="s">
        <v>1580</v>
      </c>
      <c r="U1" s="10"/>
      <c r="V1" s="89"/>
      <c r="W1" s="429"/>
      <c r="X1" s="430"/>
      <c r="Y1" s="430"/>
      <c r="Z1" s="430"/>
      <c r="AA1" s="431"/>
    </row>
    <row r="2" spans="1:27" ht="168" customHeight="1">
      <c r="A2" s="97" t="s">
        <v>54</v>
      </c>
      <c r="B2" s="97" t="s">
        <v>10</v>
      </c>
      <c r="C2" s="97" t="s">
        <v>9</v>
      </c>
      <c r="D2" s="489" t="s">
        <v>8</v>
      </c>
      <c r="E2" s="493" t="s">
        <v>252</v>
      </c>
      <c r="F2" s="97" t="s">
        <v>242</v>
      </c>
      <c r="G2" s="97" t="s">
        <v>253</v>
      </c>
      <c r="H2" s="97" t="s">
        <v>265</v>
      </c>
      <c r="I2" s="97" t="s">
        <v>232</v>
      </c>
      <c r="J2" s="97" t="s">
        <v>7</v>
      </c>
      <c r="K2" s="97" t="s">
        <v>143</v>
      </c>
      <c r="L2" s="97" t="s">
        <v>254</v>
      </c>
      <c r="M2" s="97" t="s">
        <v>255</v>
      </c>
      <c r="N2" s="97" t="s">
        <v>266</v>
      </c>
      <c r="O2" s="97" t="s">
        <v>256</v>
      </c>
      <c r="P2" s="97" t="s">
        <v>258</v>
      </c>
      <c r="Q2" s="97" t="s">
        <v>259</v>
      </c>
      <c r="R2" s="97" t="s">
        <v>267</v>
      </c>
      <c r="S2" s="97" t="s">
        <v>260</v>
      </c>
      <c r="T2" s="97" t="s">
        <v>6</v>
      </c>
      <c r="U2" s="97" t="s">
        <v>5</v>
      </c>
      <c r="V2" s="97" t="s">
        <v>4</v>
      </c>
      <c r="W2" s="97" t="s">
        <v>100</v>
      </c>
      <c r="X2" s="97" t="s">
        <v>3</v>
      </c>
      <c r="Y2" s="97" t="s">
        <v>2</v>
      </c>
      <c r="Z2" s="97" t="s">
        <v>1</v>
      </c>
      <c r="AA2" s="97" t="s">
        <v>0</v>
      </c>
    </row>
    <row r="3" spans="1:27" ht="43.5" hidden="1" customHeight="1">
      <c r="A3" s="94" t="s">
        <v>11</v>
      </c>
      <c r="B3" s="393" t="s">
        <v>55</v>
      </c>
      <c r="C3" s="98" t="str">
        <f>IFERROR(VLOOKUP(D3,Pieces!A:B,2,0)," ")</f>
        <v xml:space="preserve"> </v>
      </c>
      <c r="D3" s="416"/>
      <c r="E3" s="420"/>
      <c r="F3" s="420"/>
      <c r="G3" s="420"/>
      <c r="H3" s="420"/>
      <c r="I3" s="420"/>
      <c r="J3" s="416"/>
      <c r="K3" s="420"/>
      <c r="L3" s="420">
        <f t="shared" ref="L3:L10" si="0">(F3-E3)*K3</f>
        <v>0</v>
      </c>
      <c r="M3" s="416">
        <f t="shared" ref="M3:M10" si="1">(G3-F3)*K3</f>
        <v>0</v>
      </c>
      <c r="N3" s="416">
        <f t="shared" ref="N3:N10" si="2">(H3-G3)*K3</f>
        <v>0</v>
      </c>
      <c r="O3" s="416">
        <f t="shared" ref="O3:O10" si="3">(I3-H3)*K3</f>
        <v>0</v>
      </c>
      <c r="P3" s="83">
        <f t="shared" ref="P3:P10" si="4">IF(J3=0,0,L3/J3)</f>
        <v>0</v>
      </c>
      <c r="Q3" s="83">
        <f t="shared" ref="Q3:Q10" si="5">IF(J3=0,0,M3/J3)</f>
        <v>0</v>
      </c>
      <c r="R3" s="83">
        <f t="shared" ref="R3:R10" si="6">IF(J3=0,0,N3/J3)</f>
        <v>0</v>
      </c>
      <c r="S3" s="83">
        <f t="shared" ref="S3:S10" si="7">IF(J3=0,0,O3/J3)</f>
        <v>0</v>
      </c>
      <c r="T3" s="85">
        <v>24</v>
      </c>
      <c r="U3" s="416"/>
      <c r="V3" s="416"/>
      <c r="W3" s="84">
        <f t="shared" ref="W3:W10" si="8">X3-M3-O3-L3+V3-N3</f>
        <v>0</v>
      </c>
      <c r="X3" s="416"/>
      <c r="Y3" s="83">
        <f t="shared" ref="Y3:Y10" si="9">IF(J3=0,0,(X3+V3)/J3)</f>
        <v>0</v>
      </c>
      <c r="Z3" s="82" t="str">
        <f t="shared" ref="Z3:Z10" si="10">IF(OR(T3=0,J3=0),"",Y3/T3*100)</f>
        <v/>
      </c>
      <c r="AA3" s="85" t="str">
        <f>IF(Z3&gt;85," ","WARNING")</f>
        <v xml:space="preserve"> </v>
      </c>
    </row>
    <row r="4" spans="1:27" ht="42" hidden="1" customHeight="1">
      <c r="A4" s="94" t="s">
        <v>12</v>
      </c>
      <c r="B4" s="393" t="s">
        <v>56</v>
      </c>
      <c r="C4" s="98" t="str">
        <f>IFERROR(VLOOKUP(D4,Pieces!A:B,2,0)," ")</f>
        <v xml:space="preserve"> </v>
      </c>
      <c r="D4" s="416"/>
      <c r="E4" s="420"/>
      <c r="F4" s="420"/>
      <c r="G4" s="420"/>
      <c r="H4" s="420"/>
      <c r="I4" s="420"/>
      <c r="J4" s="416"/>
      <c r="K4" s="420"/>
      <c r="L4" s="420">
        <f t="shared" si="0"/>
        <v>0</v>
      </c>
      <c r="M4" s="416">
        <f t="shared" si="1"/>
        <v>0</v>
      </c>
      <c r="N4" s="416">
        <f t="shared" si="2"/>
        <v>0</v>
      </c>
      <c r="O4" s="416">
        <f t="shared" si="3"/>
        <v>0</v>
      </c>
      <c r="P4" s="83">
        <f t="shared" si="4"/>
        <v>0</v>
      </c>
      <c r="Q4" s="83">
        <f t="shared" si="5"/>
        <v>0</v>
      </c>
      <c r="R4" s="83">
        <f t="shared" si="6"/>
        <v>0</v>
      </c>
      <c r="S4" s="83">
        <f t="shared" si="7"/>
        <v>0</v>
      </c>
      <c r="T4" s="85">
        <v>24</v>
      </c>
      <c r="U4" s="416"/>
      <c r="V4" s="416"/>
      <c r="W4" s="84">
        <f t="shared" si="8"/>
        <v>0</v>
      </c>
      <c r="X4" s="416"/>
      <c r="Y4" s="83">
        <f t="shared" si="9"/>
        <v>0</v>
      </c>
      <c r="Z4" s="82" t="str">
        <f t="shared" si="10"/>
        <v/>
      </c>
      <c r="AA4" s="85" t="str">
        <f t="shared" ref="AA4:AA22" si="11">IF(Z4&gt;85," ","WARNING")</f>
        <v xml:space="preserve"> </v>
      </c>
    </row>
    <row r="5" spans="1:27" ht="50.25" hidden="1" customHeight="1">
      <c r="A5" s="94" t="s">
        <v>13</v>
      </c>
      <c r="B5" s="393" t="s">
        <v>57</v>
      </c>
      <c r="C5" s="98" t="str">
        <f>IFERROR(VLOOKUP(D5,Pieces!A:B,2,0)," ")</f>
        <v xml:space="preserve"> </v>
      </c>
      <c r="D5" s="416"/>
      <c r="E5" s="420"/>
      <c r="F5" s="420"/>
      <c r="G5" s="420"/>
      <c r="H5" s="420"/>
      <c r="I5" s="420"/>
      <c r="J5" s="416"/>
      <c r="K5" s="420"/>
      <c r="L5" s="420">
        <f t="shared" si="0"/>
        <v>0</v>
      </c>
      <c r="M5" s="416">
        <f t="shared" si="1"/>
        <v>0</v>
      </c>
      <c r="N5" s="416">
        <f t="shared" si="2"/>
        <v>0</v>
      </c>
      <c r="O5" s="416">
        <f t="shared" si="3"/>
        <v>0</v>
      </c>
      <c r="P5" s="83">
        <f t="shared" si="4"/>
        <v>0</v>
      </c>
      <c r="Q5" s="83">
        <f t="shared" si="5"/>
        <v>0</v>
      </c>
      <c r="R5" s="83">
        <f t="shared" si="6"/>
        <v>0</v>
      </c>
      <c r="S5" s="83">
        <f t="shared" si="7"/>
        <v>0</v>
      </c>
      <c r="T5" s="85">
        <v>24</v>
      </c>
      <c r="U5" s="416"/>
      <c r="V5" s="416"/>
      <c r="W5" s="84">
        <f t="shared" si="8"/>
        <v>0</v>
      </c>
      <c r="X5" s="416"/>
      <c r="Y5" s="83">
        <f t="shared" si="9"/>
        <v>0</v>
      </c>
      <c r="Z5" s="82" t="str">
        <f t="shared" si="10"/>
        <v/>
      </c>
      <c r="AA5" s="85" t="str">
        <f t="shared" si="11"/>
        <v xml:space="preserve"> </v>
      </c>
    </row>
    <row r="6" spans="1:27" ht="39.75" hidden="1" customHeight="1">
      <c r="A6" s="94" t="s">
        <v>14</v>
      </c>
      <c r="B6" s="393" t="s">
        <v>58</v>
      </c>
      <c r="C6" s="98" t="str">
        <f>IFERROR(VLOOKUP(D6,Pieces!A:B,2,0)," ")</f>
        <v xml:space="preserve"> </v>
      </c>
      <c r="D6" s="416" t="s">
        <v>836</v>
      </c>
      <c r="E6" s="420" t="s">
        <v>840</v>
      </c>
      <c r="F6" s="420"/>
      <c r="G6" s="420"/>
      <c r="H6" s="420"/>
      <c r="I6" s="420" t="s">
        <v>841</v>
      </c>
      <c r="J6" s="416" t="s">
        <v>842</v>
      </c>
      <c r="K6" s="420"/>
      <c r="L6" s="420" t="e">
        <f t="shared" si="0"/>
        <v>#VALUE!</v>
      </c>
      <c r="M6" s="416">
        <f t="shared" si="1"/>
        <v>0</v>
      </c>
      <c r="N6" s="416">
        <f t="shared" si="2"/>
        <v>0</v>
      </c>
      <c r="O6" s="416" t="e">
        <f t="shared" si="3"/>
        <v>#VALUE!</v>
      </c>
      <c r="P6" s="83" t="e">
        <f t="shared" si="4"/>
        <v>#VALUE!</v>
      </c>
      <c r="Q6" s="83" t="e">
        <f t="shared" si="5"/>
        <v>#VALUE!</v>
      </c>
      <c r="R6" s="83" t="e">
        <f t="shared" si="6"/>
        <v>#VALUE!</v>
      </c>
      <c r="S6" s="83" t="e">
        <f t="shared" si="7"/>
        <v>#VALUE!</v>
      </c>
      <c r="T6" s="85">
        <v>24</v>
      </c>
      <c r="U6" s="416"/>
      <c r="V6" s="416"/>
      <c r="W6" s="84" t="e">
        <f t="shared" si="8"/>
        <v>#VALUE!</v>
      </c>
      <c r="X6" s="416"/>
      <c r="Y6" s="83" t="e">
        <f t="shared" si="9"/>
        <v>#VALUE!</v>
      </c>
      <c r="Z6" s="82" t="e">
        <f t="shared" si="10"/>
        <v>#VALUE!</v>
      </c>
      <c r="AA6" s="85" t="e">
        <f t="shared" si="11"/>
        <v>#VALUE!</v>
      </c>
    </row>
    <row r="7" spans="1:27" ht="42.75" hidden="1" customHeight="1">
      <c r="A7" s="94" t="s">
        <v>15</v>
      </c>
      <c r="B7" s="393" t="s">
        <v>59</v>
      </c>
      <c r="C7" s="98" t="str">
        <f>IFERROR(VLOOKUP(D7,Pieces!A:B,2,0)," ")</f>
        <v xml:space="preserve"> </v>
      </c>
      <c r="D7" s="416" t="s">
        <v>102</v>
      </c>
      <c r="E7" s="420">
        <v>3.31E-3</v>
      </c>
      <c r="F7" s="420"/>
      <c r="G7" s="420"/>
      <c r="H7" s="420"/>
      <c r="I7" s="420">
        <v>230</v>
      </c>
      <c r="J7" s="416">
        <v>1.2363636363636363</v>
      </c>
      <c r="K7" s="420"/>
      <c r="L7" s="420">
        <f t="shared" si="0"/>
        <v>0</v>
      </c>
      <c r="M7" s="416">
        <f t="shared" si="1"/>
        <v>0</v>
      </c>
      <c r="N7" s="416">
        <f t="shared" si="2"/>
        <v>0</v>
      </c>
      <c r="O7" s="416">
        <f t="shared" si="3"/>
        <v>0</v>
      </c>
      <c r="P7" s="83">
        <f t="shared" si="4"/>
        <v>0</v>
      </c>
      <c r="Q7" s="83">
        <f t="shared" si="5"/>
        <v>0</v>
      </c>
      <c r="R7" s="83">
        <f t="shared" si="6"/>
        <v>0</v>
      </c>
      <c r="S7" s="83">
        <f t="shared" si="7"/>
        <v>0</v>
      </c>
      <c r="T7" s="85">
        <v>24</v>
      </c>
      <c r="U7" s="416"/>
      <c r="V7" s="416"/>
      <c r="W7" s="84">
        <f t="shared" si="8"/>
        <v>0</v>
      </c>
      <c r="X7" s="416"/>
      <c r="Y7" s="83">
        <f t="shared" si="9"/>
        <v>0</v>
      </c>
      <c r="Z7" s="82">
        <f t="shared" si="10"/>
        <v>0</v>
      </c>
      <c r="AA7" s="85" t="str">
        <f t="shared" si="11"/>
        <v>WARNING</v>
      </c>
    </row>
    <row r="8" spans="1:27" ht="42.75" hidden="1" customHeight="1">
      <c r="A8" s="94" t="s">
        <v>16</v>
      </c>
      <c r="B8" s="393" t="s">
        <v>60</v>
      </c>
      <c r="C8" s="98"/>
      <c r="D8" s="416" t="s">
        <v>803</v>
      </c>
      <c r="E8" s="420">
        <v>3.4200000000000001E-2</v>
      </c>
      <c r="F8" s="420"/>
      <c r="G8" s="420"/>
      <c r="H8" s="420"/>
      <c r="I8" s="420">
        <v>25</v>
      </c>
      <c r="J8" s="416">
        <v>3.137</v>
      </c>
      <c r="K8" s="420"/>
      <c r="L8" s="420"/>
      <c r="M8" s="416"/>
      <c r="N8" s="416"/>
      <c r="O8" s="416"/>
      <c r="P8" s="83"/>
      <c r="Q8" s="83"/>
      <c r="R8" s="83"/>
      <c r="S8" s="83"/>
      <c r="T8" s="85"/>
      <c r="U8" s="416"/>
      <c r="V8" s="416"/>
      <c r="W8" s="84"/>
      <c r="X8" s="416"/>
      <c r="Y8" s="83"/>
      <c r="Z8" s="82"/>
      <c r="AA8" s="85"/>
    </row>
    <row r="9" spans="1:27" ht="42.75" hidden="1" customHeight="1">
      <c r="A9" s="94" t="s">
        <v>326</v>
      </c>
      <c r="B9" s="393" t="s">
        <v>325</v>
      </c>
      <c r="C9" s="98"/>
      <c r="D9" s="416"/>
      <c r="E9" s="420"/>
      <c r="F9" s="420"/>
      <c r="G9" s="420"/>
      <c r="H9" s="420"/>
      <c r="I9" s="420"/>
      <c r="J9" s="416"/>
      <c r="K9" s="420"/>
      <c r="L9" s="420"/>
      <c r="M9" s="416"/>
      <c r="N9" s="416"/>
      <c r="O9" s="416"/>
      <c r="P9" s="83"/>
      <c r="Q9" s="83"/>
      <c r="R9" s="83"/>
      <c r="S9" s="83"/>
      <c r="T9" s="85"/>
      <c r="U9" s="416"/>
      <c r="V9" s="416"/>
      <c r="W9" s="84"/>
      <c r="X9" s="416"/>
      <c r="Y9" s="83"/>
      <c r="Z9" s="82"/>
      <c r="AA9" s="85"/>
    </row>
    <row r="10" spans="1:27" ht="57" hidden="1" customHeight="1">
      <c r="A10" s="94" t="s">
        <v>332</v>
      </c>
      <c r="B10" s="393" t="s">
        <v>333</v>
      </c>
      <c r="C10" s="98" t="str">
        <f>IFERROR(VLOOKUP(D10,Pieces!A:B,2,0)," ")</f>
        <v xml:space="preserve"> </v>
      </c>
      <c r="D10" s="416" t="s">
        <v>630</v>
      </c>
      <c r="E10" s="420">
        <v>0</v>
      </c>
      <c r="F10" s="420"/>
      <c r="G10" s="420"/>
      <c r="H10" s="420"/>
      <c r="I10" s="420">
        <v>0</v>
      </c>
      <c r="J10" s="416">
        <v>0.01</v>
      </c>
      <c r="K10" s="420"/>
      <c r="L10" s="420">
        <f t="shared" si="0"/>
        <v>0</v>
      </c>
      <c r="M10" s="416">
        <f t="shared" si="1"/>
        <v>0</v>
      </c>
      <c r="N10" s="416">
        <f t="shared" si="2"/>
        <v>0</v>
      </c>
      <c r="O10" s="416">
        <f t="shared" si="3"/>
        <v>0</v>
      </c>
      <c r="P10" s="83">
        <f t="shared" si="4"/>
        <v>0</v>
      </c>
      <c r="Q10" s="83">
        <f t="shared" si="5"/>
        <v>0</v>
      </c>
      <c r="R10" s="83">
        <f t="shared" si="6"/>
        <v>0</v>
      </c>
      <c r="S10" s="83">
        <f t="shared" si="7"/>
        <v>0</v>
      </c>
      <c r="T10" s="85">
        <v>24</v>
      </c>
      <c r="U10" s="416"/>
      <c r="V10" s="416"/>
      <c r="W10" s="84">
        <f t="shared" si="8"/>
        <v>0</v>
      </c>
      <c r="X10" s="416"/>
      <c r="Y10" s="83">
        <f t="shared" si="9"/>
        <v>0</v>
      </c>
      <c r="Z10" s="82">
        <f t="shared" si="10"/>
        <v>0</v>
      </c>
      <c r="AA10" s="85" t="str">
        <f t="shared" si="11"/>
        <v>WARNING</v>
      </c>
    </row>
    <row r="11" spans="1:27" ht="17.25" hidden="1" customHeight="1">
      <c r="A11" s="432"/>
      <c r="B11" s="432"/>
      <c r="C11" s="432"/>
      <c r="D11" s="432"/>
      <c r="E11" s="432"/>
      <c r="F11" s="432"/>
      <c r="G11" s="432"/>
      <c r="H11" s="432"/>
      <c r="I11" s="432"/>
      <c r="J11" s="432"/>
      <c r="K11" s="432"/>
      <c r="L11" s="432"/>
      <c r="M11" s="432"/>
      <c r="N11" s="432"/>
      <c r="O11" s="432"/>
      <c r="P11" s="432"/>
      <c r="Q11" s="432"/>
      <c r="R11" s="432"/>
      <c r="S11" s="432"/>
      <c r="T11" s="432"/>
      <c r="U11" s="432"/>
      <c r="V11" s="432"/>
      <c r="W11" s="432"/>
      <c r="X11" s="432"/>
      <c r="Y11" s="432"/>
      <c r="Z11" s="432"/>
      <c r="AA11" s="432"/>
    </row>
    <row r="12" spans="1:27" ht="54" customHeight="1">
      <c r="A12" s="94" t="s">
        <v>17</v>
      </c>
      <c r="B12" s="397" t="s">
        <v>61</v>
      </c>
      <c r="C12" s="99">
        <f>IFERROR(VLOOKUP(D12,Pieces!A:B,2,0)," ")</f>
        <v>90162700</v>
      </c>
      <c r="D12" s="488" t="s">
        <v>136</v>
      </c>
      <c r="E12" s="490">
        <v>0.14499999999999999</v>
      </c>
      <c r="F12" s="416"/>
      <c r="G12" s="416"/>
      <c r="H12" s="416"/>
      <c r="I12" s="416">
        <v>55</v>
      </c>
      <c r="J12" s="84">
        <v>0.67</v>
      </c>
      <c r="K12" s="416"/>
      <c r="L12" s="416">
        <f>(F12-E12)*K12</f>
        <v>0</v>
      </c>
      <c r="M12" s="416">
        <f>(G12-F12)*K12</f>
        <v>0</v>
      </c>
      <c r="N12" s="416">
        <f>(H12-G12)*K12</f>
        <v>0</v>
      </c>
      <c r="O12" s="416">
        <f>(I12-H12)*K12</f>
        <v>0</v>
      </c>
      <c r="P12" s="83">
        <f>IF(J12=0,0,L12/J12)</f>
        <v>0</v>
      </c>
      <c r="Q12" s="83">
        <f t="shared" ref="Q12:Q22" si="12">IF(J12=0,0,M12/J12)</f>
        <v>0</v>
      </c>
      <c r="R12" s="83">
        <f>IF(J12=0,0,N12/J12)</f>
        <v>0</v>
      </c>
      <c r="S12" s="83">
        <f>IF(J12=0,0,O12/J12)</f>
        <v>0</v>
      </c>
      <c r="T12" s="85">
        <v>24</v>
      </c>
      <c r="U12" s="416"/>
      <c r="V12" s="416"/>
      <c r="W12" s="84">
        <f>X12-M12-O12-L12+V12-N12</f>
        <v>0</v>
      </c>
      <c r="X12" s="416"/>
      <c r="Y12" s="83">
        <f t="shared" ref="Y12:Y22" si="13">IF(J12=0,0,(X12+V12)/J12)</f>
        <v>0</v>
      </c>
      <c r="Z12" s="82">
        <f t="shared" ref="Z12:Z22" si="14">IF(OR(T12=0,J12=0),"",Y12/T12*100)</f>
        <v>0</v>
      </c>
      <c r="AA12" s="85" t="str">
        <f t="shared" si="11"/>
        <v>WARNING</v>
      </c>
    </row>
    <row r="13" spans="1:27" ht="43.5" customHeight="1">
      <c r="A13" s="94" t="s">
        <v>18</v>
      </c>
      <c r="B13" s="395" t="s">
        <v>1226</v>
      </c>
      <c r="C13" s="99">
        <f>IFERROR(VLOOKUP(D13,Pieces!A:B,2,0)," ")</f>
        <v>0</v>
      </c>
      <c r="D13" s="488" t="s">
        <v>137</v>
      </c>
      <c r="E13" s="490">
        <v>0.1179</v>
      </c>
      <c r="F13" s="416"/>
      <c r="G13" s="416"/>
      <c r="H13" s="416"/>
      <c r="I13" s="416">
        <v>60</v>
      </c>
      <c r="J13" s="416">
        <v>1.1204545454545454</v>
      </c>
      <c r="K13" s="416"/>
      <c r="L13" s="416">
        <f t="shared" ref="L13:L22" si="15">(F13-E13)*K13</f>
        <v>0</v>
      </c>
      <c r="M13" s="416">
        <f t="shared" ref="M13:M22" si="16">(G13-F13)*K13</f>
        <v>0</v>
      </c>
      <c r="N13" s="416">
        <f t="shared" ref="N13:N22" si="17">(H13-G13)*K13</f>
        <v>0</v>
      </c>
      <c r="O13" s="416">
        <f t="shared" ref="O13:O22" si="18">(I13-H13)*K13</f>
        <v>0</v>
      </c>
      <c r="P13" s="83">
        <f t="shared" ref="P13:P22" si="19">IF(J13=0,0,L13/J13)</f>
        <v>0</v>
      </c>
      <c r="Q13" s="83">
        <f t="shared" si="12"/>
        <v>0</v>
      </c>
      <c r="R13" s="83">
        <f t="shared" ref="R13:R22" si="20">IF(J13=0,0,N13/J13)</f>
        <v>0</v>
      </c>
      <c r="S13" s="83">
        <f t="shared" ref="S13:S22" si="21">IF(J13=0,0,O13/J13)</f>
        <v>0</v>
      </c>
      <c r="T13" s="85">
        <v>24</v>
      </c>
      <c r="U13" s="416"/>
      <c r="V13" s="416"/>
      <c r="W13" s="84">
        <f t="shared" ref="W13:W22" si="22">X13-M13-O13-L13+V13-N13</f>
        <v>0</v>
      </c>
      <c r="X13" s="416"/>
      <c r="Y13" s="83">
        <f t="shared" si="13"/>
        <v>0</v>
      </c>
      <c r="Z13" s="82">
        <f t="shared" si="14"/>
        <v>0</v>
      </c>
      <c r="AA13" s="85" t="str">
        <f t="shared" si="11"/>
        <v>WARNING</v>
      </c>
    </row>
    <row r="14" spans="1:27" ht="43.5" customHeight="1">
      <c r="A14" s="94" t="s">
        <v>19</v>
      </c>
      <c r="B14" s="398" t="s">
        <v>62</v>
      </c>
      <c r="C14" s="99" t="str">
        <f>IFERROR(VLOOKUP(D14,Pieces!A:B,2,0)," ")</f>
        <v xml:space="preserve"> </v>
      </c>
      <c r="D14" s="488" t="s">
        <v>853</v>
      </c>
      <c r="E14" s="491">
        <v>0.26269999999999999</v>
      </c>
      <c r="F14" s="84"/>
      <c r="G14" s="84"/>
      <c r="H14" s="84"/>
      <c r="I14" s="84">
        <v>45</v>
      </c>
      <c r="J14" s="416">
        <v>1.05</v>
      </c>
      <c r="K14" s="84"/>
      <c r="L14" s="416">
        <f t="shared" si="15"/>
        <v>0</v>
      </c>
      <c r="M14" s="416">
        <f t="shared" si="16"/>
        <v>0</v>
      </c>
      <c r="N14" s="416">
        <f t="shared" si="17"/>
        <v>0</v>
      </c>
      <c r="O14" s="416">
        <f t="shared" si="18"/>
        <v>0</v>
      </c>
      <c r="P14" s="83">
        <f t="shared" si="19"/>
        <v>0</v>
      </c>
      <c r="Q14" s="83">
        <f t="shared" si="12"/>
        <v>0</v>
      </c>
      <c r="R14" s="83">
        <f t="shared" si="20"/>
        <v>0</v>
      </c>
      <c r="S14" s="83">
        <f t="shared" si="21"/>
        <v>0</v>
      </c>
      <c r="T14" s="85">
        <v>24</v>
      </c>
      <c r="U14" s="416"/>
      <c r="V14" s="416"/>
      <c r="W14" s="84">
        <f t="shared" si="22"/>
        <v>0</v>
      </c>
      <c r="X14" s="416"/>
      <c r="Y14" s="83">
        <f t="shared" si="13"/>
        <v>0</v>
      </c>
      <c r="Z14" s="82">
        <f t="shared" si="14"/>
        <v>0</v>
      </c>
      <c r="AA14" s="85" t="str">
        <f t="shared" si="11"/>
        <v>WARNING</v>
      </c>
    </row>
    <row r="15" spans="1:27" ht="41.25" customHeight="1">
      <c r="A15" s="94" t="s">
        <v>20</v>
      </c>
      <c r="B15" s="394" t="s">
        <v>63</v>
      </c>
      <c r="C15" s="99" t="str">
        <f>IFERROR(VLOOKUP(D15,Pieces!A:B,2,0)," ")</f>
        <v xml:space="preserve"> </v>
      </c>
      <c r="D15" s="488" t="s">
        <v>1581</v>
      </c>
      <c r="E15" s="490">
        <v>0.36099999999999999</v>
      </c>
      <c r="F15" s="416"/>
      <c r="G15" s="416"/>
      <c r="H15" s="416"/>
      <c r="I15" s="416">
        <v>30</v>
      </c>
      <c r="J15" s="416">
        <v>0.67</v>
      </c>
      <c r="K15" s="416"/>
      <c r="L15" s="416">
        <f t="shared" si="15"/>
        <v>0</v>
      </c>
      <c r="M15" s="416">
        <f t="shared" si="16"/>
        <v>0</v>
      </c>
      <c r="N15" s="416">
        <f t="shared" si="17"/>
        <v>0</v>
      </c>
      <c r="O15" s="416">
        <f t="shared" si="18"/>
        <v>0</v>
      </c>
      <c r="P15" s="83">
        <f t="shared" si="19"/>
        <v>0</v>
      </c>
      <c r="Q15" s="83">
        <f t="shared" si="12"/>
        <v>0</v>
      </c>
      <c r="R15" s="83">
        <f t="shared" si="20"/>
        <v>0</v>
      </c>
      <c r="S15" s="83">
        <f t="shared" si="21"/>
        <v>0</v>
      </c>
      <c r="T15" s="85">
        <v>24</v>
      </c>
      <c r="U15" s="416"/>
      <c r="V15" s="416"/>
      <c r="W15" s="84">
        <f t="shared" si="22"/>
        <v>0</v>
      </c>
      <c r="X15" s="416"/>
      <c r="Y15" s="83">
        <f t="shared" si="13"/>
        <v>0</v>
      </c>
      <c r="Z15" s="82">
        <f t="shared" si="14"/>
        <v>0</v>
      </c>
      <c r="AA15" s="85" t="str">
        <f t="shared" si="11"/>
        <v>WARNING</v>
      </c>
    </row>
    <row r="16" spans="1:27" ht="51" customHeight="1">
      <c r="A16" s="94" t="s">
        <v>21</v>
      </c>
      <c r="B16" s="397" t="s">
        <v>83</v>
      </c>
      <c r="C16" s="99" t="str">
        <f>IFERROR(VLOOKUP(D16,Pieces!A:B,2,0)," ")</f>
        <v>I071</v>
      </c>
      <c r="D16" s="488" t="s">
        <v>138</v>
      </c>
      <c r="E16" s="490">
        <v>0.1</v>
      </c>
      <c r="F16" s="416"/>
      <c r="G16" s="416"/>
      <c r="H16" s="416"/>
      <c r="I16" s="416">
        <v>50</v>
      </c>
      <c r="J16" s="416">
        <v>1.4999999999999998</v>
      </c>
      <c r="K16" s="416"/>
      <c r="L16" s="416">
        <f t="shared" si="15"/>
        <v>0</v>
      </c>
      <c r="M16" s="416">
        <f t="shared" si="16"/>
        <v>0</v>
      </c>
      <c r="N16" s="416">
        <f t="shared" si="17"/>
        <v>0</v>
      </c>
      <c r="O16" s="416">
        <f t="shared" si="18"/>
        <v>0</v>
      </c>
      <c r="P16" s="83">
        <f t="shared" si="19"/>
        <v>0</v>
      </c>
      <c r="Q16" s="83">
        <f t="shared" si="12"/>
        <v>0</v>
      </c>
      <c r="R16" s="83">
        <f t="shared" si="20"/>
        <v>0</v>
      </c>
      <c r="S16" s="83">
        <f t="shared" si="21"/>
        <v>0</v>
      </c>
      <c r="T16" s="85">
        <v>9</v>
      </c>
      <c r="U16" s="416"/>
      <c r="V16" s="416"/>
      <c r="W16" s="84">
        <f t="shared" si="22"/>
        <v>0</v>
      </c>
      <c r="X16" s="416"/>
      <c r="Y16" s="83">
        <f t="shared" si="13"/>
        <v>0</v>
      </c>
      <c r="Z16" s="82">
        <f t="shared" si="14"/>
        <v>0</v>
      </c>
      <c r="AA16" s="85" t="str">
        <f t="shared" si="11"/>
        <v>WARNING</v>
      </c>
    </row>
    <row r="17" spans="1:27" ht="40.5">
      <c r="A17" s="94" t="s">
        <v>22</v>
      </c>
      <c r="B17" s="395" t="s">
        <v>1579</v>
      </c>
      <c r="C17" s="99" t="str">
        <f>IFERROR(VLOOKUP(D17,Pieces!A:B,2,0)," ")</f>
        <v>MI08-cp1</v>
      </c>
      <c r="D17" s="488" t="s">
        <v>146</v>
      </c>
      <c r="E17" s="490">
        <v>6.5000000000000002E-2</v>
      </c>
      <c r="F17" s="416"/>
      <c r="G17" s="416"/>
      <c r="H17" s="416"/>
      <c r="I17" s="416">
        <v>90</v>
      </c>
      <c r="J17" s="416">
        <v>1.4999999999999998</v>
      </c>
      <c r="K17" s="416"/>
      <c r="L17" s="416">
        <f t="shared" si="15"/>
        <v>0</v>
      </c>
      <c r="M17" s="416">
        <f t="shared" si="16"/>
        <v>0</v>
      </c>
      <c r="N17" s="416">
        <f t="shared" si="17"/>
        <v>0</v>
      </c>
      <c r="O17" s="416">
        <f t="shared" si="18"/>
        <v>0</v>
      </c>
      <c r="P17" s="83">
        <f t="shared" si="19"/>
        <v>0</v>
      </c>
      <c r="Q17" s="83">
        <f t="shared" si="12"/>
        <v>0</v>
      </c>
      <c r="R17" s="83">
        <f t="shared" si="20"/>
        <v>0</v>
      </c>
      <c r="S17" s="83">
        <f t="shared" si="21"/>
        <v>0</v>
      </c>
      <c r="T17" s="83"/>
      <c r="U17" s="416"/>
      <c r="V17" s="416"/>
      <c r="W17" s="84">
        <f t="shared" si="22"/>
        <v>0</v>
      </c>
      <c r="X17" s="416"/>
      <c r="Y17" s="83">
        <f t="shared" si="13"/>
        <v>0</v>
      </c>
      <c r="Z17" s="82" t="str">
        <f t="shared" si="14"/>
        <v/>
      </c>
      <c r="AA17" s="85" t="str">
        <f t="shared" si="11"/>
        <v xml:space="preserve"> </v>
      </c>
    </row>
    <row r="18" spans="1:27" ht="44.25" customHeight="1">
      <c r="A18" s="94" t="s">
        <v>23</v>
      </c>
      <c r="B18" s="397" t="s">
        <v>402</v>
      </c>
      <c r="C18" s="99" t="str">
        <f>IFERROR(VLOOKUP(D18,Pieces!A:B,2,0)," ")</f>
        <v xml:space="preserve"> </v>
      </c>
      <c r="D18" s="488" t="s">
        <v>858</v>
      </c>
      <c r="E18" s="490">
        <v>0.108</v>
      </c>
      <c r="F18" s="416"/>
      <c r="G18" s="416"/>
      <c r="H18" s="416"/>
      <c r="I18" s="416">
        <v>140</v>
      </c>
      <c r="J18" s="416">
        <v>1.1363636363636362</v>
      </c>
      <c r="K18" s="416"/>
      <c r="L18" s="416">
        <f t="shared" si="15"/>
        <v>0</v>
      </c>
      <c r="M18" s="416">
        <f t="shared" si="16"/>
        <v>0</v>
      </c>
      <c r="N18" s="416">
        <f t="shared" si="17"/>
        <v>0</v>
      </c>
      <c r="O18" s="416">
        <f t="shared" si="18"/>
        <v>0</v>
      </c>
      <c r="P18" s="83">
        <f t="shared" si="19"/>
        <v>0</v>
      </c>
      <c r="Q18" s="83">
        <f t="shared" si="12"/>
        <v>0</v>
      </c>
      <c r="R18" s="83">
        <f t="shared" si="20"/>
        <v>0</v>
      </c>
      <c r="S18" s="83">
        <f t="shared" si="21"/>
        <v>0</v>
      </c>
      <c r="T18" s="83"/>
      <c r="U18" s="416"/>
      <c r="V18" s="416"/>
      <c r="W18" s="84">
        <f t="shared" si="22"/>
        <v>0</v>
      </c>
      <c r="X18" s="416"/>
      <c r="Y18" s="83">
        <f t="shared" si="13"/>
        <v>0</v>
      </c>
      <c r="Z18" s="82" t="str">
        <f t="shared" si="14"/>
        <v/>
      </c>
      <c r="AA18" s="85" t="str">
        <f t="shared" si="11"/>
        <v xml:space="preserve"> </v>
      </c>
    </row>
    <row r="19" spans="1:27" ht="40.5" customHeight="1">
      <c r="A19" s="94" t="s">
        <v>64</v>
      </c>
      <c r="B19" s="395" t="s">
        <v>1577</v>
      </c>
      <c r="C19" s="99" t="str">
        <f>IFERROR(VLOOKUP(D19,Pieces!A:B,2,0)," ")</f>
        <v xml:space="preserve"> </v>
      </c>
      <c r="D19" s="488" t="s">
        <v>141</v>
      </c>
      <c r="E19" s="490">
        <v>0.23799999999999999</v>
      </c>
      <c r="F19" s="416"/>
      <c r="G19" s="416"/>
      <c r="H19" s="416"/>
      <c r="I19" s="416">
        <v>50</v>
      </c>
      <c r="J19" s="416">
        <v>1.0727272727272725</v>
      </c>
      <c r="K19" s="416"/>
      <c r="L19" s="416">
        <f t="shared" si="15"/>
        <v>0</v>
      </c>
      <c r="M19" s="416">
        <f t="shared" si="16"/>
        <v>0</v>
      </c>
      <c r="N19" s="416">
        <f t="shared" si="17"/>
        <v>0</v>
      </c>
      <c r="O19" s="416">
        <f t="shared" si="18"/>
        <v>0</v>
      </c>
      <c r="P19" s="83">
        <f t="shared" si="19"/>
        <v>0</v>
      </c>
      <c r="Q19" s="83">
        <f t="shared" si="12"/>
        <v>0</v>
      </c>
      <c r="R19" s="83">
        <f t="shared" si="20"/>
        <v>0</v>
      </c>
      <c r="S19" s="83">
        <f t="shared" si="21"/>
        <v>0</v>
      </c>
      <c r="T19" s="83">
        <v>24</v>
      </c>
      <c r="U19" s="416"/>
      <c r="V19" s="416"/>
      <c r="W19" s="84">
        <f t="shared" si="22"/>
        <v>0</v>
      </c>
      <c r="X19" s="416"/>
      <c r="Y19" s="83">
        <f t="shared" si="13"/>
        <v>0</v>
      </c>
      <c r="Z19" s="82">
        <f t="shared" si="14"/>
        <v>0</v>
      </c>
      <c r="AA19" s="85" t="str">
        <f t="shared" si="11"/>
        <v>WARNING</v>
      </c>
    </row>
    <row r="20" spans="1:27" ht="40.5" customHeight="1">
      <c r="A20" s="94" t="s">
        <v>65</v>
      </c>
      <c r="B20" s="397" t="s">
        <v>1576</v>
      </c>
      <c r="C20" s="99" t="str">
        <f>IFERROR(VLOOKUP(D20,Pieces!A:B,2,0)," ")</f>
        <v>-</v>
      </c>
      <c r="D20" s="488" t="s">
        <v>145</v>
      </c>
      <c r="E20" s="490">
        <v>0.109</v>
      </c>
      <c r="F20" s="416"/>
      <c r="G20" s="416"/>
      <c r="H20" s="416"/>
      <c r="I20" s="416">
        <v>140</v>
      </c>
      <c r="J20" s="416">
        <v>1.1363636363636362</v>
      </c>
      <c r="K20" s="416"/>
      <c r="L20" s="416">
        <f t="shared" si="15"/>
        <v>0</v>
      </c>
      <c r="M20" s="416">
        <f t="shared" si="16"/>
        <v>0</v>
      </c>
      <c r="N20" s="416">
        <f t="shared" si="17"/>
        <v>0</v>
      </c>
      <c r="O20" s="416">
        <f t="shared" si="18"/>
        <v>0</v>
      </c>
      <c r="P20" s="83">
        <f t="shared" si="19"/>
        <v>0</v>
      </c>
      <c r="Q20" s="83">
        <f t="shared" si="12"/>
        <v>0</v>
      </c>
      <c r="R20" s="83">
        <f t="shared" si="20"/>
        <v>0</v>
      </c>
      <c r="S20" s="83">
        <f t="shared" si="21"/>
        <v>0</v>
      </c>
      <c r="T20" s="83">
        <v>24</v>
      </c>
      <c r="U20" s="416"/>
      <c r="V20" s="416"/>
      <c r="W20" s="84">
        <f t="shared" si="22"/>
        <v>0</v>
      </c>
      <c r="X20" s="416"/>
      <c r="Y20" s="83">
        <f t="shared" si="13"/>
        <v>0</v>
      </c>
      <c r="Z20" s="82">
        <f t="shared" si="14"/>
        <v>0</v>
      </c>
      <c r="AA20" s="85" t="str">
        <f t="shared" si="11"/>
        <v>WARNING</v>
      </c>
    </row>
    <row r="21" spans="1:27" ht="42" customHeight="1">
      <c r="A21" s="94" t="s">
        <v>66</v>
      </c>
      <c r="B21" s="396" t="s">
        <v>34</v>
      </c>
      <c r="C21" s="99" t="str">
        <f>IFERROR(VLOOKUP(D21,Pieces!A:B,2,0)," ")</f>
        <v xml:space="preserve"> </v>
      </c>
      <c r="D21" s="488"/>
      <c r="E21" s="490"/>
      <c r="F21" s="416"/>
      <c r="G21" s="416"/>
      <c r="H21" s="416"/>
      <c r="I21" s="416"/>
      <c r="J21" s="416"/>
      <c r="K21" s="416"/>
      <c r="L21" s="416">
        <f t="shared" si="15"/>
        <v>0</v>
      </c>
      <c r="M21" s="416">
        <f t="shared" si="16"/>
        <v>0</v>
      </c>
      <c r="N21" s="416">
        <f t="shared" si="17"/>
        <v>0</v>
      </c>
      <c r="O21" s="416">
        <f t="shared" si="18"/>
        <v>0</v>
      </c>
      <c r="P21" s="83">
        <f t="shared" si="19"/>
        <v>0</v>
      </c>
      <c r="Q21" s="83">
        <f t="shared" si="12"/>
        <v>0</v>
      </c>
      <c r="R21" s="83">
        <f t="shared" si="20"/>
        <v>0</v>
      </c>
      <c r="S21" s="83">
        <f t="shared" si="21"/>
        <v>0</v>
      </c>
      <c r="T21" s="83"/>
      <c r="U21" s="416"/>
      <c r="V21" s="416"/>
      <c r="W21" s="84">
        <f t="shared" si="22"/>
        <v>0</v>
      </c>
      <c r="X21" s="416"/>
      <c r="Y21" s="83">
        <f t="shared" si="13"/>
        <v>0</v>
      </c>
      <c r="Z21" s="82" t="str">
        <f t="shared" si="14"/>
        <v/>
      </c>
      <c r="AA21" s="85" t="str">
        <f t="shared" si="11"/>
        <v xml:space="preserve"> </v>
      </c>
    </row>
    <row r="22" spans="1:27" s="81" customFormat="1" ht="34.5" customHeight="1" thickBot="1">
      <c r="A22" s="94" t="s">
        <v>67</v>
      </c>
      <c r="B22" s="397" t="s">
        <v>1578</v>
      </c>
      <c r="C22" s="99" t="str">
        <f>IFERROR(VLOOKUP(D22,Pieces!A:B,2,0)," ")</f>
        <v xml:space="preserve"> </v>
      </c>
      <c r="D22" s="488"/>
      <c r="E22" s="492"/>
      <c r="F22" s="30"/>
      <c r="G22" s="30"/>
      <c r="H22" s="30"/>
      <c r="I22" s="30"/>
      <c r="J22" s="416"/>
      <c r="K22" s="416"/>
      <c r="L22" s="416">
        <f t="shared" si="15"/>
        <v>0</v>
      </c>
      <c r="M22" s="416">
        <f t="shared" si="16"/>
        <v>0</v>
      </c>
      <c r="N22" s="416">
        <f t="shared" si="17"/>
        <v>0</v>
      </c>
      <c r="O22" s="416">
        <f t="shared" si="18"/>
        <v>0</v>
      </c>
      <c r="P22" s="83">
        <f t="shared" si="19"/>
        <v>0</v>
      </c>
      <c r="Q22" s="83">
        <f t="shared" si="12"/>
        <v>0</v>
      </c>
      <c r="R22" s="83">
        <f t="shared" si="20"/>
        <v>0</v>
      </c>
      <c r="S22" s="83">
        <f t="shared" si="21"/>
        <v>0</v>
      </c>
      <c r="T22" s="83"/>
      <c r="U22" s="413"/>
      <c r="V22" s="416"/>
      <c r="W22" s="84">
        <f t="shared" si="22"/>
        <v>0</v>
      </c>
      <c r="X22" s="416"/>
      <c r="Y22" s="83">
        <f t="shared" si="13"/>
        <v>0</v>
      </c>
      <c r="Z22" s="82" t="str">
        <f t="shared" si="14"/>
        <v/>
      </c>
      <c r="AA22" s="85" t="str">
        <f t="shared" si="11"/>
        <v xml:space="preserve"> </v>
      </c>
    </row>
    <row r="23" spans="1:27" ht="47.25" customHeight="1">
      <c r="A23" s="422"/>
      <c r="B23" s="422"/>
      <c r="C23" s="415"/>
      <c r="D23" s="415"/>
      <c r="E23" s="52"/>
      <c r="F23" s="100"/>
      <c r="G23" s="100"/>
      <c r="H23" s="100"/>
      <c r="I23" s="415"/>
      <c r="J23" s="415"/>
      <c r="K23" s="415"/>
      <c r="L23" s="415"/>
      <c r="M23" s="415"/>
      <c r="N23" s="415"/>
      <c r="O23" s="415"/>
      <c r="P23" s="415"/>
      <c r="Q23" s="80"/>
      <c r="R23" s="80"/>
      <c r="S23" s="80"/>
      <c r="T23" s="80"/>
      <c r="U23" s="53" t="s">
        <v>144</v>
      </c>
      <c r="V23" s="415"/>
      <c r="W23" s="79"/>
      <c r="X23" s="78"/>
      <c r="Y23" s="414"/>
      <c r="Z23" s="414"/>
      <c r="AA23" s="86"/>
    </row>
    <row r="24" spans="1:27" ht="54" hidden="1" customHeight="1">
      <c r="A24" s="422"/>
      <c r="B24" s="422"/>
      <c r="C24" s="437" t="s">
        <v>36</v>
      </c>
      <c r="D24" s="437"/>
      <c r="E24" s="437"/>
      <c r="F24" s="437"/>
      <c r="G24" s="437"/>
      <c r="H24" s="437"/>
      <c r="I24" s="437"/>
      <c r="J24" s="437"/>
      <c r="K24" s="437"/>
      <c r="L24" s="437"/>
      <c r="M24" s="437"/>
      <c r="N24" s="437"/>
      <c r="O24" s="437"/>
      <c r="P24" s="437"/>
      <c r="Q24" s="437"/>
      <c r="R24" s="437"/>
      <c r="S24" s="437"/>
      <c r="T24" s="437"/>
      <c r="U24" s="437"/>
      <c r="V24" s="95"/>
      <c r="W24" s="95"/>
      <c r="X24" s="95"/>
      <c r="Y24" s="414"/>
      <c r="Z24" s="414"/>
      <c r="AA24" s="86"/>
    </row>
    <row r="25" spans="1:27" ht="57" hidden="1" customHeight="1">
      <c r="A25" s="422"/>
      <c r="B25" s="422"/>
      <c r="C25" s="426" t="s">
        <v>37</v>
      </c>
      <c r="D25" s="426" t="s">
        <v>152</v>
      </c>
      <c r="E25" s="426" t="s">
        <v>866</v>
      </c>
      <c r="F25" s="426" t="s">
        <v>846</v>
      </c>
      <c r="G25" s="426">
        <v>11</v>
      </c>
      <c r="H25" s="423"/>
      <c r="I25" s="433"/>
      <c r="J25" s="426" t="s">
        <v>42</v>
      </c>
      <c r="K25" s="438" t="s">
        <v>142</v>
      </c>
      <c r="L25" s="439"/>
      <c r="M25" s="439"/>
      <c r="N25" s="439"/>
      <c r="O25" s="439"/>
      <c r="P25" s="439"/>
      <c r="Q25" s="440"/>
      <c r="R25" s="417"/>
      <c r="S25" s="426" t="s">
        <v>43</v>
      </c>
      <c r="T25" s="426"/>
      <c r="U25" s="426"/>
      <c r="V25" s="41"/>
      <c r="W25" s="96"/>
      <c r="X25" s="96"/>
      <c r="Y25" s="414"/>
      <c r="Z25" s="414"/>
      <c r="AA25" s="86"/>
    </row>
    <row r="26" spans="1:27" ht="32.25" hidden="1" customHeight="1">
      <c r="A26" s="93"/>
      <c r="B26" s="93"/>
      <c r="C26" s="426"/>
      <c r="D26" s="426"/>
      <c r="E26" s="426"/>
      <c r="F26" s="426"/>
      <c r="G26" s="426"/>
      <c r="H26" s="424"/>
      <c r="I26" s="434"/>
      <c r="J26" s="426"/>
      <c r="K26" s="441"/>
      <c r="L26" s="442"/>
      <c r="M26" s="442"/>
      <c r="N26" s="442"/>
      <c r="O26" s="442"/>
      <c r="P26" s="442"/>
      <c r="Q26" s="443"/>
      <c r="R26" s="418"/>
      <c r="S26" s="426"/>
      <c r="T26" s="426"/>
      <c r="U26" s="426"/>
      <c r="V26" s="41"/>
      <c r="W26" s="96"/>
      <c r="X26" s="96"/>
      <c r="Y26" s="414"/>
      <c r="Z26" s="414"/>
      <c r="AA26" s="86"/>
    </row>
    <row r="27" spans="1:27" ht="42" hidden="1" customHeight="1">
      <c r="A27" s="422"/>
      <c r="B27" s="422"/>
      <c r="C27" s="416" t="s">
        <v>44</v>
      </c>
      <c r="D27" s="416" t="s">
        <v>153</v>
      </c>
      <c r="E27" s="416" t="s">
        <v>845</v>
      </c>
      <c r="F27" s="416" t="s">
        <v>846</v>
      </c>
      <c r="G27" s="416">
        <v>5</v>
      </c>
      <c r="H27" s="416"/>
      <c r="I27" s="416"/>
      <c r="J27" s="416">
        <f>IFERROR(M27/I27,0)</f>
        <v>0</v>
      </c>
      <c r="K27" s="444"/>
      <c r="L27" s="445"/>
      <c r="M27" s="445"/>
      <c r="N27" s="445"/>
      <c r="O27" s="445"/>
      <c r="P27" s="445"/>
      <c r="Q27" s="446"/>
      <c r="R27" s="419"/>
      <c r="S27" s="435"/>
      <c r="T27" s="435"/>
      <c r="U27" s="435"/>
      <c r="V27" s="57"/>
      <c r="W27" s="95"/>
      <c r="X27" s="96"/>
      <c r="Y27" s="414"/>
      <c r="Z27" s="414"/>
      <c r="AA27" s="86"/>
    </row>
    <row r="28" spans="1:27" ht="39.75" hidden="1" customHeight="1">
      <c r="A28" s="422"/>
      <c r="B28" s="422"/>
      <c r="C28" s="416" t="s">
        <v>72</v>
      </c>
      <c r="D28" s="416" t="s">
        <v>813</v>
      </c>
      <c r="E28" s="416" t="s">
        <v>849</v>
      </c>
      <c r="F28" s="416" t="s">
        <v>856</v>
      </c>
      <c r="G28" s="416">
        <v>7</v>
      </c>
      <c r="H28" s="416"/>
      <c r="I28" s="416"/>
      <c r="J28" s="416">
        <f t="shared" ref="J28:J39" si="23">IFERROR(M28/I28,0)</f>
        <v>0</v>
      </c>
      <c r="K28" s="444"/>
      <c r="L28" s="445"/>
      <c r="M28" s="445"/>
      <c r="N28" s="445"/>
      <c r="O28" s="445"/>
      <c r="P28" s="445"/>
      <c r="Q28" s="446"/>
      <c r="R28" s="419"/>
      <c r="S28" s="435"/>
      <c r="T28" s="435"/>
      <c r="U28" s="435"/>
      <c r="V28" s="57"/>
      <c r="W28" s="95"/>
      <c r="X28" s="96"/>
      <c r="Y28" s="414"/>
      <c r="Z28" s="414"/>
      <c r="AA28" s="86"/>
    </row>
    <row r="29" spans="1:27" ht="38.25" hidden="1" customHeight="1">
      <c r="A29" s="422"/>
      <c r="B29" s="422"/>
      <c r="C29" s="416" t="s">
        <v>45</v>
      </c>
      <c r="D29" s="416" t="s">
        <v>870</v>
      </c>
      <c r="E29" s="416" t="s">
        <v>845</v>
      </c>
      <c r="F29" s="416" t="s">
        <v>856</v>
      </c>
      <c r="G29" s="416">
        <v>17</v>
      </c>
      <c r="H29" s="416"/>
      <c r="I29" s="416"/>
      <c r="J29" s="416">
        <f t="shared" si="23"/>
        <v>0</v>
      </c>
      <c r="K29" s="444"/>
      <c r="L29" s="445"/>
      <c r="M29" s="445"/>
      <c r="N29" s="445"/>
      <c r="O29" s="445"/>
      <c r="P29" s="445"/>
      <c r="Q29" s="446"/>
      <c r="R29" s="419"/>
      <c r="S29" s="435"/>
      <c r="T29" s="435"/>
      <c r="U29" s="435"/>
      <c r="V29" s="57"/>
      <c r="W29" s="95"/>
      <c r="X29" s="96"/>
      <c r="Y29" s="414"/>
      <c r="Z29" s="414"/>
      <c r="AA29" s="86"/>
    </row>
    <row r="30" spans="1:27" ht="42.75" hidden="1" customHeight="1">
      <c r="A30" s="422"/>
      <c r="B30" s="422"/>
      <c r="C30" s="31"/>
      <c r="D30" s="416" t="s">
        <v>871</v>
      </c>
      <c r="E30" s="416" t="s">
        <v>845</v>
      </c>
      <c r="F30" s="416" t="s">
        <v>856</v>
      </c>
      <c r="G30" s="416">
        <v>19</v>
      </c>
      <c r="H30" s="416"/>
      <c r="I30" s="416"/>
      <c r="J30" s="416">
        <f t="shared" si="23"/>
        <v>0</v>
      </c>
      <c r="K30" s="444"/>
      <c r="L30" s="445"/>
      <c r="M30" s="445"/>
      <c r="N30" s="445"/>
      <c r="O30" s="445"/>
      <c r="P30" s="445"/>
      <c r="Q30" s="446"/>
      <c r="R30" s="419"/>
      <c r="S30" s="427"/>
      <c r="T30" s="427"/>
      <c r="U30" s="427"/>
      <c r="V30" s="41"/>
      <c r="W30" s="96"/>
      <c r="X30" s="96"/>
      <c r="Y30" s="414"/>
      <c r="Z30" s="414"/>
      <c r="AA30" s="86"/>
    </row>
    <row r="31" spans="1:27" ht="48.75" hidden="1" customHeight="1">
      <c r="A31" s="422"/>
      <c r="B31" s="422"/>
      <c r="C31" s="416" t="s">
        <v>47</v>
      </c>
      <c r="D31" s="416" t="s">
        <v>161</v>
      </c>
      <c r="E31" s="416" t="s">
        <v>845</v>
      </c>
      <c r="F31" s="416" t="s">
        <v>846</v>
      </c>
      <c r="G31" s="416">
        <v>20</v>
      </c>
      <c r="H31" s="416"/>
      <c r="I31" s="420"/>
      <c r="J31" s="416">
        <f t="shared" si="23"/>
        <v>0</v>
      </c>
      <c r="K31" s="444"/>
      <c r="L31" s="445"/>
      <c r="M31" s="445"/>
      <c r="N31" s="445"/>
      <c r="O31" s="445"/>
      <c r="P31" s="445"/>
      <c r="Q31" s="446"/>
      <c r="R31" s="419"/>
      <c r="S31" s="435"/>
      <c r="T31" s="435"/>
      <c r="U31" s="435"/>
      <c r="V31" s="57"/>
      <c r="W31" s="95"/>
      <c r="X31" s="96"/>
      <c r="Y31" s="414"/>
      <c r="Z31" s="414"/>
      <c r="AA31" s="86"/>
    </row>
    <row r="32" spans="1:27" ht="52.5" hidden="1" customHeight="1">
      <c r="A32" s="20"/>
      <c r="B32" s="20"/>
      <c r="C32" s="416" t="s">
        <v>48</v>
      </c>
      <c r="D32" s="416" t="s">
        <v>873</v>
      </c>
      <c r="E32" s="416" t="s">
        <v>874</v>
      </c>
      <c r="F32" s="416" t="s">
        <v>846</v>
      </c>
      <c r="G32" s="416">
        <v>16.2</v>
      </c>
      <c r="H32" s="416"/>
      <c r="I32" s="416"/>
      <c r="J32" s="416">
        <f t="shared" si="23"/>
        <v>0</v>
      </c>
      <c r="K32" s="444"/>
      <c r="L32" s="445"/>
      <c r="M32" s="445"/>
      <c r="N32" s="445"/>
      <c r="O32" s="445"/>
      <c r="P32" s="445"/>
      <c r="Q32" s="446"/>
      <c r="R32" s="419"/>
      <c r="S32" s="427"/>
      <c r="T32" s="427"/>
      <c r="U32" s="427"/>
      <c r="V32" s="41"/>
      <c r="W32" s="96"/>
      <c r="X32" s="96"/>
      <c r="Y32" s="414"/>
      <c r="Z32" s="414"/>
      <c r="AA32" s="86"/>
    </row>
    <row r="33" spans="1:27" ht="39.75" hidden="1" customHeight="1">
      <c r="A33" s="20"/>
      <c r="B33" s="20"/>
      <c r="C33" s="416" t="s">
        <v>35</v>
      </c>
      <c r="D33" s="416" t="s">
        <v>875</v>
      </c>
      <c r="E33" s="416" t="s">
        <v>845</v>
      </c>
      <c r="F33" s="416" t="s">
        <v>856</v>
      </c>
      <c r="G33" s="416">
        <v>19</v>
      </c>
      <c r="H33" s="416"/>
      <c r="I33" s="420"/>
      <c r="J33" s="416">
        <f t="shared" si="23"/>
        <v>0</v>
      </c>
      <c r="K33" s="444"/>
      <c r="L33" s="445"/>
      <c r="M33" s="445"/>
      <c r="N33" s="445"/>
      <c r="O33" s="445"/>
      <c r="P33" s="445"/>
      <c r="Q33" s="446"/>
      <c r="R33" s="419"/>
      <c r="S33" s="436"/>
      <c r="T33" s="436"/>
      <c r="U33" s="436"/>
      <c r="V33" s="58"/>
      <c r="W33" s="101"/>
      <c r="X33" s="96"/>
      <c r="Y33" s="414"/>
      <c r="Z33" s="414"/>
      <c r="AA33" s="86"/>
    </row>
    <row r="34" spans="1:27" ht="31.5" hidden="1" customHeight="1">
      <c r="A34" s="20"/>
      <c r="B34" s="20"/>
      <c r="C34" s="416"/>
      <c r="D34" s="416" t="s">
        <v>877</v>
      </c>
      <c r="E34" s="416" t="s">
        <v>845</v>
      </c>
      <c r="F34" s="416" t="s">
        <v>846</v>
      </c>
      <c r="G34" s="416">
        <v>16</v>
      </c>
      <c r="H34" s="416"/>
      <c r="I34" s="420"/>
      <c r="J34" s="416">
        <f t="shared" si="23"/>
        <v>0</v>
      </c>
      <c r="K34" s="444"/>
      <c r="L34" s="445"/>
      <c r="M34" s="445"/>
      <c r="N34" s="445"/>
      <c r="O34" s="445"/>
      <c r="P34" s="445"/>
      <c r="Q34" s="446"/>
      <c r="R34" s="419"/>
      <c r="S34" s="436"/>
      <c r="T34" s="436"/>
      <c r="U34" s="436"/>
      <c r="V34" s="58"/>
      <c r="W34" s="101"/>
      <c r="X34" s="96"/>
      <c r="Y34" s="414"/>
      <c r="Z34" s="414"/>
      <c r="AA34" s="86"/>
    </row>
    <row r="35" spans="1:27" ht="36" hidden="1" customHeight="1">
      <c r="A35" s="20"/>
      <c r="B35" s="20"/>
      <c r="C35" s="416" t="s">
        <v>50</v>
      </c>
      <c r="D35" s="416" t="s">
        <v>163</v>
      </c>
      <c r="E35" s="416" t="s">
        <v>845</v>
      </c>
      <c r="F35" s="416" t="s">
        <v>856</v>
      </c>
      <c r="G35" s="416">
        <v>17</v>
      </c>
      <c r="H35" s="416"/>
      <c r="I35" s="416"/>
      <c r="J35" s="416">
        <f t="shared" si="23"/>
        <v>0</v>
      </c>
      <c r="K35" s="444"/>
      <c r="L35" s="445"/>
      <c r="M35" s="445"/>
      <c r="N35" s="445"/>
      <c r="O35" s="445"/>
      <c r="P35" s="445"/>
      <c r="Q35" s="446"/>
      <c r="R35" s="419"/>
      <c r="S35" s="427"/>
      <c r="T35" s="427"/>
      <c r="U35" s="427"/>
      <c r="V35" s="41"/>
      <c r="W35" s="96"/>
      <c r="X35" s="96"/>
      <c r="Y35" s="87"/>
      <c r="Z35" s="87"/>
      <c r="AA35" s="86"/>
    </row>
    <row r="36" spans="1:27" ht="39.75" hidden="1" customHeight="1">
      <c r="A36" s="21"/>
      <c r="B36" s="21"/>
      <c r="C36" s="416" t="s">
        <v>51</v>
      </c>
      <c r="D36" s="416" t="s">
        <v>165</v>
      </c>
      <c r="E36" s="416" t="s">
        <v>866</v>
      </c>
      <c r="F36" s="416" t="s">
        <v>846</v>
      </c>
      <c r="G36" s="416">
        <v>12</v>
      </c>
      <c r="H36" s="416"/>
      <c r="I36" s="416"/>
      <c r="J36" s="416">
        <f t="shared" si="23"/>
        <v>0</v>
      </c>
      <c r="K36" s="444"/>
      <c r="L36" s="445"/>
      <c r="M36" s="445"/>
      <c r="N36" s="445"/>
      <c r="O36" s="445"/>
      <c r="P36" s="445"/>
      <c r="Q36" s="446"/>
      <c r="R36" s="419"/>
      <c r="S36" s="427"/>
      <c r="T36" s="427"/>
      <c r="U36" s="427"/>
      <c r="V36" s="41"/>
      <c r="W36" s="96"/>
      <c r="X36" s="96"/>
      <c r="Y36" s="87"/>
      <c r="Z36" s="87"/>
      <c r="AA36" s="86"/>
    </row>
    <row r="37" spans="1:27" ht="46.5" hidden="1" customHeight="1">
      <c r="A37" s="22"/>
      <c r="B37" s="22"/>
      <c r="C37" s="421" t="s">
        <v>49</v>
      </c>
      <c r="D37" s="416" t="s">
        <v>879</v>
      </c>
      <c r="E37" s="416" t="s">
        <v>880</v>
      </c>
      <c r="F37" s="416" t="s">
        <v>846</v>
      </c>
      <c r="G37" s="416" t="s">
        <v>881</v>
      </c>
      <c r="H37" s="416"/>
      <c r="I37" s="420"/>
      <c r="J37" s="416">
        <f t="shared" si="23"/>
        <v>0</v>
      </c>
      <c r="K37" s="444"/>
      <c r="L37" s="445"/>
      <c r="M37" s="445"/>
      <c r="N37" s="445"/>
      <c r="O37" s="445"/>
      <c r="P37" s="445"/>
      <c r="Q37" s="446"/>
      <c r="R37" s="419"/>
      <c r="S37" s="428"/>
      <c r="T37" s="428"/>
      <c r="U37" s="428"/>
      <c r="V37" s="57"/>
      <c r="W37" s="95"/>
      <c r="X37" s="26"/>
      <c r="Y37" s="86"/>
      <c r="Z37" s="86"/>
      <c r="AA37" s="86"/>
    </row>
    <row r="38" spans="1:27" ht="46.5" hidden="1" customHeight="1">
      <c r="A38" s="22"/>
      <c r="B38" s="22"/>
      <c r="C38" s="421" t="s">
        <v>52</v>
      </c>
      <c r="D38" s="416"/>
      <c r="E38" s="416"/>
      <c r="F38" s="416"/>
      <c r="G38" s="416"/>
      <c r="H38" s="416"/>
      <c r="I38" s="416"/>
      <c r="J38" s="416">
        <f t="shared" si="23"/>
        <v>0</v>
      </c>
      <c r="K38" s="444"/>
      <c r="L38" s="445"/>
      <c r="M38" s="445"/>
      <c r="N38" s="445"/>
      <c r="O38" s="445"/>
      <c r="P38" s="445"/>
      <c r="Q38" s="446"/>
      <c r="R38" s="419"/>
      <c r="S38" s="427"/>
      <c r="T38" s="427"/>
      <c r="U38" s="427"/>
      <c r="V38" s="41"/>
      <c r="W38" s="96"/>
      <c r="X38" s="26"/>
      <c r="Y38" s="86"/>
      <c r="Z38" s="86"/>
      <c r="AA38" s="86"/>
    </row>
    <row r="39" spans="1:27" ht="39" hidden="1" customHeight="1">
      <c r="A39" s="90"/>
      <c r="B39" s="90"/>
      <c r="C39" s="421" t="s">
        <v>53</v>
      </c>
      <c r="D39" s="416"/>
      <c r="E39" s="416"/>
      <c r="F39" s="416"/>
      <c r="G39" s="416"/>
      <c r="H39" s="416"/>
      <c r="I39" s="416"/>
      <c r="J39" s="416">
        <f t="shared" si="23"/>
        <v>0</v>
      </c>
      <c r="K39" s="444"/>
      <c r="L39" s="445"/>
      <c r="M39" s="445"/>
      <c r="N39" s="445"/>
      <c r="O39" s="445"/>
      <c r="P39" s="445"/>
      <c r="Q39" s="446"/>
      <c r="R39" s="419"/>
      <c r="S39" s="427"/>
      <c r="T39" s="427"/>
      <c r="U39" s="427"/>
      <c r="V39" s="41"/>
      <c r="W39" s="96"/>
      <c r="X39" s="96"/>
      <c r="Y39" s="86"/>
      <c r="Z39" s="86"/>
      <c r="AA39" s="86"/>
    </row>
    <row r="40" spans="1:27">
      <c r="D40" s="16"/>
      <c r="Y40" s="77"/>
    </row>
    <row r="41" spans="1:27">
      <c r="D41" s="16"/>
      <c r="Y41" s="77"/>
    </row>
    <row r="42" spans="1:27" ht="20.25">
      <c r="C42" s="447" t="s">
        <v>206</v>
      </c>
      <c r="D42" s="448"/>
      <c r="E42" s="448"/>
      <c r="F42" s="448"/>
      <c r="G42" s="448"/>
      <c r="H42" s="448"/>
      <c r="I42" s="448"/>
      <c r="J42" s="449"/>
      <c r="K42" s="447" t="s">
        <v>207</v>
      </c>
      <c r="L42" s="448"/>
      <c r="M42" s="448"/>
      <c r="N42" s="448"/>
      <c r="O42" s="448"/>
      <c r="P42" s="448"/>
      <c r="Q42" s="448"/>
      <c r="R42" s="448"/>
      <c r="S42" s="449"/>
      <c r="Y42" s="77"/>
    </row>
    <row r="43" spans="1:27" ht="20.25">
      <c r="C43" s="447" t="s">
        <v>208</v>
      </c>
      <c r="D43" s="448"/>
      <c r="E43" s="448"/>
      <c r="F43" s="448"/>
      <c r="G43" s="448"/>
      <c r="H43" s="448"/>
      <c r="I43" s="448"/>
      <c r="J43" s="449"/>
      <c r="K43" s="447" t="s">
        <v>209</v>
      </c>
      <c r="L43" s="448"/>
      <c r="M43" s="448"/>
      <c r="N43" s="448"/>
      <c r="O43" s="448"/>
      <c r="P43" s="448"/>
      <c r="Q43" s="448"/>
      <c r="R43" s="448"/>
      <c r="S43" s="449"/>
      <c r="Y43" s="77"/>
    </row>
    <row r="44" spans="1:27" ht="20.25">
      <c r="C44" s="447" t="s">
        <v>210</v>
      </c>
      <c r="D44" s="448"/>
      <c r="E44" s="448"/>
      <c r="F44" s="448"/>
      <c r="G44" s="448"/>
      <c r="H44" s="448"/>
      <c r="I44" s="448"/>
      <c r="J44" s="449"/>
      <c r="K44" s="447" t="s">
        <v>211</v>
      </c>
      <c r="L44" s="448"/>
      <c r="M44" s="448"/>
      <c r="N44" s="448"/>
      <c r="O44" s="448"/>
      <c r="P44" s="448"/>
      <c r="Q44" s="448"/>
      <c r="R44" s="448"/>
      <c r="S44" s="449"/>
      <c r="Y44" s="77"/>
    </row>
    <row r="45" spans="1:27">
      <c r="D45" s="91"/>
      <c r="Y45" s="77"/>
    </row>
    <row r="46" spans="1:27">
      <c r="D46" s="91"/>
      <c r="Y46" s="77"/>
    </row>
    <row r="47" spans="1:27" ht="15.75">
      <c r="D47" s="92"/>
      <c r="Y47" s="77"/>
    </row>
    <row r="48" spans="1:27">
      <c r="D48" s="86"/>
      <c r="Y48" s="77"/>
    </row>
  </sheetData>
  <mergeCells count="44">
    <mergeCell ref="C43:J43"/>
    <mergeCell ref="K43:S43"/>
    <mergeCell ref="C44:J44"/>
    <mergeCell ref="K44:S44"/>
    <mergeCell ref="K38:Q38"/>
    <mergeCell ref="S38:U38"/>
    <mergeCell ref="K39:Q39"/>
    <mergeCell ref="S39:U39"/>
    <mergeCell ref="C42:J42"/>
    <mergeCell ref="K42:S42"/>
    <mergeCell ref="K35:Q35"/>
    <mergeCell ref="S35:U35"/>
    <mergeCell ref="K36:Q36"/>
    <mergeCell ref="S36:U36"/>
    <mergeCell ref="K37:Q37"/>
    <mergeCell ref="S37:U37"/>
    <mergeCell ref="K32:Q32"/>
    <mergeCell ref="S32:U32"/>
    <mergeCell ref="K33:Q33"/>
    <mergeCell ref="S33:U33"/>
    <mergeCell ref="K34:Q34"/>
    <mergeCell ref="S34:U34"/>
    <mergeCell ref="K29:Q29"/>
    <mergeCell ref="S29:U29"/>
    <mergeCell ref="K30:Q30"/>
    <mergeCell ref="S30:U30"/>
    <mergeCell ref="K31:Q31"/>
    <mergeCell ref="S31:U31"/>
    <mergeCell ref="K25:Q26"/>
    <mergeCell ref="S25:U26"/>
    <mergeCell ref="K27:Q27"/>
    <mergeCell ref="S27:U27"/>
    <mergeCell ref="K28:Q28"/>
    <mergeCell ref="S28:U28"/>
    <mergeCell ref="W1:AA1"/>
    <mergeCell ref="A11:AA11"/>
    <mergeCell ref="C24:U24"/>
    <mergeCell ref="C25:C26"/>
    <mergeCell ref="D25:D26"/>
    <mergeCell ref="E25:E26"/>
    <mergeCell ref="F25:F26"/>
    <mergeCell ref="G25:G26"/>
    <mergeCell ref="I25:I26"/>
    <mergeCell ref="J25:J26"/>
  </mergeCells>
  <conditionalFormatting sqref="AA3:AA10">
    <cfRule type="containsText" dxfId="4" priority="9" operator="containsText" text="WARNING">
      <formula>NOT(ISERROR(SEARCH("WARNING",AA3)))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F6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A12:AA22">
    <cfRule type="containsText" dxfId="3" priority="7" operator="containsText" text="WARNING">
      <formula>NOT(ISERROR(SEARCH("WARNING",AA12)))</formula>
    </cfRule>
  </conditionalFormatting>
  <conditionalFormatting sqref="AA12">
    <cfRule type="containsText" dxfId="2" priority="5" operator="containsText" text="WARNING">
      <formula>NOT(ISERROR(SEARCH("WARNING",AA12)))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A13">
    <cfRule type="containsText" dxfId="1" priority="3" operator="containsText" text="WARNING">
      <formula>NOT(ISERROR(SEARCH("WARNING",AA13)))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A14">
    <cfRule type="containsText" dxfId="0" priority="1" operator="containsText" text="WARNING">
      <formula>NOT(ISERROR(SEARCH("WARNING",AA14)))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3">
    <dataValidation operator="equal" allowBlank="1" showInputMessage="1" showErrorMessage="1" sqref="T16"/>
    <dataValidation type="list" allowBlank="1" showInputMessage="1" showErrorMessage="1" sqref="G27:H39 I40:I41 I45:I46">
      <formula1>ouvriers</formula1>
    </dataValidation>
    <dataValidation type="list" allowBlank="1" showInputMessage="1" showErrorMessage="1" sqref="D3:D10 D27:D39 D12:D22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8" orientation="landscape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8">
    <tabColor rgb="FFC00000"/>
  </sheetPr>
  <dimension ref="A1:AG55"/>
  <sheetViews>
    <sheetView view="pageBreakPreview" zoomScale="40" zoomScaleNormal="53" zoomScaleSheetLayoutView="40" zoomScalePageLayoutView="42" workbookViewId="0">
      <selection activeCell="I7" sqref="I7"/>
    </sheetView>
  </sheetViews>
  <sheetFormatPr baseColWidth="10" defaultRowHeight="15"/>
  <cols>
    <col min="1" max="1" width="14.140625" style="81" customWidth="1"/>
    <col min="2" max="2" width="28.42578125" style="81" bestFit="1" customWidth="1"/>
    <col min="3" max="3" width="29.140625" style="81" customWidth="1"/>
    <col min="4" max="4" width="57.5703125" style="81" customWidth="1"/>
    <col min="5" max="5" width="25.5703125" style="81" customWidth="1"/>
    <col min="6" max="6" width="24.42578125" style="81" customWidth="1"/>
    <col min="7" max="7" width="34.42578125" style="81" customWidth="1"/>
    <col min="8" max="8" width="30.85546875" style="81" customWidth="1"/>
    <col min="9" max="9" width="25.5703125" style="81" customWidth="1"/>
    <col min="10" max="10" width="24.5703125" style="81" customWidth="1"/>
    <col min="11" max="11" width="27" style="81" customWidth="1"/>
    <col min="12" max="12" width="19.140625" style="81" customWidth="1"/>
    <col min="13" max="16" width="20.42578125" style="81" customWidth="1"/>
    <col min="17" max="19" width="20.5703125" style="76" customWidth="1"/>
    <col min="20" max="20" width="29.140625" style="76" customWidth="1"/>
    <col min="21" max="21" width="49.5703125" style="76" customWidth="1"/>
    <col min="22" max="22" width="25.5703125" style="81" customWidth="1"/>
    <col min="23" max="23" width="26.5703125" style="81" customWidth="1"/>
    <col min="24" max="24" width="32" style="81" customWidth="1"/>
    <col min="25" max="25" width="27.7109375" style="81" customWidth="1"/>
    <col min="26" max="26" width="27" style="81" customWidth="1"/>
    <col min="27" max="27" width="24.42578125" style="81" customWidth="1"/>
    <col min="28" max="28" width="30.7109375" style="76" customWidth="1"/>
    <col min="29" max="29" width="30.42578125" style="76" customWidth="1"/>
    <col min="30" max="30" width="33.28515625" style="76" customWidth="1"/>
    <col min="31" max="31" width="20" style="76" customWidth="1"/>
    <col min="32" max="32" width="24.28515625" style="76" customWidth="1"/>
    <col min="33" max="33" width="27.140625" style="76" customWidth="1"/>
    <col min="34" max="16384" width="11.42578125" style="76"/>
  </cols>
  <sheetData>
    <row r="1" spans="1:33" ht="30" customHeight="1">
      <c r="A1" s="472"/>
      <c r="B1" s="472"/>
      <c r="C1" s="473" t="s">
        <v>1582</v>
      </c>
      <c r="D1" s="474"/>
      <c r="E1" s="474"/>
      <c r="F1" s="474"/>
      <c r="G1" s="474"/>
      <c r="H1" s="474"/>
      <c r="I1" s="474"/>
      <c r="J1" s="474"/>
      <c r="K1" s="474"/>
      <c r="L1" s="474"/>
      <c r="M1" s="474"/>
      <c r="N1" s="474"/>
      <c r="O1" s="474"/>
      <c r="P1" s="474"/>
      <c r="Q1" s="474"/>
      <c r="R1" s="474"/>
      <c r="S1" s="474"/>
      <c r="T1" s="474"/>
      <c r="U1" s="474"/>
      <c r="V1" s="474"/>
      <c r="W1" s="474"/>
      <c r="X1" s="474"/>
      <c r="Y1" s="474"/>
      <c r="Z1" s="474"/>
      <c r="AA1" s="474"/>
      <c r="AB1" s="475" t="s">
        <v>1583</v>
      </c>
      <c r="AC1" s="476"/>
      <c r="AD1" s="476"/>
      <c r="AE1" s="476"/>
      <c r="AF1" s="476"/>
      <c r="AG1" s="477"/>
    </row>
    <row r="2" spans="1:33" ht="30" customHeight="1">
      <c r="A2" s="472"/>
      <c r="B2" s="472"/>
      <c r="C2" s="473"/>
      <c r="D2" s="474"/>
      <c r="E2" s="474"/>
      <c r="F2" s="474"/>
      <c r="G2" s="474"/>
      <c r="H2" s="474"/>
      <c r="I2" s="474"/>
      <c r="J2" s="474"/>
      <c r="K2" s="474"/>
      <c r="L2" s="474"/>
      <c r="M2" s="474"/>
      <c r="N2" s="474"/>
      <c r="O2" s="474"/>
      <c r="P2" s="474"/>
      <c r="Q2" s="474"/>
      <c r="R2" s="474"/>
      <c r="S2" s="474"/>
      <c r="T2" s="474"/>
      <c r="U2" s="474"/>
      <c r="V2" s="474"/>
      <c r="W2" s="474"/>
      <c r="X2" s="474"/>
      <c r="Y2" s="474"/>
      <c r="Z2" s="474"/>
      <c r="AA2" s="474"/>
      <c r="AB2" s="475" t="s">
        <v>1584</v>
      </c>
      <c r="AC2" s="476"/>
      <c r="AD2" s="476"/>
      <c r="AE2" s="476"/>
      <c r="AF2" s="476"/>
      <c r="AG2" s="477"/>
    </row>
    <row r="3" spans="1:33" ht="30" customHeight="1">
      <c r="A3" s="472"/>
      <c r="B3" s="472"/>
      <c r="C3" s="473"/>
      <c r="D3" s="474"/>
      <c r="E3" s="474"/>
      <c r="F3" s="474"/>
      <c r="G3" s="474"/>
      <c r="H3" s="474"/>
      <c r="I3" s="474"/>
      <c r="J3" s="474"/>
      <c r="K3" s="474"/>
      <c r="L3" s="474"/>
      <c r="M3" s="474"/>
      <c r="N3" s="474"/>
      <c r="O3" s="474"/>
      <c r="P3" s="474"/>
      <c r="Q3" s="474"/>
      <c r="R3" s="474"/>
      <c r="S3" s="474"/>
      <c r="T3" s="474"/>
      <c r="U3" s="474"/>
      <c r="V3" s="474"/>
      <c r="W3" s="474"/>
      <c r="X3" s="474"/>
      <c r="Y3" s="474"/>
      <c r="Z3" s="474"/>
      <c r="AA3" s="474"/>
      <c r="AB3" s="475" t="s">
        <v>1585</v>
      </c>
      <c r="AC3" s="476"/>
      <c r="AD3" s="476"/>
      <c r="AE3" s="476"/>
      <c r="AF3" s="476"/>
      <c r="AG3" s="477"/>
    </row>
    <row r="4" spans="1:33" ht="30" customHeight="1">
      <c r="A4" s="472"/>
      <c r="B4" s="472"/>
      <c r="C4" s="473"/>
      <c r="D4" s="474"/>
      <c r="E4" s="474"/>
      <c r="F4" s="474"/>
      <c r="G4" s="474"/>
      <c r="H4" s="474"/>
      <c r="I4" s="474"/>
      <c r="J4" s="474"/>
      <c r="K4" s="474"/>
      <c r="L4" s="474"/>
      <c r="M4" s="474"/>
      <c r="N4" s="474"/>
      <c r="O4" s="474"/>
      <c r="P4" s="474"/>
      <c r="Q4" s="474"/>
      <c r="R4" s="474"/>
      <c r="S4" s="474"/>
      <c r="T4" s="474"/>
      <c r="U4" s="474"/>
      <c r="V4" s="474"/>
      <c r="W4" s="474"/>
      <c r="X4" s="474"/>
      <c r="Y4" s="474"/>
      <c r="Z4" s="474"/>
      <c r="AA4" s="474"/>
      <c r="AB4" s="475" t="s">
        <v>1586</v>
      </c>
      <c r="AC4" s="476"/>
      <c r="AD4" s="476"/>
      <c r="AE4" s="476"/>
      <c r="AF4" s="476"/>
      <c r="AG4" s="477"/>
    </row>
    <row r="5" spans="1:33" ht="30" customHeight="1">
      <c r="A5" s="425"/>
      <c r="B5" s="425"/>
      <c r="C5" s="478"/>
      <c r="D5" s="478"/>
      <c r="E5" s="478"/>
      <c r="F5" s="478"/>
      <c r="G5" s="478"/>
      <c r="H5" s="478"/>
      <c r="I5" s="478"/>
      <c r="J5" s="478"/>
      <c r="K5" s="478"/>
      <c r="L5" s="478"/>
      <c r="M5" s="478"/>
      <c r="N5" s="478"/>
      <c r="O5" s="478"/>
      <c r="P5" s="478"/>
      <c r="Q5" s="478"/>
      <c r="R5" s="478"/>
      <c r="S5" s="478"/>
      <c r="T5" s="478"/>
      <c r="U5" s="478"/>
      <c r="V5" s="478"/>
      <c r="W5" s="478"/>
      <c r="X5" s="478"/>
      <c r="Y5" s="478"/>
      <c r="Z5" s="478"/>
      <c r="AA5" s="478"/>
      <c r="AB5" s="425"/>
      <c r="AC5" s="425"/>
      <c r="AD5" s="425"/>
      <c r="AE5" s="425"/>
      <c r="AF5" s="425"/>
      <c r="AG5" s="425"/>
    </row>
    <row r="6" spans="1:33" ht="31.5">
      <c r="A6" s="479"/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6"/>
      <c r="N6" s="86"/>
      <c r="O6" s="86"/>
      <c r="P6" s="86"/>
      <c r="Q6" s="77"/>
      <c r="R6" s="77"/>
      <c r="S6" s="77"/>
      <c r="T6" s="480">
        <v>43710</v>
      </c>
      <c r="U6" s="77"/>
      <c r="V6" s="86"/>
      <c r="W6" s="86"/>
      <c r="X6" s="86"/>
      <c r="Y6" s="86"/>
      <c r="Z6" s="86"/>
      <c r="AA6" s="481"/>
      <c r="AB6" s="481"/>
      <c r="AC6" s="481"/>
      <c r="AD6" s="481"/>
      <c r="AE6" s="481"/>
      <c r="AF6" s="481"/>
      <c r="AG6" s="481"/>
    </row>
    <row r="7" spans="1:33" ht="168" customHeight="1">
      <c r="A7" s="97" t="s">
        <v>54</v>
      </c>
      <c r="B7" s="97" t="s">
        <v>10</v>
      </c>
      <c r="C7" s="97" t="s">
        <v>9</v>
      </c>
      <c r="D7" s="489" t="s">
        <v>8</v>
      </c>
      <c r="E7" s="97" t="s">
        <v>252</v>
      </c>
      <c r="F7" s="97" t="s">
        <v>242</v>
      </c>
      <c r="G7" s="97" t="s">
        <v>253</v>
      </c>
      <c r="H7" s="97" t="s">
        <v>265</v>
      </c>
      <c r="I7" s="493" t="s">
        <v>232</v>
      </c>
      <c r="J7" s="97" t="s">
        <v>7</v>
      </c>
      <c r="K7" s="97" t="s">
        <v>143</v>
      </c>
      <c r="L7" s="97" t="s">
        <v>254</v>
      </c>
      <c r="M7" s="97" t="s">
        <v>255</v>
      </c>
      <c r="N7" s="97" t="s">
        <v>266</v>
      </c>
      <c r="O7" s="97" t="s">
        <v>256</v>
      </c>
      <c r="P7" s="97" t="s">
        <v>258</v>
      </c>
      <c r="Q7" s="97" t="s">
        <v>259</v>
      </c>
      <c r="R7" s="97" t="s">
        <v>267</v>
      </c>
      <c r="S7" s="97" t="s">
        <v>260</v>
      </c>
      <c r="T7" s="97" t="s">
        <v>6</v>
      </c>
      <c r="U7" s="97" t="s">
        <v>5</v>
      </c>
      <c r="V7" s="97" t="s">
        <v>1587</v>
      </c>
      <c r="W7" s="97" t="s">
        <v>1588</v>
      </c>
      <c r="X7" s="97" t="s">
        <v>1589</v>
      </c>
      <c r="Y7" s="97" t="s">
        <v>1590</v>
      </c>
      <c r="Z7" s="482" t="s">
        <v>1591</v>
      </c>
      <c r="AA7" s="97" t="s">
        <v>3</v>
      </c>
      <c r="AB7" s="97" t="s">
        <v>2</v>
      </c>
      <c r="AC7" s="97" t="s">
        <v>1</v>
      </c>
      <c r="AD7" s="97" t="s">
        <v>1592</v>
      </c>
      <c r="AE7" s="97" t="s">
        <v>1593</v>
      </c>
      <c r="AF7" s="97" t="s">
        <v>1594</v>
      </c>
      <c r="AG7" s="97" t="s">
        <v>0</v>
      </c>
    </row>
    <row r="8" spans="1:33" ht="43.5" hidden="1" customHeight="1">
      <c r="A8" s="94" t="s">
        <v>11</v>
      </c>
      <c r="B8" s="393" t="s">
        <v>55</v>
      </c>
      <c r="C8" s="98" t="str">
        <f>IFERROR(VLOOKUP(D8,[1]Pieces!A:B,2,0)," ")</f>
        <v xml:space="preserve"> </v>
      </c>
      <c r="D8" s="416"/>
      <c r="E8" s="420"/>
      <c r="F8" s="420"/>
      <c r="G8" s="420"/>
      <c r="H8" s="420"/>
      <c r="I8" s="420"/>
      <c r="J8" s="416"/>
      <c r="K8" s="420"/>
      <c r="L8" s="420">
        <f>(F8-E8)*K8</f>
        <v>0</v>
      </c>
      <c r="M8" s="416">
        <f>(G8-F8)*K8</f>
        <v>0</v>
      </c>
      <c r="N8" s="416">
        <f>(H8-G8)*K8</f>
        <v>0</v>
      </c>
      <c r="O8" s="416">
        <f>(I8-H8)*K8</f>
        <v>0</v>
      </c>
      <c r="P8" s="83">
        <f t="shared" ref="P8:P15" si="0">IF(J8=0,0,L8/J8)</f>
        <v>0</v>
      </c>
      <c r="Q8" s="83">
        <f t="shared" ref="Q8:Q15" si="1">IF(J8=0,0,M8/J8)</f>
        <v>0</v>
      </c>
      <c r="R8" s="83">
        <f t="shared" ref="R8:R15" si="2">IF(J8=0,0,N8/J8)</f>
        <v>0</v>
      </c>
      <c r="S8" s="83">
        <f t="shared" ref="S8:S15" si="3">IF(J8=0,0,O8/J8)</f>
        <v>0</v>
      </c>
      <c r="T8" s="85">
        <v>24</v>
      </c>
      <c r="U8" s="416"/>
      <c r="V8" s="416"/>
      <c r="W8" s="416"/>
      <c r="X8" s="416"/>
      <c r="Y8" s="416"/>
      <c r="Z8" s="416"/>
      <c r="AA8" s="483"/>
      <c r="AB8" s="484">
        <f>IF(J8=0,0,(AA8+V8)/J8)</f>
        <v>0</v>
      </c>
      <c r="AC8" s="485" t="str">
        <f>IF(OR(T8=0,J8=0),"",AB8/T8*100)</f>
        <v/>
      </c>
      <c r="AD8" s="485"/>
      <c r="AE8" s="485"/>
      <c r="AF8" s="485"/>
      <c r="AG8" s="486" t="str">
        <f>IF(AC8&gt;85," ","WARNING")</f>
        <v xml:space="preserve"> </v>
      </c>
    </row>
    <row r="9" spans="1:33" ht="42" hidden="1" customHeight="1">
      <c r="A9" s="94" t="s">
        <v>12</v>
      </c>
      <c r="B9" s="393" t="s">
        <v>56</v>
      </c>
      <c r="C9" s="98" t="str">
        <f>IFERROR(VLOOKUP(D9,[1]Pieces!A:B,2,0)," ")</f>
        <v xml:space="preserve"> </v>
      </c>
      <c r="D9" s="416"/>
      <c r="E9" s="420"/>
      <c r="F9" s="420"/>
      <c r="G9" s="420"/>
      <c r="H9" s="420"/>
      <c r="I9" s="420"/>
      <c r="J9" s="416"/>
      <c r="K9" s="420"/>
      <c r="L9" s="420">
        <f>(F9-E9)*K9</f>
        <v>0</v>
      </c>
      <c r="M9" s="416">
        <f>(G9-F9)*K9</f>
        <v>0</v>
      </c>
      <c r="N9" s="416">
        <f>(H9-G9)*K9</f>
        <v>0</v>
      </c>
      <c r="O9" s="416">
        <f>(I9-H9)*K9</f>
        <v>0</v>
      </c>
      <c r="P9" s="83">
        <f t="shared" si="0"/>
        <v>0</v>
      </c>
      <c r="Q9" s="83">
        <f t="shared" si="1"/>
        <v>0</v>
      </c>
      <c r="R9" s="83">
        <f t="shared" si="2"/>
        <v>0</v>
      </c>
      <c r="S9" s="83">
        <f t="shared" si="3"/>
        <v>0</v>
      </c>
      <c r="T9" s="85">
        <v>24</v>
      </c>
      <c r="U9" s="416"/>
      <c r="V9" s="416"/>
      <c r="W9" s="416"/>
      <c r="X9" s="416"/>
      <c r="Y9" s="416"/>
      <c r="Z9" s="416"/>
      <c r="AA9" s="416"/>
      <c r="AB9" s="83">
        <f>IF(J9=0,0,(AA9+V9)/J9)</f>
        <v>0</v>
      </c>
      <c r="AC9" s="82" t="str">
        <f>IF(OR(T9=0,J9=0),"",AB9/T9*100)</f>
        <v/>
      </c>
      <c r="AD9" s="82"/>
      <c r="AE9" s="82"/>
      <c r="AF9" s="82"/>
      <c r="AG9" s="85" t="str">
        <f t="shared" ref="AG9:AG29" si="4">IF(AC9&gt;85," ","WARNING")</f>
        <v xml:space="preserve"> </v>
      </c>
    </row>
    <row r="10" spans="1:33" ht="50.25" hidden="1" customHeight="1">
      <c r="A10" s="94" t="s">
        <v>13</v>
      </c>
      <c r="B10" s="393" t="s">
        <v>57</v>
      </c>
      <c r="C10" s="98" t="str">
        <f>IFERROR(VLOOKUP(D10,[1]Pieces!A:B,2,0)," ")</f>
        <v xml:space="preserve"> </v>
      </c>
      <c r="D10" s="416"/>
      <c r="E10" s="420"/>
      <c r="F10" s="420"/>
      <c r="G10" s="420"/>
      <c r="H10" s="420"/>
      <c r="I10" s="420"/>
      <c r="J10" s="416"/>
      <c r="K10" s="420"/>
      <c r="L10" s="420">
        <f>(F10-E10)*K10</f>
        <v>0</v>
      </c>
      <c r="M10" s="416">
        <f>(G10-F10)*K10</f>
        <v>0</v>
      </c>
      <c r="N10" s="416">
        <f>(H10-G10)*K10</f>
        <v>0</v>
      </c>
      <c r="O10" s="416">
        <f>(I10-H10)*K10</f>
        <v>0</v>
      </c>
      <c r="P10" s="83">
        <f t="shared" si="0"/>
        <v>0</v>
      </c>
      <c r="Q10" s="83">
        <f t="shared" si="1"/>
        <v>0</v>
      </c>
      <c r="R10" s="83">
        <f t="shared" si="2"/>
        <v>0</v>
      </c>
      <c r="S10" s="83">
        <f t="shared" si="3"/>
        <v>0</v>
      </c>
      <c r="T10" s="85">
        <v>24</v>
      </c>
      <c r="U10" s="416"/>
      <c r="V10" s="416"/>
      <c r="W10" s="416"/>
      <c r="X10" s="416"/>
      <c r="Y10" s="416"/>
      <c r="Z10" s="416"/>
      <c r="AA10" s="416"/>
      <c r="AB10" s="83">
        <f>IF(J10=0,0,(AA10+V10)/J10)</f>
        <v>0</v>
      </c>
      <c r="AC10" s="82" t="str">
        <f>IF(OR(T10=0,J10=0),"",AB10/T10*100)</f>
        <v/>
      </c>
      <c r="AD10" s="82"/>
      <c r="AE10" s="82"/>
      <c r="AF10" s="82"/>
      <c r="AG10" s="85" t="str">
        <f t="shared" si="4"/>
        <v xml:space="preserve"> </v>
      </c>
    </row>
    <row r="11" spans="1:33" ht="39.75" hidden="1" customHeight="1">
      <c r="A11" s="94" t="s">
        <v>14</v>
      </c>
      <c r="B11" s="393" t="s">
        <v>58</v>
      </c>
      <c r="C11" s="98" t="str">
        <f>IFERROR(VLOOKUP(D11,[1]Pieces!A:B,2,0)," ")</f>
        <v xml:space="preserve"> </v>
      </c>
      <c r="D11" s="416"/>
      <c r="E11" s="420"/>
      <c r="F11" s="420"/>
      <c r="G11" s="420"/>
      <c r="H11" s="420"/>
      <c r="I11" s="420"/>
      <c r="J11" s="416"/>
      <c r="K11" s="420"/>
      <c r="L11" s="420">
        <f>(F11-E11)*K11</f>
        <v>0</v>
      </c>
      <c r="M11" s="416">
        <f>(G11-F11)*K11</f>
        <v>0</v>
      </c>
      <c r="N11" s="416">
        <f>(H11-G11)*K11</f>
        <v>0</v>
      </c>
      <c r="O11" s="416">
        <f>(I11-H11)*K11</f>
        <v>0</v>
      </c>
      <c r="P11" s="83">
        <f t="shared" si="0"/>
        <v>0</v>
      </c>
      <c r="Q11" s="83">
        <f t="shared" si="1"/>
        <v>0</v>
      </c>
      <c r="R11" s="83">
        <f t="shared" si="2"/>
        <v>0</v>
      </c>
      <c r="S11" s="83">
        <f t="shared" si="3"/>
        <v>0</v>
      </c>
      <c r="T11" s="85">
        <v>24</v>
      </c>
      <c r="U11" s="416"/>
      <c r="V11" s="416"/>
      <c r="W11" s="416"/>
      <c r="X11" s="416"/>
      <c r="Y11" s="416"/>
      <c r="Z11" s="416"/>
      <c r="AA11" s="416"/>
      <c r="AB11" s="83">
        <f>IF(J11=0,0,(AA11+V11)/J11)</f>
        <v>0</v>
      </c>
      <c r="AC11" s="82" t="str">
        <f>IF(OR(T11=0,J11=0),"",AB11/T11*100)</f>
        <v/>
      </c>
      <c r="AD11" s="82"/>
      <c r="AE11" s="82"/>
      <c r="AF11" s="82"/>
      <c r="AG11" s="85" t="str">
        <f t="shared" si="4"/>
        <v xml:space="preserve"> </v>
      </c>
    </row>
    <row r="12" spans="1:33" ht="42.75" hidden="1" customHeight="1">
      <c r="A12" s="94" t="s">
        <v>15</v>
      </c>
      <c r="B12" s="393" t="s">
        <v>59</v>
      </c>
      <c r="C12" s="98" t="str">
        <f>IFERROR(VLOOKUP(D12,[1]Pieces!A:B,2,0)," ")</f>
        <v xml:space="preserve"> </v>
      </c>
      <c r="D12" s="416"/>
      <c r="E12" s="420"/>
      <c r="F12" s="420"/>
      <c r="G12" s="420"/>
      <c r="H12" s="420"/>
      <c r="I12" s="420"/>
      <c r="J12" s="416"/>
      <c r="K12" s="420"/>
      <c r="L12" s="420">
        <f>(F12-E12)*K12</f>
        <v>0</v>
      </c>
      <c r="M12" s="416">
        <f>(G12-F12)*K12</f>
        <v>0</v>
      </c>
      <c r="N12" s="416">
        <f>(H12-G12)*K12</f>
        <v>0</v>
      </c>
      <c r="O12" s="416">
        <f>(I12-H12)*K12</f>
        <v>0</v>
      </c>
      <c r="P12" s="83">
        <f t="shared" si="0"/>
        <v>0</v>
      </c>
      <c r="Q12" s="83">
        <f t="shared" si="1"/>
        <v>0</v>
      </c>
      <c r="R12" s="83">
        <f t="shared" si="2"/>
        <v>0</v>
      </c>
      <c r="S12" s="83">
        <f t="shared" si="3"/>
        <v>0</v>
      </c>
      <c r="T12" s="85">
        <v>24</v>
      </c>
      <c r="U12" s="416"/>
      <c r="V12" s="416"/>
      <c r="W12" s="416"/>
      <c r="X12" s="416"/>
      <c r="Y12" s="416"/>
      <c r="Z12" s="416"/>
      <c r="AA12" s="416"/>
      <c r="AB12" s="83">
        <f>IF(J12=0,0,(AA12+V12)/J12)</f>
        <v>0</v>
      </c>
      <c r="AC12" s="82" t="str">
        <f>IF(OR(T12=0,J12=0),"",AB12/T12*100)</f>
        <v/>
      </c>
      <c r="AD12" s="82"/>
      <c r="AE12" s="82"/>
      <c r="AF12" s="82"/>
      <c r="AG12" s="85" t="str">
        <f t="shared" si="4"/>
        <v xml:space="preserve"> </v>
      </c>
    </row>
    <row r="13" spans="1:33" ht="42.75" hidden="1" customHeight="1">
      <c r="A13" s="94" t="s">
        <v>16</v>
      </c>
      <c r="B13" s="393" t="s">
        <v>60</v>
      </c>
      <c r="C13" s="98"/>
      <c r="D13" s="416"/>
      <c r="E13" s="420"/>
      <c r="F13" s="420"/>
      <c r="G13" s="420"/>
      <c r="H13" s="420"/>
      <c r="I13" s="420"/>
      <c r="J13" s="416"/>
      <c r="K13" s="420"/>
      <c r="L13" s="420"/>
      <c r="M13" s="416"/>
      <c r="N13" s="416"/>
      <c r="O13" s="416"/>
      <c r="P13" s="83"/>
      <c r="Q13" s="83"/>
      <c r="R13" s="83"/>
      <c r="S13" s="83"/>
      <c r="T13" s="85"/>
      <c r="U13" s="416"/>
      <c r="V13" s="416"/>
      <c r="W13" s="416"/>
      <c r="X13" s="416"/>
      <c r="Y13" s="416"/>
      <c r="Z13" s="416"/>
      <c r="AA13" s="416"/>
      <c r="AB13" s="83"/>
      <c r="AC13" s="82"/>
      <c r="AD13" s="82"/>
      <c r="AE13" s="82"/>
      <c r="AF13" s="82"/>
      <c r="AG13" s="85"/>
    </row>
    <row r="14" spans="1:33" ht="42.75" hidden="1" customHeight="1">
      <c r="A14" s="94" t="s">
        <v>326</v>
      </c>
      <c r="B14" s="393" t="s">
        <v>325</v>
      </c>
      <c r="C14" s="98"/>
      <c r="D14" s="416"/>
      <c r="E14" s="420"/>
      <c r="F14" s="420"/>
      <c r="G14" s="420"/>
      <c r="H14" s="420"/>
      <c r="I14" s="420"/>
      <c r="J14" s="416"/>
      <c r="K14" s="420"/>
      <c r="L14" s="420"/>
      <c r="M14" s="416"/>
      <c r="N14" s="416"/>
      <c r="O14" s="416"/>
      <c r="P14" s="83"/>
      <c r="Q14" s="83"/>
      <c r="R14" s="83"/>
      <c r="S14" s="83"/>
      <c r="T14" s="85"/>
      <c r="U14" s="416"/>
      <c r="V14" s="416"/>
      <c r="W14" s="416"/>
      <c r="X14" s="416"/>
      <c r="Y14" s="416"/>
      <c r="Z14" s="416"/>
      <c r="AA14" s="416"/>
      <c r="AB14" s="83"/>
      <c r="AC14" s="82"/>
      <c r="AD14" s="82"/>
      <c r="AE14" s="82"/>
      <c r="AF14" s="82"/>
      <c r="AG14" s="85"/>
    </row>
    <row r="15" spans="1:33" ht="57" hidden="1" customHeight="1">
      <c r="A15" s="94" t="s">
        <v>332</v>
      </c>
      <c r="B15" s="393" t="s">
        <v>333</v>
      </c>
      <c r="C15" s="98" t="str">
        <f>IFERROR(VLOOKUP(D15,[1]Pieces!A:B,2,0)," ")</f>
        <v xml:space="preserve"> </v>
      </c>
      <c r="D15" s="416"/>
      <c r="E15" s="420"/>
      <c r="F15" s="420"/>
      <c r="G15" s="420"/>
      <c r="H15" s="420"/>
      <c r="I15" s="420"/>
      <c r="J15" s="416"/>
      <c r="K15" s="420"/>
      <c r="L15" s="420">
        <f>(F15-E15)*K15</f>
        <v>0</v>
      </c>
      <c r="M15" s="416">
        <f>(G15-F15)*K15</f>
        <v>0</v>
      </c>
      <c r="N15" s="416">
        <f>(H15-G15)*K15</f>
        <v>0</v>
      </c>
      <c r="O15" s="416">
        <f>(I15-H15)*K15</f>
        <v>0</v>
      </c>
      <c r="P15" s="83">
        <f t="shared" si="0"/>
        <v>0</v>
      </c>
      <c r="Q15" s="83">
        <f t="shared" si="1"/>
        <v>0</v>
      </c>
      <c r="R15" s="83">
        <f t="shared" si="2"/>
        <v>0</v>
      </c>
      <c r="S15" s="83">
        <f t="shared" si="3"/>
        <v>0</v>
      </c>
      <c r="T15" s="85">
        <v>24</v>
      </c>
      <c r="U15" s="416"/>
      <c r="V15" s="416"/>
      <c r="W15" s="416"/>
      <c r="X15" s="416"/>
      <c r="Y15" s="416"/>
      <c r="Z15" s="416"/>
      <c r="AA15" s="416"/>
      <c r="AB15" s="83">
        <f>IF(J15=0,0,(AA15+V15)/J15)</f>
        <v>0</v>
      </c>
      <c r="AC15" s="82" t="str">
        <f>IF(OR(T15=0,J15=0),"",AB15/T15*100)</f>
        <v/>
      </c>
      <c r="AD15" s="82"/>
      <c r="AE15" s="82"/>
      <c r="AF15" s="82"/>
      <c r="AG15" s="85" t="str">
        <f t="shared" si="4"/>
        <v xml:space="preserve"> </v>
      </c>
    </row>
    <row r="16" spans="1:33" ht="17.25" hidden="1" customHeight="1">
      <c r="A16" s="432"/>
      <c r="B16" s="432"/>
      <c r="C16" s="432"/>
      <c r="D16" s="432"/>
      <c r="E16" s="432"/>
      <c r="F16" s="432"/>
      <c r="G16" s="432"/>
      <c r="H16" s="432"/>
      <c r="I16" s="432"/>
      <c r="J16" s="432"/>
      <c r="K16" s="432"/>
      <c r="L16" s="432"/>
      <c r="M16" s="432"/>
      <c r="N16" s="432"/>
      <c r="O16" s="432"/>
      <c r="P16" s="432"/>
      <c r="Q16" s="432"/>
      <c r="R16" s="432"/>
      <c r="S16" s="432"/>
      <c r="T16" s="432"/>
      <c r="U16" s="432"/>
      <c r="V16" s="432"/>
      <c r="W16" s="432"/>
      <c r="X16" s="432"/>
      <c r="Y16" s="432"/>
      <c r="Z16" s="432"/>
      <c r="AA16" s="432"/>
      <c r="AB16" s="432"/>
      <c r="AC16" s="432"/>
      <c r="AD16" s="432"/>
      <c r="AE16" s="432"/>
      <c r="AF16" s="432"/>
      <c r="AG16" s="432"/>
    </row>
    <row r="17" spans="1:33" ht="54" customHeight="1">
      <c r="A17" s="94" t="s">
        <v>11</v>
      </c>
      <c r="B17" s="395" t="s">
        <v>1595</v>
      </c>
      <c r="C17" s="99" t="str">
        <f>IFERROR(VLOOKUP(D17,[1]Pieces!A:B,2,0)," ")</f>
        <v>outi-plot</v>
      </c>
      <c r="D17" s="488" t="s">
        <v>29</v>
      </c>
      <c r="E17" s="416">
        <v>271</v>
      </c>
      <c r="F17" s="416">
        <v>868</v>
      </c>
      <c r="G17" s="416">
        <v>868</v>
      </c>
      <c r="H17" s="416">
        <v>868</v>
      </c>
      <c r="I17" s="490">
        <v>1052</v>
      </c>
      <c r="J17" s="84">
        <f>IFERROR(VLOOKUP(D17,[1]Pieces!A:C,3,0),"Entrer la cadence")</f>
        <v>75</v>
      </c>
      <c r="K17" s="416">
        <v>1</v>
      </c>
      <c r="L17" s="416">
        <f t="shared" ref="L17:L25" si="5">(F17-E17)*K17</f>
        <v>597</v>
      </c>
      <c r="M17" s="416">
        <f t="shared" ref="M17:M25" si="6">(G17-F17)*K17</f>
        <v>0</v>
      </c>
      <c r="N17" s="416">
        <f t="shared" ref="N17:N25" si="7">(H17-G17)*K17</f>
        <v>0</v>
      </c>
      <c r="O17" s="416">
        <f t="shared" ref="O17:O25" si="8">(I17-H17)*K17</f>
        <v>184</v>
      </c>
      <c r="P17" s="83">
        <f>IF(J17=0,0,L17/J17)</f>
        <v>7.96</v>
      </c>
      <c r="Q17" s="83">
        <f t="shared" ref="Q17:Q29" si="9">IF(J17=0,0,M17/J17)</f>
        <v>0</v>
      </c>
      <c r="R17" s="83">
        <f>IF(J17=0,0,N17/J17)</f>
        <v>0</v>
      </c>
      <c r="S17" s="83">
        <f>IF(J17=0,0,O17/J17)</f>
        <v>2.4533333333333331</v>
      </c>
      <c r="T17" s="85">
        <v>15</v>
      </c>
      <c r="U17" s="416"/>
      <c r="V17" s="416"/>
      <c r="W17" s="416"/>
      <c r="X17" s="416"/>
      <c r="Y17" s="416"/>
      <c r="Z17" s="416"/>
      <c r="AA17" s="416"/>
      <c r="AB17" s="83">
        <f>IF(J17=0,0,(AA17+V17)/J17)</f>
        <v>0</v>
      </c>
      <c r="AC17" s="82">
        <f>IF(OR(T17=0,J17=0),"",AB17/T17*100)</f>
        <v>0</v>
      </c>
      <c r="AD17" s="82"/>
      <c r="AE17" s="82"/>
      <c r="AF17" s="82"/>
      <c r="AG17" s="85" t="str">
        <f t="shared" si="4"/>
        <v>WARNING</v>
      </c>
    </row>
    <row r="18" spans="1:33" ht="43.5" customHeight="1">
      <c r="A18" s="94" t="s">
        <v>12</v>
      </c>
      <c r="B18" s="395" t="s">
        <v>1226</v>
      </c>
      <c r="C18" s="99" t="str">
        <f>IFERROR(VLOOKUP(D18,[1]Pieces!A:B,2,0)," ")</f>
        <v>19087-1-1</v>
      </c>
      <c r="D18" s="488" t="s">
        <v>1463</v>
      </c>
      <c r="E18" s="416">
        <v>0</v>
      </c>
      <c r="F18" s="416">
        <v>83</v>
      </c>
      <c r="G18" s="416">
        <v>83</v>
      </c>
      <c r="H18" s="416">
        <v>83</v>
      </c>
      <c r="I18" s="490">
        <v>172</v>
      </c>
      <c r="J18" s="84">
        <f>IFERROR(VLOOKUP(D18,[1]Pieces!A:C,3,0),"Entrer la cadence")</f>
        <v>20</v>
      </c>
      <c r="K18" s="416">
        <v>1</v>
      </c>
      <c r="L18" s="416">
        <f t="shared" si="5"/>
        <v>83</v>
      </c>
      <c r="M18" s="416">
        <f t="shared" si="6"/>
        <v>0</v>
      </c>
      <c r="N18" s="416">
        <f t="shared" si="7"/>
        <v>0</v>
      </c>
      <c r="O18" s="416">
        <f t="shared" si="8"/>
        <v>89</v>
      </c>
      <c r="P18" s="83">
        <f t="shared" ref="P18:P29" si="10">IF(J18=0,0,L18/J18)</f>
        <v>4.1500000000000004</v>
      </c>
      <c r="Q18" s="83">
        <f t="shared" si="9"/>
        <v>0</v>
      </c>
      <c r="R18" s="83">
        <f t="shared" ref="R18:R29" si="11">IF(J18=0,0,N18/J18)</f>
        <v>0</v>
      </c>
      <c r="S18" s="83">
        <f t="shared" ref="S18:S29" si="12">IF(J18=0,0,O18/J18)</f>
        <v>4.45</v>
      </c>
      <c r="T18" s="85">
        <v>15</v>
      </c>
      <c r="U18" s="416"/>
      <c r="V18" s="416"/>
      <c r="W18" s="416"/>
      <c r="X18" s="416"/>
      <c r="Y18" s="416"/>
      <c r="Z18" s="416"/>
      <c r="AA18" s="416"/>
      <c r="AB18" s="83">
        <f>IF(J18=0,0,(AA18+V18)/J18)</f>
        <v>0</v>
      </c>
      <c r="AC18" s="82">
        <f>IF(OR(T18=0,J18=0),"",AB18/T18*100)</f>
        <v>0</v>
      </c>
      <c r="AD18" s="82"/>
      <c r="AE18" s="82"/>
      <c r="AF18" s="82"/>
      <c r="AG18" s="85" t="str">
        <f t="shared" si="4"/>
        <v>WARNING</v>
      </c>
    </row>
    <row r="19" spans="1:33" ht="43.5" customHeight="1">
      <c r="A19" s="94" t="s">
        <v>13</v>
      </c>
      <c r="B19" s="487" t="s">
        <v>1596</v>
      </c>
      <c r="C19" s="99" t="str">
        <f>IFERROR(VLOOKUP(D19,[1]Pieces!A:B,2,0)," ")</f>
        <v>G017</v>
      </c>
      <c r="D19" s="488" t="s">
        <v>1165</v>
      </c>
      <c r="E19" s="416">
        <v>1183</v>
      </c>
      <c r="F19" s="416">
        <v>1183</v>
      </c>
      <c r="G19" s="416">
        <v>1183</v>
      </c>
      <c r="H19" s="416">
        <v>1183</v>
      </c>
      <c r="I19" s="490">
        <v>1183</v>
      </c>
      <c r="J19" s="84">
        <f>IFERROR(VLOOKUP(D19,[1]Pieces!A:C,3,0),"Entrer la cadence")</f>
        <v>60</v>
      </c>
      <c r="K19" s="416">
        <v>1</v>
      </c>
      <c r="L19" s="416">
        <f t="shared" si="5"/>
        <v>0</v>
      </c>
      <c r="M19" s="416">
        <f t="shared" si="6"/>
        <v>0</v>
      </c>
      <c r="N19" s="416">
        <f t="shared" si="7"/>
        <v>0</v>
      </c>
      <c r="O19" s="416">
        <f t="shared" si="8"/>
        <v>0</v>
      </c>
      <c r="P19" s="83">
        <f t="shared" si="10"/>
        <v>0</v>
      </c>
      <c r="Q19" s="83">
        <f t="shared" si="9"/>
        <v>0</v>
      </c>
      <c r="R19" s="83">
        <f t="shared" si="11"/>
        <v>0</v>
      </c>
      <c r="S19" s="83">
        <f t="shared" si="12"/>
        <v>0</v>
      </c>
      <c r="T19" s="85">
        <v>15</v>
      </c>
      <c r="U19" s="416"/>
      <c r="V19" s="416"/>
      <c r="W19" s="416"/>
      <c r="X19" s="416"/>
      <c r="Y19" s="416"/>
      <c r="Z19" s="416"/>
      <c r="AA19" s="416"/>
      <c r="AB19" s="83"/>
      <c r="AC19" s="82"/>
      <c r="AD19" s="82"/>
      <c r="AE19" s="82"/>
      <c r="AF19" s="82"/>
      <c r="AG19" s="85"/>
    </row>
    <row r="20" spans="1:33" ht="43.5" customHeight="1">
      <c r="A20" s="94" t="s">
        <v>14</v>
      </c>
      <c r="B20" s="487" t="s">
        <v>1597</v>
      </c>
      <c r="C20" s="99" t="str">
        <f>IFERROR(VLOOKUP(D20,[1]Pieces!A:B,2,0)," ")</f>
        <v>TF57-CP2</v>
      </c>
      <c r="D20" s="488" t="s">
        <v>465</v>
      </c>
      <c r="E20" s="84">
        <v>1172</v>
      </c>
      <c r="F20" s="84">
        <v>1486</v>
      </c>
      <c r="G20" s="84">
        <v>1486</v>
      </c>
      <c r="H20" s="84">
        <v>1486</v>
      </c>
      <c r="I20" s="491">
        <v>1510</v>
      </c>
      <c r="J20" s="84">
        <f>IFERROR(VLOOKUP(D20,[1]Pieces!A:C,3,0),"Entrer la cadence")</f>
        <v>60</v>
      </c>
      <c r="K20" s="416">
        <v>1</v>
      </c>
      <c r="L20" s="416">
        <f t="shared" si="5"/>
        <v>314</v>
      </c>
      <c r="M20" s="416">
        <f t="shared" si="6"/>
        <v>0</v>
      </c>
      <c r="N20" s="416">
        <f t="shared" si="7"/>
        <v>0</v>
      </c>
      <c r="O20" s="416">
        <f t="shared" si="8"/>
        <v>24</v>
      </c>
      <c r="P20" s="83">
        <f t="shared" si="10"/>
        <v>5.2333333333333334</v>
      </c>
      <c r="Q20" s="83">
        <f t="shared" si="9"/>
        <v>0</v>
      </c>
      <c r="R20" s="83">
        <f t="shared" si="11"/>
        <v>0</v>
      </c>
      <c r="S20" s="83">
        <f t="shared" si="12"/>
        <v>0.4</v>
      </c>
      <c r="T20" s="85">
        <v>15</v>
      </c>
      <c r="U20" s="416"/>
      <c r="V20" s="416"/>
      <c r="W20" s="416"/>
      <c r="X20" s="416"/>
      <c r="Y20" s="416"/>
      <c r="Z20" s="416"/>
      <c r="AA20" s="416"/>
      <c r="AB20" s="83">
        <f t="shared" ref="AB20:AB25" si="13">IF(J20=0,0,(AA20+V20)/J20)</f>
        <v>0</v>
      </c>
      <c r="AC20" s="82">
        <f t="shared" ref="AC20:AC25" si="14">IF(OR(T20=0,J20=0),"",AB20/T20*100)</f>
        <v>0</v>
      </c>
      <c r="AD20" s="82"/>
      <c r="AE20" s="82"/>
      <c r="AF20" s="82"/>
      <c r="AG20" s="85" t="str">
        <f t="shared" si="4"/>
        <v>WARNING</v>
      </c>
    </row>
    <row r="21" spans="1:33" ht="41.25" customHeight="1">
      <c r="A21" s="94" t="s">
        <v>15</v>
      </c>
      <c r="B21" s="395" t="s">
        <v>63</v>
      </c>
      <c r="C21" s="99" t="str">
        <f>IFERROR(VLOOKUP(D21,[1]Pieces!A:B,2,0)," ")</f>
        <v>FO011-PROD</v>
      </c>
      <c r="D21" s="488" t="s">
        <v>1598</v>
      </c>
      <c r="E21" s="416">
        <v>1572</v>
      </c>
      <c r="F21" s="416">
        <v>1932</v>
      </c>
      <c r="G21" s="416">
        <v>1932</v>
      </c>
      <c r="H21" s="416">
        <v>1932</v>
      </c>
      <c r="I21" s="490">
        <v>2031</v>
      </c>
      <c r="J21" s="84">
        <f>IFERROR(VLOOKUP(D21,[1]Pieces!A:C,3,0),"Entrer la cadence")</f>
        <v>45</v>
      </c>
      <c r="K21" s="416">
        <v>1</v>
      </c>
      <c r="L21" s="416">
        <f t="shared" si="5"/>
        <v>360</v>
      </c>
      <c r="M21" s="416">
        <f t="shared" si="6"/>
        <v>0</v>
      </c>
      <c r="N21" s="416">
        <f t="shared" si="7"/>
        <v>0</v>
      </c>
      <c r="O21" s="416">
        <f t="shared" si="8"/>
        <v>99</v>
      </c>
      <c r="P21" s="83">
        <f t="shared" si="10"/>
        <v>8</v>
      </c>
      <c r="Q21" s="83">
        <f t="shared" si="9"/>
        <v>0</v>
      </c>
      <c r="R21" s="83">
        <f t="shared" si="11"/>
        <v>0</v>
      </c>
      <c r="S21" s="83">
        <f t="shared" si="12"/>
        <v>2.2000000000000002</v>
      </c>
      <c r="T21" s="85">
        <v>15</v>
      </c>
      <c r="U21" s="416"/>
      <c r="V21" s="416"/>
      <c r="W21" s="416"/>
      <c r="X21" s="416"/>
      <c r="Y21" s="416"/>
      <c r="Z21" s="416"/>
      <c r="AA21" s="416"/>
      <c r="AB21" s="83">
        <f t="shared" si="13"/>
        <v>0</v>
      </c>
      <c r="AC21" s="82">
        <f t="shared" si="14"/>
        <v>0</v>
      </c>
      <c r="AD21" s="82"/>
      <c r="AE21" s="82"/>
      <c r="AF21" s="82"/>
      <c r="AG21" s="85" t="str">
        <f t="shared" si="4"/>
        <v>WARNING</v>
      </c>
    </row>
    <row r="22" spans="1:33" ht="51" customHeight="1">
      <c r="A22" s="94" t="s">
        <v>16</v>
      </c>
      <c r="B22" s="395" t="s">
        <v>83</v>
      </c>
      <c r="C22" s="99" t="str">
        <f>IFERROR(VLOOKUP(D22,[1]Pieces!A:B,2,0)," ")</f>
        <v>MPS000300</v>
      </c>
      <c r="D22" s="488" t="s">
        <v>32</v>
      </c>
      <c r="E22" s="416">
        <v>67979</v>
      </c>
      <c r="F22" s="416">
        <v>67979</v>
      </c>
      <c r="G22" s="416">
        <v>67979</v>
      </c>
      <c r="H22" s="416">
        <v>67979</v>
      </c>
      <c r="I22" s="490">
        <v>67979</v>
      </c>
      <c r="J22" s="84">
        <f>IFERROR(VLOOKUP(D22,[1]Pieces!A:C,3,0),"Entrer la cadence")</f>
        <v>454</v>
      </c>
      <c r="K22" s="416">
        <v>1</v>
      </c>
      <c r="L22" s="416">
        <f t="shared" si="5"/>
        <v>0</v>
      </c>
      <c r="M22" s="416">
        <f t="shared" si="6"/>
        <v>0</v>
      </c>
      <c r="N22" s="416">
        <f t="shared" si="7"/>
        <v>0</v>
      </c>
      <c r="O22" s="416">
        <f t="shared" si="8"/>
        <v>0</v>
      </c>
      <c r="P22" s="83">
        <f t="shared" si="10"/>
        <v>0</v>
      </c>
      <c r="Q22" s="83">
        <f t="shared" si="9"/>
        <v>0</v>
      </c>
      <c r="R22" s="83">
        <f t="shared" si="11"/>
        <v>0</v>
      </c>
      <c r="S22" s="83">
        <f t="shared" si="12"/>
        <v>0</v>
      </c>
      <c r="T22" s="85">
        <v>15</v>
      </c>
      <c r="U22" s="416"/>
      <c r="V22" s="416"/>
      <c r="W22" s="416"/>
      <c r="X22" s="416"/>
      <c r="Y22" s="416"/>
      <c r="Z22" s="416"/>
      <c r="AA22" s="416"/>
      <c r="AB22" s="83">
        <f t="shared" si="13"/>
        <v>0</v>
      </c>
      <c r="AC22" s="82">
        <f t="shared" si="14"/>
        <v>0</v>
      </c>
      <c r="AD22" s="82"/>
      <c r="AE22" s="82"/>
      <c r="AF22" s="82"/>
      <c r="AG22" s="85" t="str">
        <f t="shared" si="4"/>
        <v>WARNING</v>
      </c>
    </row>
    <row r="23" spans="1:33" ht="45" customHeight="1">
      <c r="A23" s="94" t="s">
        <v>17</v>
      </c>
      <c r="B23" s="395" t="s">
        <v>1577</v>
      </c>
      <c r="C23" s="99" t="str">
        <f>IFERROR(VLOOKUP(D23,[1]Pieces!A:B,2,0)," ")</f>
        <v>I110-01-004</v>
      </c>
      <c r="D23" s="488" t="s">
        <v>1599</v>
      </c>
      <c r="E23" s="416">
        <v>0</v>
      </c>
      <c r="F23" s="416">
        <v>18174</v>
      </c>
      <c r="G23" s="416">
        <v>18174</v>
      </c>
      <c r="H23" s="416">
        <v>18174</v>
      </c>
      <c r="I23" s="490">
        <v>18174</v>
      </c>
      <c r="J23" s="84">
        <f>IFERROR(VLOOKUP(D23,[1]Pieces!A:C,3,0),"Entrer la cadence")</f>
        <v>28</v>
      </c>
      <c r="K23" s="416">
        <v>1</v>
      </c>
      <c r="L23" s="416">
        <f t="shared" si="5"/>
        <v>18174</v>
      </c>
      <c r="M23" s="416">
        <f t="shared" si="6"/>
        <v>0</v>
      </c>
      <c r="N23" s="416">
        <f t="shared" si="7"/>
        <v>0</v>
      </c>
      <c r="O23" s="416">
        <f t="shared" si="8"/>
        <v>0</v>
      </c>
      <c r="P23" s="83">
        <f t="shared" si="10"/>
        <v>649.07142857142856</v>
      </c>
      <c r="Q23" s="83">
        <f t="shared" si="9"/>
        <v>0</v>
      </c>
      <c r="R23" s="83">
        <f t="shared" si="11"/>
        <v>0</v>
      </c>
      <c r="S23" s="83">
        <f t="shared" si="12"/>
        <v>0</v>
      </c>
      <c r="T23" s="85">
        <v>15</v>
      </c>
      <c r="U23" s="416"/>
      <c r="V23" s="416"/>
      <c r="W23" s="416"/>
      <c r="X23" s="416"/>
      <c r="Y23" s="416"/>
      <c r="Z23" s="416"/>
      <c r="AA23" s="416"/>
      <c r="AB23" s="83">
        <f t="shared" si="13"/>
        <v>0</v>
      </c>
      <c r="AC23" s="82">
        <f t="shared" si="14"/>
        <v>0</v>
      </c>
      <c r="AD23" s="82"/>
      <c r="AE23" s="82"/>
      <c r="AF23" s="82"/>
      <c r="AG23" s="85" t="str">
        <f t="shared" si="4"/>
        <v>WARNING</v>
      </c>
    </row>
    <row r="24" spans="1:33" ht="44.25" customHeight="1">
      <c r="A24" s="94" t="s">
        <v>18</v>
      </c>
      <c r="B24" s="395" t="s">
        <v>1579</v>
      </c>
      <c r="C24" s="99" t="str">
        <f>IFERROR(VLOOKUP(D24,[1]Pieces!A:B,2,0)," ")</f>
        <v>PIG 50 SE-HARDING</v>
      </c>
      <c r="D24" s="488" t="s">
        <v>1304</v>
      </c>
      <c r="E24" s="416">
        <v>0</v>
      </c>
      <c r="F24" s="416">
        <v>59</v>
      </c>
      <c r="G24" s="416">
        <v>59</v>
      </c>
      <c r="H24" s="416">
        <v>59</v>
      </c>
      <c r="I24" s="490">
        <v>59</v>
      </c>
      <c r="J24" s="84">
        <f>IFERROR(VLOOKUP(D24,[1]Pieces!A:C,3,0),"Entrer la cadence")</f>
        <v>120</v>
      </c>
      <c r="K24" s="416">
        <v>20</v>
      </c>
      <c r="L24" s="416">
        <f t="shared" si="5"/>
        <v>1180</v>
      </c>
      <c r="M24" s="416">
        <f t="shared" si="6"/>
        <v>0</v>
      </c>
      <c r="N24" s="416">
        <f t="shared" si="7"/>
        <v>0</v>
      </c>
      <c r="O24" s="416">
        <f t="shared" si="8"/>
        <v>0</v>
      </c>
      <c r="P24" s="83">
        <f t="shared" si="10"/>
        <v>9.8333333333333339</v>
      </c>
      <c r="Q24" s="83">
        <f t="shared" si="9"/>
        <v>0</v>
      </c>
      <c r="R24" s="83">
        <f t="shared" si="11"/>
        <v>0</v>
      </c>
      <c r="S24" s="83">
        <f t="shared" si="12"/>
        <v>0</v>
      </c>
      <c r="T24" s="85">
        <v>15</v>
      </c>
      <c r="U24" s="416"/>
      <c r="V24" s="416"/>
      <c r="W24" s="416"/>
      <c r="X24" s="416"/>
      <c r="Y24" s="416"/>
      <c r="Z24" s="416"/>
      <c r="AA24" s="416"/>
      <c r="AB24" s="83">
        <f t="shared" si="13"/>
        <v>0</v>
      </c>
      <c r="AC24" s="82">
        <f t="shared" si="14"/>
        <v>0</v>
      </c>
      <c r="AD24" s="82"/>
      <c r="AE24" s="82"/>
      <c r="AF24" s="82"/>
      <c r="AG24" s="85" t="str">
        <f t="shared" si="4"/>
        <v>WARNING</v>
      </c>
    </row>
    <row r="25" spans="1:33" ht="40.5" customHeight="1">
      <c r="A25" s="94" t="s">
        <v>19</v>
      </c>
      <c r="B25" s="395" t="s">
        <v>402</v>
      </c>
      <c r="C25" s="99" t="str">
        <f>IFERROR(VLOOKUP(D25,[1]Pieces!A:B,2,0)," ")</f>
        <v xml:space="preserve"> </v>
      </c>
      <c r="D25" s="488" t="s">
        <v>1600</v>
      </c>
      <c r="E25" s="416">
        <v>0</v>
      </c>
      <c r="F25" s="416">
        <v>0</v>
      </c>
      <c r="G25" s="416">
        <v>0</v>
      </c>
      <c r="H25" s="416">
        <v>0</v>
      </c>
      <c r="I25" s="490">
        <v>0</v>
      </c>
      <c r="J25" s="84">
        <v>0</v>
      </c>
      <c r="K25" s="416">
        <v>1</v>
      </c>
      <c r="L25" s="416">
        <f t="shared" si="5"/>
        <v>0</v>
      </c>
      <c r="M25" s="416">
        <f t="shared" si="6"/>
        <v>0</v>
      </c>
      <c r="N25" s="416">
        <f t="shared" si="7"/>
        <v>0</v>
      </c>
      <c r="O25" s="416">
        <f t="shared" si="8"/>
        <v>0</v>
      </c>
      <c r="P25" s="83">
        <f t="shared" si="10"/>
        <v>0</v>
      </c>
      <c r="Q25" s="83">
        <f t="shared" si="9"/>
        <v>0</v>
      </c>
      <c r="R25" s="83">
        <f t="shared" si="11"/>
        <v>0</v>
      </c>
      <c r="S25" s="83">
        <f t="shared" si="12"/>
        <v>0</v>
      </c>
      <c r="T25" s="85">
        <v>15</v>
      </c>
      <c r="U25" s="416"/>
      <c r="V25" s="416"/>
      <c r="W25" s="416"/>
      <c r="X25" s="416"/>
      <c r="Y25" s="416"/>
      <c r="Z25" s="416"/>
      <c r="AA25" s="416"/>
      <c r="AB25" s="83">
        <f t="shared" si="13"/>
        <v>0</v>
      </c>
      <c r="AC25" s="82" t="str">
        <f t="shared" si="14"/>
        <v/>
      </c>
      <c r="AD25" s="82"/>
      <c r="AE25" s="82"/>
      <c r="AF25" s="82"/>
      <c r="AG25" s="85" t="str">
        <f t="shared" si="4"/>
        <v xml:space="preserve"> </v>
      </c>
    </row>
    <row r="26" spans="1:33" ht="40.5" customHeight="1">
      <c r="A26" s="94" t="s">
        <v>20</v>
      </c>
      <c r="B26" s="395" t="s">
        <v>1601</v>
      </c>
      <c r="C26" s="99" t="str">
        <f>IFERROR(VLOOKUP(D26,[1]Pieces!A:B,2,0)," ")</f>
        <v xml:space="preserve"> </v>
      </c>
      <c r="D26" s="488"/>
      <c r="E26" s="416">
        <v>487</v>
      </c>
      <c r="F26" s="416">
        <v>940</v>
      </c>
      <c r="G26" s="416">
        <v>940</v>
      </c>
      <c r="H26" s="416">
        <v>940</v>
      </c>
      <c r="I26" s="490">
        <v>940</v>
      </c>
      <c r="J26" s="84">
        <v>0</v>
      </c>
      <c r="K26" s="416">
        <v>1</v>
      </c>
      <c r="L26" s="416"/>
      <c r="M26" s="416"/>
      <c r="N26" s="416"/>
      <c r="O26" s="416"/>
      <c r="P26" s="83">
        <f t="shared" si="10"/>
        <v>0</v>
      </c>
      <c r="Q26" s="83">
        <f t="shared" si="9"/>
        <v>0</v>
      </c>
      <c r="R26" s="83">
        <f t="shared" si="11"/>
        <v>0</v>
      </c>
      <c r="S26" s="83">
        <f t="shared" si="12"/>
        <v>0</v>
      </c>
      <c r="T26" s="85">
        <v>9</v>
      </c>
      <c r="U26" s="416"/>
      <c r="V26" s="416"/>
      <c r="W26" s="416"/>
      <c r="X26" s="416"/>
      <c r="Y26" s="416"/>
      <c r="Z26" s="416"/>
      <c r="AA26" s="416"/>
      <c r="AB26" s="83"/>
      <c r="AC26" s="82"/>
      <c r="AD26" s="82"/>
      <c r="AE26" s="82"/>
      <c r="AF26" s="82"/>
      <c r="AG26" s="85"/>
    </row>
    <row r="27" spans="1:33" ht="40.5" customHeight="1">
      <c r="A27" s="94" t="s">
        <v>21</v>
      </c>
      <c r="B27" s="395" t="s">
        <v>1576</v>
      </c>
      <c r="C27" s="99" t="str">
        <f>IFERROR(VLOOKUP(D27,[1]Pieces!A:B,2,0)," ")</f>
        <v xml:space="preserve"> </v>
      </c>
      <c r="D27" s="488" t="s">
        <v>1600</v>
      </c>
      <c r="E27" s="416">
        <v>0</v>
      </c>
      <c r="F27" s="416">
        <v>0</v>
      </c>
      <c r="G27" s="416">
        <v>0</v>
      </c>
      <c r="H27" s="416">
        <v>0</v>
      </c>
      <c r="I27" s="490">
        <v>0</v>
      </c>
      <c r="J27" s="84">
        <v>0</v>
      </c>
      <c r="K27" s="416">
        <v>1</v>
      </c>
      <c r="L27" s="416">
        <f>(F27-E27)*K27</f>
        <v>0</v>
      </c>
      <c r="M27" s="416">
        <f>(G27-F27)*K27</f>
        <v>0</v>
      </c>
      <c r="N27" s="416">
        <f>(H27-G27)*K27</f>
        <v>0</v>
      </c>
      <c r="O27" s="416">
        <f>(I27-H27)*K27</f>
        <v>0</v>
      </c>
      <c r="P27" s="83">
        <f t="shared" si="10"/>
        <v>0</v>
      </c>
      <c r="Q27" s="83">
        <f t="shared" si="9"/>
        <v>0</v>
      </c>
      <c r="R27" s="83">
        <f t="shared" si="11"/>
        <v>0</v>
      </c>
      <c r="S27" s="83">
        <f t="shared" si="12"/>
        <v>0</v>
      </c>
      <c r="T27" s="85">
        <v>15</v>
      </c>
      <c r="U27" s="416"/>
      <c r="V27" s="416"/>
      <c r="W27" s="416"/>
      <c r="X27" s="416"/>
      <c r="Y27" s="416"/>
      <c r="Z27" s="416"/>
      <c r="AA27" s="416"/>
      <c r="AB27" s="83">
        <f>IF(J27=0,0,(AA27+V27)/J27)</f>
        <v>0</v>
      </c>
      <c r="AC27" s="82" t="str">
        <f>IF(OR(T27=0,J27=0),"",AB27/T27*100)</f>
        <v/>
      </c>
      <c r="AD27" s="82"/>
      <c r="AE27" s="82"/>
      <c r="AF27" s="82"/>
      <c r="AG27" s="85" t="str">
        <f t="shared" si="4"/>
        <v xml:space="preserve"> </v>
      </c>
    </row>
    <row r="28" spans="1:33" ht="42" customHeight="1">
      <c r="A28" s="94" t="s">
        <v>22</v>
      </c>
      <c r="B28" s="396" t="s">
        <v>34</v>
      </c>
      <c r="C28" s="99" t="str">
        <f>IFERROR(VLOOKUP(D28,[1]Pieces!A:B,2,0)," ")</f>
        <v>PIG 50 SE-HARDING</v>
      </c>
      <c r="D28" s="488" t="s">
        <v>33</v>
      </c>
      <c r="E28" s="416">
        <v>683</v>
      </c>
      <c r="F28" s="416">
        <v>687</v>
      </c>
      <c r="G28" s="416">
        <v>687</v>
      </c>
      <c r="H28" s="416">
        <v>687</v>
      </c>
      <c r="I28" s="490">
        <v>689</v>
      </c>
      <c r="J28" s="84">
        <f>IFERROR(VLOOKUP(D28,[1]Pieces!A:C,3,0),"Entrer la cadence")</f>
        <v>38</v>
      </c>
      <c r="K28" s="416">
        <v>1</v>
      </c>
      <c r="L28" s="416">
        <f>(F28-E28)*K28</f>
        <v>4</v>
      </c>
      <c r="M28" s="416">
        <f>(G28-F28)*K28</f>
        <v>0</v>
      </c>
      <c r="N28" s="416">
        <f>(H28-G28)*K28</f>
        <v>0</v>
      </c>
      <c r="O28" s="416">
        <f>(I28-H28)*K28</f>
        <v>2</v>
      </c>
      <c r="P28" s="83">
        <f t="shared" si="10"/>
        <v>0.10526315789473684</v>
      </c>
      <c r="Q28" s="83">
        <f t="shared" si="9"/>
        <v>0</v>
      </c>
      <c r="R28" s="83">
        <f t="shared" si="11"/>
        <v>0</v>
      </c>
      <c r="S28" s="83">
        <f t="shared" si="12"/>
        <v>5.2631578947368418E-2</v>
      </c>
      <c r="T28" s="85">
        <v>15</v>
      </c>
      <c r="U28" s="416"/>
      <c r="V28" s="416"/>
      <c r="W28" s="416"/>
      <c r="X28" s="416"/>
      <c r="Y28" s="416"/>
      <c r="Z28" s="416"/>
      <c r="AA28" s="416"/>
      <c r="AB28" s="83">
        <f>IF(J28=0,0,(AA28+V28)/J28)</f>
        <v>0</v>
      </c>
      <c r="AC28" s="82">
        <f>IF(OR(T28=0,J28=0),"",AB28/T28*100)</f>
        <v>0</v>
      </c>
      <c r="AD28" s="82"/>
      <c r="AE28" s="82"/>
      <c r="AF28" s="82"/>
      <c r="AG28" s="85" t="str">
        <f t="shared" si="4"/>
        <v>WARNING</v>
      </c>
    </row>
    <row r="29" spans="1:33" s="81" customFormat="1" ht="34.5" customHeight="1" thickBot="1">
      <c r="A29" s="94" t="s">
        <v>23</v>
      </c>
      <c r="B29" s="395" t="s">
        <v>1578</v>
      </c>
      <c r="C29" s="99" t="str">
        <f>IFERROR(VLOOKUP(D29,[1]Pieces!A:B,2,0)," ")</f>
        <v xml:space="preserve"> </v>
      </c>
      <c r="D29" s="488"/>
      <c r="E29" s="30"/>
      <c r="F29" s="30"/>
      <c r="G29" s="30"/>
      <c r="H29" s="30"/>
      <c r="I29" s="492"/>
      <c r="J29" s="84">
        <v>0</v>
      </c>
      <c r="K29" s="416">
        <v>1</v>
      </c>
      <c r="L29" s="416">
        <f>(F29-E29)*K29</f>
        <v>0</v>
      </c>
      <c r="M29" s="416">
        <f>(G29-F29)*K29</f>
        <v>0</v>
      </c>
      <c r="N29" s="416">
        <f>(H29-G29)*K29</f>
        <v>0</v>
      </c>
      <c r="O29" s="416">
        <f>(I29-H29)*K29</f>
        <v>0</v>
      </c>
      <c r="P29" s="83">
        <f t="shared" si="10"/>
        <v>0</v>
      </c>
      <c r="Q29" s="83">
        <f t="shared" si="9"/>
        <v>0</v>
      </c>
      <c r="R29" s="83">
        <f t="shared" si="11"/>
        <v>0</v>
      </c>
      <c r="S29" s="83">
        <f t="shared" si="12"/>
        <v>0</v>
      </c>
      <c r="T29" s="85">
        <v>15</v>
      </c>
      <c r="U29" s="413"/>
      <c r="V29" s="416"/>
      <c r="W29" s="416"/>
      <c r="X29" s="416"/>
      <c r="Y29" s="416"/>
      <c r="Z29" s="416"/>
      <c r="AA29" s="416"/>
      <c r="AB29" s="83">
        <f>IF(J29=0,0,(AA29+V29)/J29)</f>
        <v>0</v>
      </c>
      <c r="AC29" s="82" t="str">
        <f>IF(OR(T29=0,J29=0),"",AB29/T29*100)</f>
        <v/>
      </c>
      <c r="AD29" s="82"/>
      <c r="AE29" s="82"/>
      <c r="AF29" s="82"/>
      <c r="AG29" s="85" t="str">
        <f t="shared" si="4"/>
        <v xml:space="preserve"> </v>
      </c>
    </row>
    <row r="30" spans="1:33" ht="47.25" customHeight="1">
      <c r="A30" s="422"/>
      <c r="B30" s="422"/>
      <c r="C30" s="415"/>
      <c r="D30" s="415"/>
      <c r="E30" s="52"/>
      <c r="F30" s="100"/>
      <c r="G30" s="100"/>
      <c r="H30" s="100"/>
      <c r="I30" s="415"/>
      <c r="J30" s="415"/>
      <c r="K30" s="415"/>
      <c r="L30" s="415"/>
      <c r="M30" s="415"/>
      <c r="N30" s="415"/>
      <c r="O30" s="415"/>
      <c r="P30" s="415"/>
      <c r="Q30" s="80"/>
      <c r="R30" s="80"/>
      <c r="S30" s="80"/>
      <c r="T30" s="80"/>
      <c r="U30" s="53" t="s">
        <v>144</v>
      </c>
      <c r="V30" s="415"/>
      <c r="W30" s="415"/>
      <c r="X30" s="415"/>
      <c r="Y30" s="415"/>
      <c r="Z30" s="415"/>
      <c r="AA30" s="78"/>
      <c r="AB30" s="414"/>
      <c r="AC30" s="414"/>
      <c r="AD30" s="414"/>
      <c r="AE30" s="414"/>
      <c r="AF30" s="414"/>
      <c r="AG30" s="86"/>
    </row>
    <row r="31" spans="1:33" ht="54" hidden="1" customHeight="1">
      <c r="A31" s="422"/>
      <c r="B31" s="422"/>
      <c r="C31" s="437" t="s">
        <v>36</v>
      </c>
      <c r="D31" s="437"/>
      <c r="E31" s="437"/>
      <c r="F31" s="437"/>
      <c r="G31" s="437"/>
      <c r="H31" s="437"/>
      <c r="I31" s="437"/>
      <c r="J31" s="437"/>
      <c r="K31" s="437"/>
      <c r="L31" s="437"/>
      <c r="M31" s="437"/>
      <c r="N31" s="437"/>
      <c r="O31" s="437"/>
      <c r="P31" s="437"/>
      <c r="Q31" s="437"/>
      <c r="R31" s="437"/>
      <c r="S31" s="437"/>
      <c r="T31" s="437"/>
      <c r="U31" s="437"/>
      <c r="V31" s="95"/>
      <c r="W31" s="95"/>
      <c r="X31" s="95"/>
      <c r="Y31" s="95"/>
      <c r="Z31" s="95"/>
      <c r="AA31" s="95"/>
      <c r="AB31" s="414"/>
      <c r="AC31" s="414"/>
      <c r="AD31" s="414"/>
      <c r="AE31" s="414"/>
      <c r="AF31" s="414"/>
      <c r="AG31" s="86"/>
    </row>
    <row r="32" spans="1:33" ht="57" hidden="1" customHeight="1">
      <c r="A32" s="422"/>
      <c r="B32" s="422"/>
      <c r="C32" s="426" t="s">
        <v>37</v>
      </c>
      <c r="D32" s="426"/>
      <c r="E32" s="426"/>
      <c r="F32" s="426"/>
      <c r="G32" s="426"/>
      <c r="H32" s="423"/>
      <c r="I32" s="433"/>
      <c r="J32" s="426" t="s">
        <v>42</v>
      </c>
      <c r="K32" s="438" t="s">
        <v>142</v>
      </c>
      <c r="L32" s="439"/>
      <c r="M32" s="439"/>
      <c r="N32" s="439"/>
      <c r="O32" s="439"/>
      <c r="P32" s="439"/>
      <c r="Q32" s="440"/>
      <c r="R32" s="417"/>
      <c r="S32" s="426" t="s">
        <v>43</v>
      </c>
      <c r="T32" s="426"/>
      <c r="U32" s="426"/>
      <c r="V32" s="41"/>
      <c r="W32" s="96"/>
      <c r="X32" s="96"/>
      <c r="Y32" s="96"/>
      <c r="Z32" s="96"/>
      <c r="AA32" s="96"/>
      <c r="AB32" s="414"/>
      <c r="AC32" s="414"/>
      <c r="AD32" s="414"/>
      <c r="AE32" s="414"/>
      <c r="AF32" s="414"/>
      <c r="AG32" s="86"/>
    </row>
    <row r="33" spans="1:33" ht="32.25" hidden="1" customHeight="1">
      <c r="A33" s="93"/>
      <c r="B33" s="93"/>
      <c r="C33" s="426"/>
      <c r="D33" s="426"/>
      <c r="E33" s="426"/>
      <c r="F33" s="426"/>
      <c r="G33" s="426"/>
      <c r="H33" s="424"/>
      <c r="I33" s="434"/>
      <c r="J33" s="426"/>
      <c r="K33" s="441"/>
      <c r="L33" s="442"/>
      <c r="M33" s="442"/>
      <c r="N33" s="442"/>
      <c r="O33" s="442"/>
      <c r="P33" s="442"/>
      <c r="Q33" s="443"/>
      <c r="R33" s="418"/>
      <c r="S33" s="426"/>
      <c r="T33" s="426"/>
      <c r="U33" s="426"/>
      <c r="V33" s="41"/>
      <c r="W33" s="96"/>
      <c r="X33" s="96"/>
      <c r="Y33" s="96"/>
      <c r="Z33" s="96"/>
      <c r="AA33" s="96"/>
      <c r="AB33" s="414"/>
      <c r="AC33" s="414"/>
      <c r="AD33" s="414"/>
      <c r="AE33" s="414"/>
      <c r="AF33" s="414"/>
      <c r="AG33" s="86"/>
    </row>
    <row r="34" spans="1:33" ht="42" hidden="1" customHeight="1">
      <c r="A34" s="422"/>
      <c r="B34" s="422"/>
      <c r="C34" s="416" t="s">
        <v>44</v>
      </c>
      <c r="D34" s="416"/>
      <c r="E34" s="416"/>
      <c r="F34" s="416"/>
      <c r="G34" s="416"/>
      <c r="H34" s="416"/>
      <c r="I34" s="416"/>
      <c r="J34" s="416">
        <f>IFERROR(M34/I34,0)</f>
        <v>0</v>
      </c>
      <c r="K34" s="444"/>
      <c r="L34" s="445"/>
      <c r="M34" s="445"/>
      <c r="N34" s="445"/>
      <c r="O34" s="445"/>
      <c r="P34" s="445"/>
      <c r="Q34" s="446"/>
      <c r="R34" s="419"/>
      <c r="S34" s="435"/>
      <c r="T34" s="435"/>
      <c r="U34" s="435"/>
      <c r="V34" s="57"/>
      <c r="W34" s="95"/>
      <c r="X34" s="95"/>
      <c r="Y34" s="95"/>
      <c r="Z34" s="95"/>
      <c r="AA34" s="96"/>
      <c r="AB34" s="414"/>
      <c r="AC34" s="414"/>
      <c r="AD34" s="414"/>
      <c r="AE34" s="414"/>
      <c r="AF34" s="414"/>
      <c r="AG34" s="86"/>
    </row>
    <row r="35" spans="1:33" ht="39.75" hidden="1" customHeight="1">
      <c r="A35" s="422"/>
      <c r="B35" s="422"/>
      <c r="C35" s="416" t="s">
        <v>72</v>
      </c>
      <c r="D35" s="416"/>
      <c r="E35" s="416"/>
      <c r="F35" s="416"/>
      <c r="G35" s="416"/>
      <c r="H35" s="416"/>
      <c r="I35" s="416"/>
      <c r="J35" s="416">
        <f t="shared" ref="J35:J46" si="15">IFERROR(M35/I35,0)</f>
        <v>0</v>
      </c>
      <c r="K35" s="444"/>
      <c r="L35" s="445"/>
      <c r="M35" s="445"/>
      <c r="N35" s="445"/>
      <c r="O35" s="445"/>
      <c r="P35" s="445"/>
      <c r="Q35" s="446"/>
      <c r="R35" s="419"/>
      <c r="S35" s="435"/>
      <c r="T35" s="435"/>
      <c r="U35" s="435"/>
      <c r="V35" s="57"/>
      <c r="W35" s="95"/>
      <c r="X35" s="95"/>
      <c r="Y35" s="95"/>
      <c r="Z35" s="95"/>
      <c r="AA35" s="96"/>
      <c r="AB35" s="414"/>
      <c r="AC35" s="414"/>
      <c r="AD35" s="414"/>
      <c r="AE35" s="414"/>
      <c r="AF35" s="414"/>
      <c r="AG35" s="86"/>
    </row>
    <row r="36" spans="1:33" ht="38.25" hidden="1" customHeight="1">
      <c r="A36" s="422"/>
      <c r="B36" s="422"/>
      <c r="C36" s="416" t="s">
        <v>45</v>
      </c>
      <c r="D36" s="416"/>
      <c r="E36" s="416"/>
      <c r="F36" s="416"/>
      <c r="G36" s="416"/>
      <c r="H36" s="416"/>
      <c r="I36" s="416"/>
      <c r="J36" s="416">
        <f t="shared" si="15"/>
        <v>0</v>
      </c>
      <c r="K36" s="444"/>
      <c r="L36" s="445"/>
      <c r="M36" s="445"/>
      <c r="N36" s="445"/>
      <c r="O36" s="445"/>
      <c r="P36" s="445"/>
      <c r="Q36" s="446"/>
      <c r="R36" s="419"/>
      <c r="S36" s="435"/>
      <c r="T36" s="435"/>
      <c r="U36" s="435"/>
      <c r="V36" s="57"/>
      <c r="W36" s="95"/>
      <c r="X36" s="95"/>
      <c r="Y36" s="95"/>
      <c r="Z36" s="95"/>
      <c r="AA36" s="96"/>
      <c r="AB36" s="414"/>
      <c r="AC36" s="414"/>
      <c r="AD36" s="414"/>
      <c r="AE36" s="414"/>
      <c r="AF36" s="414"/>
      <c r="AG36" s="86"/>
    </row>
    <row r="37" spans="1:33" ht="42.75" hidden="1" customHeight="1">
      <c r="A37" s="422"/>
      <c r="B37" s="422"/>
      <c r="C37" s="31"/>
      <c r="D37" s="416"/>
      <c r="E37" s="416"/>
      <c r="F37" s="416"/>
      <c r="G37" s="416"/>
      <c r="H37" s="416"/>
      <c r="I37" s="416"/>
      <c r="J37" s="416">
        <f t="shared" si="15"/>
        <v>0</v>
      </c>
      <c r="K37" s="444"/>
      <c r="L37" s="445"/>
      <c r="M37" s="445"/>
      <c r="N37" s="445"/>
      <c r="O37" s="445"/>
      <c r="P37" s="445"/>
      <c r="Q37" s="446"/>
      <c r="R37" s="419"/>
      <c r="S37" s="427"/>
      <c r="T37" s="427"/>
      <c r="U37" s="427"/>
      <c r="V37" s="41"/>
      <c r="W37" s="96"/>
      <c r="X37" s="96"/>
      <c r="Y37" s="96"/>
      <c r="Z37" s="96"/>
      <c r="AA37" s="96"/>
      <c r="AB37" s="414"/>
      <c r="AC37" s="414"/>
      <c r="AD37" s="414"/>
      <c r="AE37" s="414"/>
      <c r="AF37" s="414"/>
      <c r="AG37" s="86"/>
    </row>
    <row r="38" spans="1:33" ht="48.75" hidden="1" customHeight="1">
      <c r="A38" s="422"/>
      <c r="B38" s="422"/>
      <c r="C38" s="416" t="s">
        <v>47</v>
      </c>
      <c r="D38" s="416"/>
      <c r="E38" s="416"/>
      <c r="F38" s="416"/>
      <c r="G38" s="416"/>
      <c r="H38" s="416"/>
      <c r="I38" s="420"/>
      <c r="J38" s="416">
        <f t="shared" si="15"/>
        <v>0</v>
      </c>
      <c r="K38" s="444"/>
      <c r="L38" s="445"/>
      <c r="M38" s="445"/>
      <c r="N38" s="445"/>
      <c r="O38" s="445"/>
      <c r="P38" s="445"/>
      <c r="Q38" s="446"/>
      <c r="R38" s="419"/>
      <c r="S38" s="435"/>
      <c r="T38" s="435"/>
      <c r="U38" s="435"/>
      <c r="V38" s="57"/>
      <c r="W38" s="95"/>
      <c r="X38" s="95"/>
      <c r="Y38" s="95"/>
      <c r="Z38" s="95"/>
      <c r="AA38" s="96"/>
      <c r="AB38" s="414"/>
      <c r="AC38" s="414"/>
      <c r="AD38" s="414"/>
      <c r="AE38" s="414"/>
      <c r="AF38" s="414"/>
      <c r="AG38" s="86"/>
    </row>
    <row r="39" spans="1:33" ht="52.5" hidden="1" customHeight="1">
      <c r="A39" s="20"/>
      <c r="B39" s="20"/>
      <c r="C39" s="416" t="s">
        <v>48</v>
      </c>
      <c r="D39" s="416"/>
      <c r="E39" s="416"/>
      <c r="F39" s="416"/>
      <c r="G39" s="416"/>
      <c r="H39" s="416"/>
      <c r="I39" s="416"/>
      <c r="J39" s="416">
        <f t="shared" si="15"/>
        <v>0</v>
      </c>
      <c r="K39" s="444"/>
      <c r="L39" s="445"/>
      <c r="M39" s="445"/>
      <c r="N39" s="445"/>
      <c r="O39" s="445"/>
      <c r="P39" s="445"/>
      <c r="Q39" s="446"/>
      <c r="R39" s="419"/>
      <c r="S39" s="427"/>
      <c r="T39" s="427"/>
      <c r="U39" s="427"/>
      <c r="V39" s="41"/>
      <c r="W39" s="96"/>
      <c r="X39" s="96"/>
      <c r="Y39" s="96"/>
      <c r="Z39" s="96"/>
      <c r="AA39" s="96"/>
      <c r="AB39" s="414"/>
      <c r="AC39" s="414"/>
      <c r="AD39" s="414"/>
      <c r="AE39" s="414"/>
      <c r="AF39" s="414"/>
      <c r="AG39" s="86"/>
    </row>
    <row r="40" spans="1:33" ht="39.75" hidden="1" customHeight="1">
      <c r="A40" s="20"/>
      <c r="B40" s="20"/>
      <c r="C40" s="416" t="s">
        <v>35</v>
      </c>
      <c r="D40" s="416"/>
      <c r="E40" s="416"/>
      <c r="F40" s="416"/>
      <c r="G40" s="416"/>
      <c r="H40" s="416"/>
      <c r="I40" s="420"/>
      <c r="J40" s="416">
        <f t="shared" si="15"/>
        <v>0</v>
      </c>
      <c r="K40" s="444"/>
      <c r="L40" s="445"/>
      <c r="M40" s="445"/>
      <c r="N40" s="445"/>
      <c r="O40" s="445"/>
      <c r="P40" s="445"/>
      <c r="Q40" s="446"/>
      <c r="R40" s="419"/>
      <c r="S40" s="436"/>
      <c r="T40" s="436"/>
      <c r="U40" s="436"/>
      <c r="V40" s="58"/>
      <c r="W40" s="101"/>
      <c r="X40" s="101"/>
      <c r="Y40" s="101"/>
      <c r="Z40" s="101"/>
      <c r="AA40" s="96"/>
      <c r="AB40" s="414"/>
      <c r="AC40" s="414"/>
      <c r="AD40" s="414"/>
      <c r="AE40" s="414"/>
      <c r="AF40" s="414"/>
      <c r="AG40" s="86"/>
    </row>
    <row r="41" spans="1:33" ht="31.5" hidden="1" customHeight="1">
      <c r="A41" s="20"/>
      <c r="B41" s="20"/>
      <c r="C41" s="416"/>
      <c r="D41" s="416"/>
      <c r="E41" s="416"/>
      <c r="F41" s="416"/>
      <c r="G41" s="416"/>
      <c r="H41" s="416"/>
      <c r="I41" s="420"/>
      <c r="J41" s="416">
        <f t="shared" si="15"/>
        <v>0</v>
      </c>
      <c r="K41" s="444"/>
      <c r="L41" s="445"/>
      <c r="M41" s="445"/>
      <c r="N41" s="445"/>
      <c r="O41" s="445"/>
      <c r="P41" s="445"/>
      <c r="Q41" s="446"/>
      <c r="R41" s="419"/>
      <c r="S41" s="436"/>
      <c r="T41" s="436"/>
      <c r="U41" s="436"/>
      <c r="V41" s="58"/>
      <c r="W41" s="101"/>
      <c r="X41" s="101"/>
      <c r="Y41" s="101"/>
      <c r="Z41" s="101"/>
      <c r="AA41" s="96"/>
      <c r="AB41" s="414"/>
      <c r="AC41" s="414"/>
      <c r="AD41" s="414"/>
      <c r="AE41" s="414"/>
      <c r="AF41" s="414"/>
      <c r="AG41" s="86"/>
    </row>
    <row r="42" spans="1:33" ht="36" hidden="1" customHeight="1">
      <c r="A42" s="20"/>
      <c r="B42" s="20"/>
      <c r="C42" s="416" t="s">
        <v>50</v>
      </c>
      <c r="D42" s="416"/>
      <c r="E42" s="416"/>
      <c r="F42" s="416"/>
      <c r="G42" s="416"/>
      <c r="H42" s="416"/>
      <c r="I42" s="416"/>
      <c r="J42" s="416">
        <f t="shared" si="15"/>
        <v>0</v>
      </c>
      <c r="K42" s="444"/>
      <c r="L42" s="445"/>
      <c r="M42" s="445"/>
      <c r="N42" s="445"/>
      <c r="O42" s="445"/>
      <c r="P42" s="445"/>
      <c r="Q42" s="446"/>
      <c r="R42" s="419"/>
      <c r="S42" s="427"/>
      <c r="T42" s="427"/>
      <c r="U42" s="427"/>
      <c r="V42" s="41"/>
      <c r="W42" s="96"/>
      <c r="X42" s="96"/>
      <c r="Y42" s="96"/>
      <c r="Z42" s="96"/>
      <c r="AA42" s="96"/>
      <c r="AB42" s="87"/>
      <c r="AC42" s="87"/>
      <c r="AD42" s="87"/>
      <c r="AE42" s="87"/>
      <c r="AF42" s="87"/>
      <c r="AG42" s="86"/>
    </row>
    <row r="43" spans="1:33" ht="39.75" hidden="1" customHeight="1">
      <c r="A43" s="21"/>
      <c r="B43" s="21"/>
      <c r="C43" s="416" t="s">
        <v>51</v>
      </c>
      <c r="D43" s="416"/>
      <c r="E43" s="416"/>
      <c r="F43" s="416"/>
      <c r="G43" s="416"/>
      <c r="H43" s="416"/>
      <c r="I43" s="416"/>
      <c r="J43" s="416">
        <f t="shared" si="15"/>
        <v>0</v>
      </c>
      <c r="K43" s="444"/>
      <c r="L43" s="445"/>
      <c r="M43" s="445"/>
      <c r="N43" s="445"/>
      <c r="O43" s="445"/>
      <c r="P43" s="445"/>
      <c r="Q43" s="446"/>
      <c r="R43" s="419"/>
      <c r="S43" s="427"/>
      <c r="T43" s="427"/>
      <c r="U43" s="427"/>
      <c r="V43" s="41"/>
      <c r="W43" s="96"/>
      <c r="X43" s="96"/>
      <c r="Y43" s="96"/>
      <c r="Z43" s="96"/>
      <c r="AA43" s="96"/>
      <c r="AB43" s="87"/>
      <c r="AC43" s="87"/>
      <c r="AD43" s="87"/>
      <c r="AE43" s="87"/>
      <c r="AF43" s="87"/>
      <c r="AG43" s="86"/>
    </row>
    <row r="44" spans="1:33" ht="46.5" hidden="1" customHeight="1">
      <c r="A44" s="22"/>
      <c r="B44" s="22"/>
      <c r="C44" s="421" t="s">
        <v>49</v>
      </c>
      <c r="D44" s="416"/>
      <c r="E44" s="416"/>
      <c r="F44" s="416"/>
      <c r="G44" s="416"/>
      <c r="H44" s="416"/>
      <c r="I44" s="420"/>
      <c r="J44" s="416">
        <f t="shared" si="15"/>
        <v>0</v>
      </c>
      <c r="K44" s="444"/>
      <c r="L44" s="445"/>
      <c r="M44" s="445"/>
      <c r="N44" s="445"/>
      <c r="O44" s="445"/>
      <c r="P44" s="445"/>
      <c r="Q44" s="446"/>
      <c r="R44" s="419"/>
      <c r="S44" s="428"/>
      <c r="T44" s="428"/>
      <c r="U44" s="428"/>
      <c r="V44" s="57"/>
      <c r="W44" s="95"/>
      <c r="X44" s="95"/>
      <c r="Y44" s="95"/>
      <c r="Z44" s="95"/>
      <c r="AA44" s="26"/>
      <c r="AB44" s="86"/>
      <c r="AC44" s="86"/>
      <c r="AD44" s="86"/>
      <c r="AE44" s="86"/>
      <c r="AF44" s="86"/>
      <c r="AG44" s="86"/>
    </row>
    <row r="45" spans="1:33" ht="46.5" hidden="1" customHeight="1">
      <c r="A45" s="22"/>
      <c r="B45" s="22"/>
      <c r="C45" s="421" t="s">
        <v>52</v>
      </c>
      <c r="D45" s="416"/>
      <c r="E45" s="416"/>
      <c r="F45" s="416"/>
      <c r="G45" s="416"/>
      <c r="H45" s="416"/>
      <c r="I45" s="416"/>
      <c r="J45" s="416">
        <f t="shared" si="15"/>
        <v>0</v>
      </c>
      <c r="K45" s="444"/>
      <c r="L45" s="445"/>
      <c r="M45" s="445"/>
      <c r="N45" s="445"/>
      <c r="O45" s="445"/>
      <c r="P45" s="445"/>
      <c r="Q45" s="446"/>
      <c r="R45" s="419"/>
      <c r="S45" s="427"/>
      <c r="T45" s="427"/>
      <c r="U45" s="427"/>
      <c r="V45" s="41"/>
      <c r="W45" s="96"/>
      <c r="X45" s="96"/>
      <c r="Y45" s="96"/>
      <c r="Z45" s="96"/>
      <c r="AA45" s="26"/>
      <c r="AB45" s="86"/>
      <c r="AC45" s="86"/>
      <c r="AD45" s="86"/>
      <c r="AE45" s="86"/>
      <c r="AF45" s="86"/>
      <c r="AG45" s="86"/>
    </row>
    <row r="46" spans="1:33" ht="39" hidden="1" customHeight="1">
      <c r="A46" s="90"/>
      <c r="B46" s="90"/>
      <c r="C46" s="421" t="s">
        <v>53</v>
      </c>
      <c r="D46" s="416"/>
      <c r="E46" s="416"/>
      <c r="F46" s="416"/>
      <c r="G46" s="416"/>
      <c r="H46" s="416"/>
      <c r="I46" s="416"/>
      <c r="J46" s="416">
        <f t="shared" si="15"/>
        <v>0</v>
      </c>
      <c r="K46" s="444"/>
      <c r="L46" s="445"/>
      <c r="M46" s="445"/>
      <c r="N46" s="445"/>
      <c r="O46" s="445"/>
      <c r="P46" s="445"/>
      <c r="Q46" s="446"/>
      <c r="R46" s="419"/>
      <c r="S46" s="427"/>
      <c r="T46" s="427"/>
      <c r="U46" s="427"/>
      <c r="V46" s="41"/>
      <c r="W46" s="96"/>
      <c r="X46" s="96"/>
      <c r="Y46" s="96"/>
      <c r="Z46" s="96"/>
      <c r="AA46" s="96"/>
      <c r="AB46" s="86"/>
      <c r="AC46" s="86"/>
      <c r="AD46" s="86"/>
      <c r="AE46" s="86"/>
      <c r="AF46" s="86"/>
      <c r="AG46" s="86"/>
    </row>
    <row r="47" spans="1:33">
      <c r="D47" s="16"/>
      <c r="AB47" s="77"/>
    </row>
    <row r="48" spans="1:33">
      <c r="D48" s="16"/>
      <c r="AB48" s="77"/>
    </row>
    <row r="49" spans="3:28" ht="20.25">
      <c r="C49" s="447" t="s">
        <v>206</v>
      </c>
      <c r="D49" s="448"/>
      <c r="E49" s="448"/>
      <c r="F49" s="448"/>
      <c r="G49" s="448"/>
      <c r="H49" s="448"/>
      <c r="I49" s="448"/>
      <c r="J49" s="449"/>
      <c r="K49" s="447" t="s">
        <v>207</v>
      </c>
      <c r="L49" s="448"/>
      <c r="M49" s="448"/>
      <c r="N49" s="448"/>
      <c r="O49" s="448"/>
      <c r="P49" s="448"/>
      <c r="Q49" s="448"/>
      <c r="R49" s="448"/>
      <c r="S49" s="449"/>
      <c r="AB49" s="77"/>
    </row>
    <row r="50" spans="3:28" ht="20.25">
      <c r="C50" s="447" t="s">
        <v>208</v>
      </c>
      <c r="D50" s="448"/>
      <c r="E50" s="448"/>
      <c r="F50" s="448"/>
      <c r="G50" s="448"/>
      <c r="H50" s="448"/>
      <c r="I50" s="448"/>
      <c r="J50" s="449"/>
      <c r="K50" s="447" t="s">
        <v>209</v>
      </c>
      <c r="L50" s="448"/>
      <c r="M50" s="448"/>
      <c r="N50" s="448"/>
      <c r="O50" s="448"/>
      <c r="P50" s="448"/>
      <c r="Q50" s="448"/>
      <c r="R50" s="448"/>
      <c r="S50" s="449"/>
      <c r="AB50" s="77"/>
    </row>
    <row r="51" spans="3:28" ht="20.25">
      <c r="C51" s="447" t="s">
        <v>210</v>
      </c>
      <c r="D51" s="448"/>
      <c r="E51" s="448"/>
      <c r="F51" s="448"/>
      <c r="G51" s="448"/>
      <c r="H51" s="448"/>
      <c r="I51" s="448"/>
      <c r="J51" s="449"/>
      <c r="K51" s="447" t="s">
        <v>211</v>
      </c>
      <c r="L51" s="448"/>
      <c r="M51" s="448"/>
      <c r="N51" s="448"/>
      <c r="O51" s="448"/>
      <c r="P51" s="448"/>
      <c r="Q51" s="448"/>
      <c r="R51" s="448"/>
      <c r="S51" s="449"/>
      <c r="AB51" s="77"/>
    </row>
    <row r="52" spans="3:28">
      <c r="D52" s="91"/>
      <c r="AB52" s="77"/>
    </row>
    <row r="53" spans="3:28">
      <c r="D53" s="91"/>
      <c r="AB53" s="77"/>
    </row>
    <row r="54" spans="3:28" ht="15.75">
      <c r="D54" s="92"/>
      <c r="AB54" s="77"/>
    </row>
    <row r="55" spans="3:28">
      <c r="D55" s="86"/>
      <c r="AB55" s="77"/>
    </row>
  </sheetData>
  <mergeCells count="50">
    <mergeCell ref="C50:J50"/>
    <mergeCell ref="K50:S50"/>
    <mergeCell ref="C51:J51"/>
    <mergeCell ref="K51:S51"/>
    <mergeCell ref="K45:Q45"/>
    <mergeCell ref="S45:U45"/>
    <mergeCell ref="K46:Q46"/>
    <mergeCell ref="S46:U46"/>
    <mergeCell ref="C49:J49"/>
    <mergeCell ref="K49:S49"/>
    <mergeCell ref="K42:Q42"/>
    <mergeCell ref="S42:U42"/>
    <mergeCell ref="K43:Q43"/>
    <mergeCell ref="S43:U43"/>
    <mergeCell ref="K44:Q44"/>
    <mergeCell ref="S44:U44"/>
    <mergeCell ref="K39:Q39"/>
    <mergeCell ref="S39:U39"/>
    <mergeCell ref="K40:Q40"/>
    <mergeCell ref="S40:U40"/>
    <mergeCell ref="K41:Q41"/>
    <mergeCell ref="S41:U41"/>
    <mergeCell ref="K36:Q36"/>
    <mergeCell ref="S36:U36"/>
    <mergeCell ref="K37:Q37"/>
    <mergeCell ref="S37:U37"/>
    <mergeCell ref="K38:Q38"/>
    <mergeCell ref="S38:U38"/>
    <mergeCell ref="K32:Q33"/>
    <mergeCell ref="S32:U33"/>
    <mergeCell ref="K34:Q34"/>
    <mergeCell ref="S34:U34"/>
    <mergeCell ref="K35:Q35"/>
    <mergeCell ref="S35:U35"/>
    <mergeCell ref="AA6:AG6"/>
    <mergeCell ref="A16:AG16"/>
    <mergeCell ref="C31:U31"/>
    <mergeCell ref="C32:C33"/>
    <mergeCell ref="D32:D33"/>
    <mergeCell ref="E32:E33"/>
    <mergeCell ref="F32:F33"/>
    <mergeCell ref="G32:G33"/>
    <mergeCell ref="I32:I33"/>
    <mergeCell ref="J32:J33"/>
    <mergeCell ref="A1:B4"/>
    <mergeCell ref="C1:AA4"/>
    <mergeCell ref="AB1:AG1"/>
    <mergeCell ref="AB2:AG2"/>
    <mergeCell ref="AB3:AG3"/>
    <mergeCell ref="AB4:AG4"/>
  </mergeCells>
  <conditionalFormatting sqref="AG8:AG15">
    <cfRule type="containsText" dxfId="9" priority="9" operator="containsText" text="WARNING">
      <formula>NOT(ISERROR(SEARCH("WARNING",AG8)))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L11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G17:AG29">
    <cfRule type="containsText" dxfId="8" priority="7" operator="containsText" text="WARNING">
      <formula>NOT(ISERROR(SEARCH("WARNING",AG17)))</formula>
    </cfRule>
  </conditionalFormatting>
  <conditionalFormatting sqref="AG17">
    <cfRule type="containsText" dxfId="7" priority="5" operator="containsText" text="WARNING">
      <formula>NOT(ISERROR(SEARCH("WARNING",AG17)))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G18:AG19">
    <cfRule type="containsText" dxfId="6" priority="3" operator="containsText" text="WARNING">
      <formula>NOT(ISERROR(SEARCH("WARNING",AG18)))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G20">
    <cfRule type="containsText" dxfId="5" priority="1" operator="containsText" text="WARNING">
      <formula>NOT(ISERROR(SEARCH("WARNING",AG20)))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8:D15 D34:D46 D17:D29">
      <formula1>pieces</formula1>
    </dataValidation>
    <dataValidation type="list" allowBlank="1" showInputMessage="1" showErrorMessage="1" sqref="G34:H46 I47:I48 I52:I53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8" orientation="landscape" verticalDpi="1200" r:id="rId1"/>
  <colBreaks count="1" manualBreakCount="1">
    <brk id="20" max="58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MODELE</vt:lpstr>
      <vt:lpstr>Pieces</vt:lpstr>
      <vt:lpstr>BDD</vt:lpstr>
      <vt:lpstr>09-09-19</vt:lpstr>
      <vt:lpstr>02-09-19</vt:lpstr>
      <vt:lpstr>BDD</vt:lpstr>
      <vt:lpstr>'02-09-19'!Zone_d_impression</vt:lpstr>
      <vt:lpstr>'09-09-19'!Zone_d_impression</vt:lpstr>
      <vt:lpstr>BDD!Zone_d_impression</vt:lpstr>
      <vt:lpstr>MODELE!Zone_d_impression</vt:lpstr>
      <vt:lpstr>Pieces!Zone_d_impression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TOSHIBA</cp:lastModifiedBy>
  <cp:lastPrinted>2019-07-22T12:45:35Z</cp:lastPrinted>
  <dcterms:created xsi:type="dcterms:W3CDTF">2015-08-23T01:22:56Z</dcterms:created>
  <dcterms:modified xsi:type="dcterms:W3CDTF">2019-09-12T12:55:12Z</dcterms:modified>
</cp:coreProperties>
</file>