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bookViews>
    <workbookView xWindow="0" yWindow="0" windowWidth="20490" windowHeight="790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11" i="1" l="1"/>
  <c r="E111" i="1"/>
  <c r="X110" i="1"/>
  <c r="E110" i="1"/>
  <c r="Y108" i="1"/>
  <c r="AA108" i="1" s="1"/>
  <c r="F108" i="1"/>
  <c r="H108" i="1" s="1"/>
  <c r="AI106" i="1"/>
  <c r="AJ106" i="1" s="1"/>
  <c r="AA106" i="1"/>
  <c r="Y106" i="1"/>
  <c r="P106" i="1"/>
  <c r="Q106" i="1" s="1"/>
  <c r="F106" i="1"/>
  <c r="H106" i="1" s="1"/>
  <c r="E106" i="1"/>
  <c r="A106" i="1"/>
  <c r="AI105" i="1"/>
  <c r="AJ105" i="1" s="1"/>
  <c r="AA105" i="1"/>
  <c r="Y105" i="1"/>
  <c r="P105" i="1"/>
  <c r="Q105" i="1" s="1"/>
  <c r="F105" i="1"/>
  <c r="H105" i="1" s="1"/>
  <c r="E105" i="1"/>
  <c r="A105" i="1"/>
  <c r="AI104" i="1"/>
  <c r="AJ104" i="1" s="1"/>
  <c r="T104" i="1"/>
  <c r="Q104" i="1"/>
  <c r="P104" i="1"/>
  <c r="A104" i="1"/>
  <c r="AJ100" i="1"/>
  <c r="V104" i="1" s="1"/>
  <c r="Y104" i="1" s="1"/>
  <c r="AA104" i="1" s="1"/>
  <c r="AE100" i="1"/>
  <c r="Y100" i="1"/>
  <c r="Q100" i="1"/>
  <c r="C104" i="1" s="1"/>
  <c r="F104" i="1" s="1"/>
  <c r="H104" i="1" s="1"/>
  <c r="L100" i="1"/>
  <c r="F100" i="1"/>
  <c r="AJ98" i="1"/>
  <c r="Q98" i="1"/>
  <c r="AJ97" i="1"/>
  <c r="Q97" i="1"/>
  <c r="AJ96" i="1"/>
  <c r="Q96" i="1"/>
  <c r="AJ93" i="1"/>
  <c r="Q93" i="1"/>
  <c r="AJ92" i="1"/>
  <c r="Q92" i="1"/>
  <c r="AJ90" i="1"/>
  <c r="Q90" i="1"/>
  <c r="AJ89" i="1"/>
  <c r="Q89" i="1"/>
  <c r="AJ88" i="1"/>
  <c r="Q88" i="1"/>
  <c r="AJ87" i="1"/>
  <c r="Q87" i="1"/>
  <c r="AJ86" i="1"/>
  <c r="Q86" i="1"/>
  <c r="AJ85" i="1"/>
  <c r="Q85" i="1"/>
  <c r="AJ84" i="1"/>
  <c r="T84" i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Y84" i="1" s="1"/>
  <c r="Q84" i="1"/>
  <c r="A84" i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F84" i="1" s="1"/>
  <c r="AJ83" i="1"/>
  <c r="Q83" i="1"/>
  <c r="AE81" i="1"/>
  <c r="V81" i="1"/>
  <c r="L81" i="1"/>
  <c r="C81" i="1"/>
  <c r="Z80" i="1"/>
  <c r="G80" i="1"/>
  <c r="AJ78" i="1"/>
  <c r="Q78" i="1"/>
  <c r="AJ77" i="1"/>
  <c r="Q77" i="1"/>
  <c r="X73" i="1"/>
  <c r="E73" i="1"/>
  <c r="X72" i="1"/>
  <c r="E72" i="1"/>
  <c r="AI70" i="1"/>
  <c r="AJ53" i="1" s="1"/>
  <c r="Y70" i="1"/>
  <c r="AA70" i="1" s="1"/>
  <c r="Q70" i="1"/>
  <c r="P70" i="1"/>
  <c r="Q53" i="1" s="1"/>
  <c r="F70" i="1"/>
  <c r="H70" i="1" s="1"/>
  <c r="AJ68" i="1"/>
  <c r="AI68" i="1"/>
  <c r="Y68" i="1"/>
  <c r="AA68" i="1" s="1"/>
  <c r="X68" i="1"/>
  <c r="T68" i="1"/>
  <c r="P68" i="1"/>
  <c r="Q68" i="1" s="1"/>
  <c r="F68" i="1"/>
  <c r="AJ67" i="1"/>
  <c r="AI67" i="1"/>
  <c r="Y67" i="1"/>
  <c r="AA67" i="1" s="1"/>
  <c r="X67" i="1"/>
  <c r="T67" i="1"/>
  <c r="P67" i="1"/>
  <c r="Q67" i="1" s="1"/>
  <c r="F67" i="1"/>
  <c r="AJ66" i="1"/>
  <c r="AI66" i="1"/>
  <c r="T66" i="1"/>
  <c r="P66" i="1"/>
  <c r="Q66" i="1" s="1"/>
  <c r="A66" i="1"/>
  <c r="AJ62" i="1"/>
  <c r="V66" i="1" s="1"/>
  <c r="Y66" i="1" s="1"/>
  <c r="AA66" i="1" s="1"/>
  <c r="AE62" i="1"/>
  <c r="Y62" i="1"/>
  <c r="Q62" i="1"/>
  <c r="L62" i="1"/>
  <c r="F62" i="1"/>
  <c r="AJ60" i="1"/>
  <c r="Q60" i="1"/>
  <c r="AJ59" i="1"/>
  <c r="Q59" i="1"/>
  <c r="AJ58" i="1"/>
  <c r="Q58" i="1"/>
  <c r="AJ55" i="1"/>
  <c r="Q55" i="1"/>
  <c r="AJ54" i="1"/>
  <c r="Q54" i="1"/>
  <c r="AJ52" i="1"/>
  <c r="Q52" i="1"/>
  <c r="AJ51" i="1"/>
  <c r="Q51" i="1"/>
  <c r="AJ50" i="1"/>
  <c r="Q50" i="1"/>
  <c r="AJ49" i="1"/>
  <c r="Q49" i="1"/>
  <c r="AJ48" i="1"/>
  <c r="T48" i="1"/>
  <c r="T49" i="1" s="1"/>
  <c r="T50" i="1" s="1"/>
  <c r="T51" i="1" s="1"/>
  <c r="T52" i="1" s="1"/>
  <c r="T53" i="1" s="1"/>
  <c r="T54" i="1" s="1"/>
  <c r="T55" i="1" s="1"/>
  <c r="T56" i="1" s="1"/>
  <c r="Y46" i="1" s="1"/>
  <c r="Q48" i="1"/>
  <c r="AJ47" i="1"/>
  <c r="Q47" i="1"/>
  <c r="AJ46" i="1"/>
  <c r="T46" i="1"/>
  <c r="T47" i="1" s="1"/>
  <c r="Q46" i="1"/>
  <c r="A46" i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F46" i="1" s="1"/>
  <c r="AJ45" i="1"/>
  <c r="Q45" i="1"/>
  <c r="AE43" i="1"/>
  <c r="V43" i="1"/>
  <c r="L43" i="1"/>
  <c r="C43" i="1"/>
  <c r="Z42" i="1"/>
  <c r="G42" i="1"/>
  <c r="AJ40" i="1"/>
  <c r="Q40" i="1"/>
  <c r="AJ39" i="1"/>
  <c r="Q39" i="1"/>
  <c r="X35" i="1"/>
  <c r="E35" i="1"/>
  <c r="X34" i="1"/>
  <c r="E34" i="1"/>
  <c r="AA32" i="1"/>
  <c r="Y32" i="1"/>
  <c r="F32" i="1"/>
  <c r="H32" i="1" s="1"/>
  <c r="AJ30" i="1"/>
  <c r="AI30" i="1"/>
  <c r="Y30" i="1"/>
  <c r="Q30" i="1"/>
  <c r="P30" i="1"/>
  <c r="H30" i="1"/>
  <c r="F30" i="1"/>
  <c r="E30" i="1"/>
  <c r="A30" i="1"/>
  <c r="AJ29" i="1"/>
  <c r="AI29" i="1"/>
  <c r="AA29" i="1"/>
  <c r="Y29" i="1"/>
  <c r="P29" i="1"/>
  <c r="Q29" i="1" s="1"/>
  <c r="H29" i="1"/>
  <c r="F29" i="1"/>
  <c r="E29" i="1"/>
  <c r="A29" i="1"/>
  <c r="AJ28" i="1"/>
  <c r="AI28" i="1"/>
  <c r="AI32" i="1" s="1"/>
  <c r="AJ32" i="1" s="1"/>
  <c r="T28" i="1"/>
  <c r="Q28" i="1"/>
  <c r="P28" i="1"/>
  <c r="A28" i="1"/>
  <c r="AJ24" i="1"/>
  <c r="AE24" i="1"/>
  <c r="Y24" i="1"/>
  <c r="Q24" i="1"/>
  <c r="C28" i="1" s="1"/>
  <c r="F28" i="1" s="1"/>
  <c r="H28" i="1" s="1"/>
  <c r="L24" i="1"/>
  <c r="F24" i="1"/>
  <c r="AJ22" i="1"/>
  <c r="Q22" i="1"/>
  <c r="AJ21" i="1"/>
  <c r="Q21" i="1"/>
  <c r="AJ20" i="1"/>
  <c r="Q20" i="1"/>
  <c r="AJ17" i="1"/>
  <c r="Q17" i="1"/>
  <c r="AJ16" i="1"/>
  <c r="Q16" i="1"/>
  <c r="AJ15" i="1"/>
  <c r="AJ14" i="1"/>
  <c r="Q14" i="1"/>
  <c r="AJ13" i="1"/>
  <c r="Q13" i="1"/>
  <c r="AJ12" i="1"/>
  <c r="Q12" i="1"/>
  <c r="AJ11" i="1"/>
  <c r="Q11" i="1"/>
  <c r="AJ10" i="1"/>
  <c r="Q10" i="1"/>
  <c r="AJ9" i="1"/>
  <c r="Q9" i="1"/>
  <c r="AJ8" i="1"/>
  <c r="T8" i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Y8" i="1" s="1"/>
  <c r="Q8" i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F8" i="1" s="1"/>
  <c r="AJ7" i="1"/>
  <c r="Q7" i="1"/>
  <c r="AE5" i="1"/>
  <c r="V5" i="1"/>
  <c r="L5" i="1"/>
  <c r="C5" i="1"/>
  <c r="Z4" i="1"/>
  <c r="G4" i="1"/>
  <c r="AJ2" i="1"/>
  <c r="Q2" i="1"/>
  <c r="AJ1" i="1"/>
  <c r="Q1" i="1"/>
  <c r="Y47" i="1" l="1"/>
  <c r="Y48" i="1" s="1"/>
  <c r="Y49" i="1" s="1"/>
  <c r="Y50" i="1" s="1"/>
  <c r="Y51" i="1" s="1"/>
  <c r="Y52" i="1" s="1"/>
  <c r="Y53" i="1" s="1"/>
  <c r="Y54" i="1" s="1"/>
  <c r="Y55" i="1" s="1"/>
  <c r="AD46" i="1" s="1"/>
  <c r="AD47" i="1" s="1"/>
  <c r="AD48" i="1" s="1"/>
  <c r="AD49" i="1" s="1"/>
  <c r="AD50" i="1" s="1"/>
  <c r="AD51" i="1" s="1"/>
  <c r="AD52" i="1" s="1"/>
  <c r="AD53" i="1" s="1"/>
  <c r="AD54" i="1" s="1"/>
  <c r="AD55" i="1" s="1"/>
  <c r="F9" i="1"/>
  <c r="F10" i="1" s="1"/>
  <c r="F11" i="1" s="1"/>
  <c r="F12" i="1" s="1"/>
  <c r="F13" i="1" s="1"/>
  <c r="F14" i="1" s="1"/>
  <c r="F15" i="1" s="1"/>
  <c r="F16" i="1" s="1"/>
  <c r="F1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E57" i="1"/>
  <c r="C60" i="1"/>
  <c r="B57" i="1"/>
  <c r="N57" i="1"/>
  <c r="I60" i="1"/>
  <c r="J57" i="1"/>
  <c r="F47" i="1"/>
  <c r="F48" i="1" s="1"/>
  <c r="F49" i="1" s="1"/>
  <c r="F50" i="1" s="1"/>
  <c r="F51" i="1" s="1"/>
  <c r="F52" i="1" s="1"/>
  <c r="F53" i="1" s="1"/>
  <c r="F54" i="1" s="1"/>
  <c r="F5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Y9" i="1"/>
  <c r="Y10" i="1" s="1"/>
  <c r="Y11" i="1" s="1"/>
  <c r="Y12" i="1" s="1"/>
  <c r="Y13" i="1" s="1"/>
  <c r="Y14" i="1" s="1"/>
  <c r="Y15" i="1" s="1"/>
  <c r="Y16" i="1" s="1"/>
  <c r="Y17" i="1" s="1"/>
  <c r="AD8" i="1" s="1"/>
  <c r="V28" i="1"/>
  <c r="Y28" i="1" s="1"/>
  <c r="AA28" i="1" s="1"/>
  <c r="X29" i="1"/>
  <c r="T29" i="1"/>
  <c r="F85" i="1"/>
  <c r="F86" i="1" s="1"/>
  <c r="F87" i="1" s="1"/>
  <c r="F88" i="1" s="1"/>
  <c r="F89" i="1" s="1"/>
  <c r="F90" i="1" s="1"/>
  <c r="F91" i="1" s="1"/>
  <c r="F92" i="1" s="1"/>
  <c r="F93" i="1" s="1"/>
  <c r="K84" i="1" s="1"/>
  <c r="P108" i="1"/>
  <c r="X30" i="1"/>
  <c r="T30" i="1"/>
  <c r="C66" i="1"/>
  <c r="F66" i="1" s="1"/>
  <c r="H66" i="1" s="1"/>
  <c r="E67" i="1"/>
  <c r="A67" i="1"/>
  <c r="E68" i="1"/>
  <c r="A68" i="1"/>
  <c r="P32" i="1"/>
  <c r="AA30" i="1"/>
  <c r="H67" i="1"/>
  <c r="H68" i="1"/>
  <c r="AJ70" i="1"/>
  <c r="Y85" i="1"/>
  <c r="Y86" i="1" s="1"/>
  <c r="Y87" i="1" s="1"/>
  <c r="Y88" i="1" s="1"/>
  <c r="Y89" i="1" s="1"/>
  <c r="Y90" i="1" s="1"/>
  <c r="Y91" i="1" s="1"/>
  <c r="Y92" i="1" s="1"/>
  <c r="Y93" i="1" s="1"/>
  <c r="AD84" i="1" s="1"/>
  <c r="X105" i="1"/>
  <c r="T105" i="1"/>
  <c r="X106" i="1"/>
  <c r="T106" i="1"/>
  <c r="AI108" i="1"/>
  <c r="AJ108" i="1" l="1"/>
  <c r="AJ91" i="1"/>
  <c r="I22" i="1"/>
  <c r="Q32" i="1"/>
  <c r="Q15" i="1"/>
  <c r="Q108" i="1"/>
  <c r="Q91" i="1"/>
  <c r="U57" i="1"/>
  <c r="AD85" i="1"/>
  <c r="C22" i="1"/>
  <c r="E19" i="1"/>
  <c r="N19" i="1"/>
  <c r="AC57" i="1"/>
  <c r="AF60" i="1"/>
  <c r="B19" i="1"/>
  <c r="F22" i="1"/>
  <c r="M22" i="1"/>
  <c r="Y60" i="1"/>
  <c r="X57" i="1"/>
  <c r="K85" i="1"/>
  <c r="AD9" i="1"/>
  <c r="M60" i="1"/>
  <c r="F60" i="1"/>
  <c r="J19" i="1"/>
  <c r="AG57" i="1"/>
  <c r="AB60" i="1"/>
  <c r="V60" i="1"/>
  <c r="AD10" i="1" l="1"/>
  <c r="AD86" i="1"/>
  <c r="AD87" i="1" s="1"/>
  <c r="AD88" i="1" s="1"/>
  <c r="AD89" i="1" s="1"/>
  <c r="AD90" i="1" s="1"/>
  <c r="AD91" i="1" s="1"/>
  <c r="AD92" i="1" s="1"/>
  <c r="AD93" i="1" s="1"/>
  <c r="K86" i="1"/>
  <c r="AD11" i="1" l="1"/>
  <c r="AB98" i="1"/>
  <c r="U95" i="1"/>
  <c r="X95" i="1"/>
  <c r="K87" i="1"/>
  <c r="AG95" i="1"/>
  <c r="AF98" i="1"/>
  <c r="AC95" i="1"/>
  <c r="Y98" i="1"/>
  <c r="V98" i="1"/>
  <c r="K88" i="1" l="1"/>
  <c r="K89" i="1" s="1"/>
  <c r="K90" i="1" s="1"/>
  <c r="K91" i="1" s="1"/>
  <c r="K92" i="1" s="1"/>
  <c r="K93" i="1" s="1"/>
  <c r="M98" i="1"/>
  <c r="E95" i="1"/>
  <c r="J95" i="1"/>
  <c r="I98" i="1"/>
  <c r="N95" i="1"/>
  <c r="F98" i="1"/>
  <c r="B95" i="1"/>
  <c r="C98" i="1"/>
  <c r="AD12" i="1"/>
  <c r="AD13" i="1" l="1"/>
  <c r="AD14" i="1" l="1"/>
  <c r="AD15" i="1" l="1"/>
  <c r="AD16" i="1" l="1"/>
  <c r="AD17" i="1" l="1"/>
  <c r="AF22" i="1"/>
  <c r="AG19" i="1" l="1"/>
  <c r="AB22" i="1"/>
  <c r="AC19" i="1"/>
  <c r="U19" i="1"/>
  <c r="Y22" i="1"/>
  <c r="X19" i="1"/>
  <c r="V22" i="1"/>
</calcChain>
</file>

<file path=xl/sharedStrings.xml><?xml version="1.0" encoding="utf-8"?>
<sst xmlns="http://schemas.openxmlformats.org/spreadsheetml/2006/main" count="415" uniqueCount="56">
  <si>
    <t>MOIS</t>
  </si>
  <si>
    <t>Noms - Prénom</t>
  </si>
  <si>
    <t>Emploi</t>
  </si>
  <si>
    <t>Cat.</t>
  </si>
  <si>
    <t>Matricule</t>
  </si>
  <si>
    <t>HN</t>
  </si>
  <si>
    <t>hs10</t>
  </si>
  <si>
    <t>hs30</t>
  </si>
  <si>
    <t>hsf</t>
  </si>
  <si>
    <t>H.N.</t>
  </si>
  <si>
    <t>H.S. 10%</t>
  </si>
  <si>
    <t>H.S. 30%</t>
  </si>
  <si>
    <t>H.S.D. 50%</t>
  </si>
  <si>
    <t>H.S.F. 100%</t>
  </si>
  <si>
    <t>ABS (h)</t>
  </si>
  <si>
    <t>Assiduité</t>
  </si>
  <si>
    <t>F</t>
  </si>
  <si>
    <t>T.Rendement</t>
  </si>
  <si>
    <t>P</t>
  </si>
  <si>
    <t>T.Qualité</t>
  </si>
  <si>
    <t>Autres</t>
  </si>
  <si>
    <t>Bâche</t>
  </si>
  <si>
    <t>A=</t>
  </si>
  <si>
    <t>P=</t>
  </si>
  <si>
    <t>CP=</t>
  </si>
  <si>
    <t>PEF=</t>
  </si>
  <si>
    <t>(Absence)</t>
  </si>
  <si>
    <t>(Permission)</t>
  </si>
  <si>
    <t>(Congé)</t>
  </si>
  <si>
    <t>(Perm. évènement familliale)</t>
  </si>
  <si>
    <t>Avance</t>
  </si>
  <si>
    <t>Quinz.</t>
  </si>
  <si>
    <t>AT=</t>
  </si>
  <si>
    <t>M=</t>
  </si>
  <si>
    <t>I=</t>
  </si>
  <si>
    <t>F=</t>
  </si>
  <si>
    <t>Eco.</t>
  </si>
  <si>
    <t>(Accident de travail)</t>
  </si>
  <si>
    <t>(Maladie)</t>
  </si>
  <si>
    <t>(Intempérie)</t>
  </si>
  <si>
    <t>(Férié)</t>
  </si>
  <si>
    <t>Nb jours du mois :</t>
  </si>
  <si>
    <t>Compteur (en H) :</t>
  </si>
  <si>
    <t>Production (m3):</t>
  </si>
  <si>
    <t>Détails calcul rendement</t>
  </si>
  <si>
    <t>Détails calcul qualité de travail</t>
  </si>
  <si>
    <t>x</t>
  </si>
  <si>
    <t>=</t>
  </si>
  <si>
    <t>Résponsabilité</t>
  </si>
  <si>
    <t>Entretien</t>
  </si>
  <si>
    <t>Astreinte</t>
  </si>
  <si>
    <t>TOTAL</t>
  </si>
  <si>
    <t>Observation:</t>
  </si>
  <si>
    <t>Visa Direction</t>
  </si>
  <si>
    <t>Visa Chef de service</t>
  </si>
  <si>
    <t>Visa 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</si>
</sst>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#"/>
    <numFmt numFmtId="165" formatCode="dd"/>
    <numFmt numFmtId="166" formatCode="#,###&quot; F&quot;"/>
    <numFmt numFmtId="167" formatCode="#,###&quot; m3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2" fillId="0" borderId="0" xfId="0" applyFont="1" applyAlignment="1">
      <alignment horizontal="right"/>
    </xf>
    <xf numFmtId="0" fontId="2" fillId="0" borderId="0" xfId="0" applyFont="1" applyAlignment="1" applyProtection="1">
      <alignment horizontal="right" vertical="center"/>
    </xf>
    <xf numFmtId="0" fontId="0" fillId="0" borderId="1" xfId="0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right" vertical="center"/>
    </xf>
    <xf numFmtId="17" fontId="1" fillId="0" borderId="0" xfId="0" applyNumberFormat="1" applyFont="1" applyAlignment="1" applyProtection="1">
      <alignment horizontal="center" vertical="center"/>
    </xf>
    <xf numFmtId="0" fontId="3" fillId="0" borderId="2" xfId="0" applyFont="1" applyBorder="1" applyAlignment="1" applyProtection="1">
      <alignment horizontal="left" vertical="center"/>
    </xf>
    <xf numFmtId="0" fontId="3" fillId="0" borderId="3" xfId="0" applyFont="1" applyBorder="1" applyAlignment="1" applyProtection="1">
      <alignment horizontal="left" vertical="center"/>
    </xf>
    <xf numFmtId="0" fontId="3" fillId="0" borderId="4" xfId="0" applyFont="1" applyBorder="1" applyAlignment="1" applyProtection="1">
      <alignment horizontal="left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5" xfId="0" applyFont="1" applyBorder="1" applyAlignment="1" applyProtection="1">
      <alignment horizontal="left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0" borderId="5" xfId="0" applyFont="1" applyBorder="1" applyAlignment="1" applyProtection="1">
      <alignment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left" vertical="center"/>
    </xf>
    <xf numFmtId="164" fontId="5" fillId="0" borderId="6" xfId="0" applyNumberFormat="1" applyFont="1" applyBorder="1" applyAlignment="1" applyProtection="1">
      <alignment horizontal="center" vertical="center"/>
    </xf>
    <xf numFmtId="164" fontId="5" fillId="0" borderId="0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65" fontId="0" fillId="0" borderId="6" xfId="0" applyNumberFormat="1" applyBorder="1" applyAlignment="1" applyProtection="1">
      <alignment horizontal="center" vertical="center"/>
    </xf>
    <xf numFmtId="0" fontId="5" fillId="0" borderId="6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vertical="center"/>
    </xf>
    <xf numFmtId="164" fontId="5" fillId="0" borderId="1" xfId="0" applyNumberFormat="1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vertical="center"/>
    </xf>
    <xf numFmtId="164" fontId="5" fillId="0" borderId="6" xfId="0" applyNumberFormat="1" applyFont="1" applyBorder="1" applyAlignment="1" applyProtection="1">
      <alignment horizontal="right" vertical="center"/>
    </xf>
    <xf numFmtId="164" fontId="5" fillId="0" borderId="0" xfId="0" applyNumberFormat="1" applyFont="1" applyBorder="1" applyAlignment="1" applyProtection="1">
      <alignment horizontal="right" vertical="center"/>
    </xf>
    <xf numFmtId="0" fontId="5" fillId="0" borderId="0" xfId="0" applyFont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164" fontId="5" fillId="0" borderId="0" xfId="0" applyNumberFormat="1" applyFont="1" applyBorder="1" applyAlignment="1" applyProtection="1">
      <alignment vertical="center"/>
    </xf>
    <xf numFmtId="164" fontId="5" fillId="0" borderId="0" xfId="0" applyNumberFormat="1" applyFont="1" applyBorder="1" applyAlignment="1" applyProtection="1">
      <alignment vertical="center"/>
      <protection locked="0"/>
    </xf>
    <xf numFmtId="16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164" fontId="5" fillId="0" borderId="0" xfId="0" applyNumberFormat="1" applyFont="1" applyAlignment="1" applyProtection="1">
      <alignment horizontal="left" vertical="center"/>
    </xf>
    <xf numFmtId="0" fontId="6" fillId="0" borderId="0" xfId="0" applyFont="1" applyAlignment="1" applyProtection="1">
      <alignment vertical="top"/>
    </xf>
    <xf numFmtId="0" fontId="0" fillId="0" borderId="0" xfId="0" applyAlignment="1" applyProtection="1">
      <alignment vertical="top"/>
    </xf>
    <xf numFmtId="0" fontId="6" fillId="0" borderId="0" xfId="0" applyFont="1" applyAlignment="1" applyProtection="1">
      <alignment horizontal="center" vertical="top"/>
    </xf>
    <xf numFmtId="0" fontId="6" fillId="0" borderId="0" xfId="0" applyFont="1" applyAlignment="1" applyProtection="1">
      <alignment horizontal="left" vertical="top"/>
    </xf>
    <xf numFmtId="164" fontId="5" fillId="0" borderId="6" xfId="0" applyNumberFormat="1" applyFont="1" applyBorder="1" applyAlignment="1" applyProtection="1">
      <alignment vertical="center"/>
    </xf>
    <xf numFmtId="0" fontId="6" fillId="0" borderId="0" xfId="0" applyFont="1" applyAlignment="1" applyProtection="1">
      <alignment vertical="center"/>
    </xf>
    <xf numFmtId="0" fontId="3" fillId="0" borderId="3" xfId="0" applyFont="1" applyBorder="1" applyAlignment="1" applyProtection="1">
      <alignment horizontal="left" vertical="center"/>
    </xf>
    <xf numFmtId="0" fontId="3" fillId="0" borderId="3" xfId="0" applyFont="1" applyBorder="1" applyAlignment="1" applyProtection="1">
      <alignment vertical="center"/>
    </xf>
    <xf numFmtId="164" fontId="3" fillId="0" borderId="4" xfId="0" applyNumberFormat="1" applyFont="1" applyBorder="1" applyAlignment="1" applyProtection="1">
      <alignment horizontal="left" vertical="center"/>
    </xf>
    <xf numFmtId="164" fontId="3" fillId="0" borderId="0" xfId="0" applyNumberFormat="1" applyFont="1" applyBorder="1" applyAlignment="1" applyProtection="1">
      <alignment horizontal="left" vertical="center"/>
    </xf>
    <xf numFmtId="0" fontId="7" fillId="0" borderId="7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0" fillId="0" borderId="10" xfId="0" applyBorder="1" applyAlignment="1" applyProtection="1">
      <alignment vertical="center"/>
    </xf>
    <xf numFmtId="0" fontId="5" fillId="0" borderId="0" xfId="0" applyFont="1" applyBorder="1" applyAlignment="1" applyProtection="1">
      <alignment horizontal="center" vertical="center"/>
    </xf>
    <xf numFmtId="164" fontId="5" fillId="0" borderId="0" xfId="0" applyNumberFormat="1" applyFont="1" applyBorder="1" applyAlignment="1" applyProtection="1">
      <alignment horizontal="center" vertical="center"/>
    </xf>
    <xf numFmtId="164" fontId="5" fillId="0" borderId="0" xfId="0" applyNumberFormat="1" applyFont="1" applyBorder="1" applyAlignment="1" applyProtection="1">
      <alignment horizontal="right" vertical="center"/>
    </xf>
    <xf numFmtId="166" fontId="4" fillId="0" borderId="10" xfId="0" applyNumberFormat="1" applyFont="1" applyBorder="1" applyAlignment="1" applyProtection="1">
      <alignment horizontal="left" vertical="center"/>
    </xf>
    <xf numFmtId="0" fontId="5" fillId="0" borderId="1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vertical="center"/>
    </xf>
    <xf numFmtId="0" fontId="4" fillId="0" borderId="10" xfId="0" applyFont="1" applyBorder="1" applyAlignment="1" applyProtection="1">
      <alignment vertical="center"/>
    </xf>
    <xf numFmtId="167" fontId="4" fillId="0" borderId="10" xfId="0" applyNumberFormat="1" applyFont="1" applyBorder="1" applyAlignment="1" applyProtection="1">
      <alignment vertical="center"/>
    </xf>
    <xf numFmtId="0" fontId="5" fillId="0" borderId="10" xfId="0" applyFont="1" applyBorder="1" applyAlignment="1" applyProtection="1">
      <alignment vertical="center"/>
    </xf>
    <xf numFmtId="0" fontId="3" fillId="0" borderId="1" xfId="0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/>
    </xf>
    <xf numFmtId="166" fontId="3" fillId="0" borderId="0" xfId="0" applyNumberFormat="1" applyFont="1" applyBorder="1" applyAlignment="1" applyProtection="1">
      <alignment vertical="center"/>
    </xf>
    <xf numFmtId="0" fontId="8" fillId="0" borderId="11" xfId="0" applyFont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/>
    </xf>
    <xf numFmtId="164" fontId="8" fillId="0" borderId="12" xfId="0" applyNumberFormat="1" applyFont="1" applyBorder="1" applyAlignment="1" applyProtection="1">
      <alignment horizontal="left" vertical="center"/>
    </xf>
    <xf numFmtId="166" fontId="9" fillId="0" borderId="13" xfId="0" applyNumberFormat="1" applyFont="1" applyBorder="1" applyAlignment="1" applyProtection="1">
      <alignment horizontal="left" vertical="center"/>
    </xf>
    <xf numFmtId="0" fontId="8" fillId="0" borderId="12" xfId="0" applyFont="1" applyBorder="1" applyAlignment="1" applyProtection="1">
      <alignment vertical="center"/>
    </xf>
    <xf numFmtId="164" fontId="8" fillId="0" borderId="12" xfId="0" applyNumberFormat="1" applyFont="1" applyBorder="1" applyAlignment="1" applyProtection="1">
      <alignment vertical="center"/>
    </xf>
    <xf numFmtId="0" fontId="9" fillId="0" borderId="13" xfId="0" applyFont="1" applyBorder="1" applyAlignment="1" applyProtection="1">
      <alignment vertical="center"/>
    </xf>
    <xf numFmtId="0" fontId="10" fillId="0" borderId="7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left" vertical="center"/>
    </xf>
    <xf numFmtId="164" fontId="7" fillId="0" borderId="8" xfId="0" applyNumberFormat="1" applyFont="1" applyBorder="1" applyAlignment="1" applyProtection="1">
      <alignment horizontal="left" vertical="center"/>
    </xf>
    <xf numFmtId="164" fontId="7" fillId="0" borderId="9" xfId="0" applyNumberFormat="1" applyFont="1" applyBorder="1" applyAlignment="1" applyProtection="1">
      <alignment horizontal="left" vertical="center"/>
    </xf>
    <xf numFmtId="164" fontId="10" fillId="0" borderId="0" xfId="0" applyNumberFormat="1" applyFont="1" applyBorder="1" applyAlignment="1" applyProtection="1">
      <alignment horizontal="center" vertical="center"/>
    </xf>
    <xf numFmtId="164" fontId="7" fillId="0" borderId="1" xfId="0" applyNumberFormat="1" applyFont="1" applyBorder="1" applyAlignment="1" applyProtection="1">
      <alignment horizontal="center" vertical="center"/>
    </xf>
    <xf numFmtId="164" fontId="7" fillId="0" borderId="0" xfId="0" applyNumberFormat="1" applyFont="1" applyBorder="1" applyAlignment="1" applyProtection="1">
      <alignment horizontal="center" vertical="center"/>
    </xf>
    <xf numFmtId="164" fontId="7" fillId="0" borderId="0" xfId="0" applyNumberFormat="1" applyFont="1" applyBorder="1" applyAlignment="1" applyProtection="1">
      <alignment horizontal="left" vertical="center"/>
    </xf>
    <xf numFmtId="164" fontId="7" fillId="0" borderId="10" xfId="0" applyNumberFormat="1" applyFont="1" applyBorder="1" applyAlignment="1" applyProtection="1">
      <alignment horizontal="left" vertical="center"/>
    </xf>
    <xf numFmtId="164" fontId="0" fillId="0" borderId="0" xfId="0" applyNumberFormat="1" applyFont="1" applyBorder="1" applyAlignment="1" applyProtection="1">
      <alignment horizontal="center" vertical="center"/>
      <protection locked="0"/>
    </xf>
    <xf numFmtId="164" fontId="0" fillId="0" borderId="11" xfId="0" applyNumberFormat="1" applyFont="1" applyBorder="1" applyAlignment="1" applyProtection="1">
      <alignment horizontal="center" vertical="center"/>
      <protection locked="0"/>
    </xf>
    <xf numFmtId="164" fontId="0" fillId="0" borderId="12" xfId="0" applyNumberFormat="1" applyFont="1" applyBorder="1" applyAlignment="1" applyProtection="1">
      <alignment horizontal="center" vertical="center"/>
      <protection locked="0"/>
    </xf>
    <xf numFmtId="164" fontId="0" fillId="0" borderId="13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 vertical="center"/>
    </xf>
  </cellXfs>
  <cellStyles count="1">
    <cellStyle name="Normal" xfId="0" builtinId="0"/>
  </cellStyles>
  <dxfs count="10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OMAS/Documents/BSO/Divers/Gestion%20personnel/EP/Vierge/150814%20EP%20Lara%20mod&#232;le%20(macro.RD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EP LARA RH"/>
      <sheetName val="EP TP LARA RH"/>
      <sheetName val="Explication"/>
      <sheetName val="EP LARA"/>
      <sheetName val="Carte de pointage"/>
    </sheetNames>
    <sheetDataSet>
      <sheetData sheetId="0"/>
      <sheetData sheetId="1"/>
      <sheetData sheetId="2"/>
      <sheetData sheetId="3"/>
      <sheetData sheetId="4">
        <row r="1">
          <cell r="C1">
            <v>42217</v>
          </cell>
        </row>
        <row r="4">
          <cell r="C4">
            <v>216</v>
          </cell>
        </row>
        <row r="5">
          <cell r="C5">
            <v>27</v>
          </cell>
        </row>
        <row r="7">
          <cell r="A7" t="str">
            <v>EXPLOITATION LARA</v>
          </cell>
        </row>
        <row r="8">
          <cell r="E8" t="str">
            <v xml:space="preserve">RATTRAPAGE </v>
          </cell>
          <cell r="F8" t="str">
            <v>HEURES</v>
          </cell>
          <cell r="O8" t="str">
            <v>PRIMES HORS ASSIDUITE</v>
          </cell>
          <cell r="AE8" t="str">
            <v>RETENUES</v>
          </cell>
        </row>
        <row r="9">
          <cell r="A9" t="str">
            <v>MAT</v>
          </cell>
          <cell r="B9" t="str">
            <v>NOMS ET PRENOM</v>
          </cell>
          <cell r="C9" t="str">
            <v>FONCTION</v>
          </cell>
          <cell r="D9" t="str">
            <v>CATEGORIE</v>
          </cell>
          <cell r="E9" t="str">
            <v>PRODUCTION</v>
          </cell>
          <cell r="F9" t="str">
            <v>Norm</v>
          </cell>
          <cell r="G9" t="str">
            <v>Int.</v>
          </cell>
          <cell r="H9" t="str">
            <v>HS 10%</v>
          </cell>
          <cell r="I9" t="str">
            <v>HS 30%</v>
          </cell>
          <cell r="J9" t="str">
            <v>HS 50%</v>
          </cell>
          <cell r="K9" t="str">
            <v>HS 100%</v>
          </cell>
          <cell r="L9" t="str">
            <v>ABS</v>
          </cell>
          <cell r="M9" t="str">
            <v>ASS</v>
          </cell>
          <cell r="N9" t="str">
            <v>-%</v>
          </cell>
          <cell r="O9" t="str">
            <v>BACHE</v>
          </cell>
          <cell r="P9" t="str">
            <v>P.ent.</v>
          </cell>
          <cell r="Q9" t="str">
            <v>ENTRETIEN</v>
          </cell>
          <cell r="R9" t="str">
            <v>-%</v>
          </cell>
          <cell r="S9" t="str">
            <v>RENDEMENT/M3</v>
          </cell>
          <cell r="T9" t="str">
            <v>RENDEMENT</v>
          </cell>
          <cell r="U9" t="str">
            <v>-%</v>
          </cell>
          <cell r="V9" t="str">
            <v>P.ast.</v>
          </cell>
          <cell r="W9" t="str">
            <v>ASTREINTE</v>
          </cell>
          <cell r="X9" t="str">
            <v>-%</v>
          </cell>
          <cell r="Y9" t="str">
            <v>P.resp.</v>
          </cell>
          <cell r="Z9" t="str">
            <v>RESP</v>
          </cell>
          <cell r="AA9" t="str">
            <v>-%</v>
          </cell>
          <cell r="AB9" t="str">
            <v>DEPL</v>
          </cell>
          <cell r="AC9" t="str">
            <v>EXCEPT</v>
          </cell>
          <cell r="AD9" t="str">
            <v>TOTAL</v>
          </cell>
          <cell r="AE9" t="str">
            <v>QUINZ</v>
          </cell>
          <cell r="AF9" t="str">
            <v>AVCE</v>
          </cell>
          <cell r="AG9" t="str">
            <v>ECON</v>
          </cell>
          <cell r="AH9" t="str">
            <v>OBS</v>
          </cell>
        </row>
        <row r="10">
          <cell r="A10">
            <v>21</v>
          </cell>
          <cell r="B10" t="str">
            <v>LONGA MOUY Athanase</v>
          </cell>
          <cell r="C10" t="str">
            <v>Prospecteur confirmé</v>
          </cell>
          <cell r="D10">
            <v>6</v>
          </cell>
          <cell r="L10">
            <v>216</v>
          </cell>
          <cell r="M10">
            <v>0</v>
          </cell>
          <cell r="Q10">
            <v>0</v>
          </cell>
          <cell r="S10">
            <v>30</v>
          </cell>
          <cell r="T10">
            <v>0</v>
          </cell>
          <cell r="W10">
            <v>0</v>
          </cell>
          <cell r="Z10">
            <v>0</v>
          </cell>
          <cell r="AD10">
            <v>0</v>
          </cell>
        </row>
        <row r="11">
          <cell r="A11">
            <v>209</v>
          </cell>
          <cell r="B11" t="str">
            <v>MAMBENDA Jean</v>
          </cell>
          <cell r="C11" t="str">
            <v>Prospecteur confirmé</v>
          </cell>
          <cell r="D11">
            <v>6</v>
          </cell>
          <cell r="L11">
            <v>216</v>
          </cell>
          <cell r="M11">
            <v>0</v>
          </cell>
          <cell r="Q11">
            <v>0</v>
          </cell>
          <cell r="S11">
            <v>30</v>
          </cell>
          <cell r="T11">
            <v>0</v>
          </cell>
          <cell r="W11">
            <v>0</v>
          </cell>
          <cell r="Z11">
            <v>0</v>
          </cell>
          <cell r="AD11">
            <v>0</v>
          </cell>
        </row>
        <row r="12">
          <cell r="A12">
            <v>224</v>
          </cell>
          <cell r="B12" t="str">
            <v>EDIBAT Albert</v>
          </cell>
          <cell r="C12" t="str">
            <v>Pointeur cubeur confirmé</v>
          </cell>
          <cell r="D12">
            <v>6</v>
          </cell>
          <cell r="L12">
            <v>216</v>
          </cell>
          <cell r="M12">
            <v>0</v>
          </cell>
          <cell r="Q12">
            <v>0</v>
          </cell>
          <cell r="S12">
            <v>30</v>
          </cell>
          <cell r="T12">
            <v>0</v>
          </cell>
          <cell r="W12">
            <v>0</v>
          </cell>
          <cell r="Y12">
            <v>50000</v>
          </cell>
          <cell r="Z12">
            <v>0</v>
          </cell>
          <cell r="AD12">
            <v>0</v>
          </cell>
        </row>
        <row r="13">
          <cell r="A13">
            <v>459</v>
          </cell>
          <cell r="B13" t="str">
            <v>MAVANDE Antoine</v>
          </cell>
          <cell r="C13" t="str">
            <v>Marteleur</v>
          </cell>
          <cell r="D13">
            <v>4</v>
          </cell>
          <cell r="L13">
            <v>216</v>
          </cell>
          <cell r="M13">
            <v>0</v>
          </cell>
          <cell r="Q13">
            <v>0</v>
          </cell>
          <cell r="S13">
            <v>30</v>
          </cell>
          <cell r="T13">
            <v>0</v>
          </cell>
          <cell r="W13">
            <v>0</v>
          </cell>
          <cell r="Y13">
            <v>30000</v>
          </cell>
          <cell r="Z13">
            <v>0</v>
          </cell>
          <cell r="AD13">
            <v>0</v>
          </cell>
        </row>
        <row r="14">
          <cell r="A14">
            <v>499</v>
          </cell>
          <cell r="B14" t="str">
            <v>TENDA Andre</v>
          </cell>
          <cell r="C14" t="str">
            <v>Chef d'équipe</v>
          </cell>
          <cell r="D14">
            <v>6</v>
          </cell>
          <cell r="L14">
            <v>216</v>
          </cell>
          <cell r="M14">
            <v>0</v>
          </cell>
          <cell r="Q14">
            <v>0</v>
          </cell>
          <cell r="S14">
            <v>45</v>
          </cell>
          <cell r="T14">
            <v>0</v>
          </cell>
          <cell r="V14">
            <v>30000</v>
          </cell>
          <cell r="W14">
            <v>0</v>
          </cell>
          <cell r="Y14">
            <v>50000</v>
          </cell>
          <cell r="Z14">
            <v>0</v>
          </cell>
          <cell r="AD14">
            <v>0</v>
          </cell>
        </row>
        <row r="15">
          <cell r="A15">
            <v>527</v>
          </cell>
          <cell r="B15" t="str">
            <v>MBELA Delphin</v>
          </cell>
          <cell r="C15" t="str">
            <v>Chef de chantier</v>
          </cell>
          <cell r="D15" t="str">
            <v>AM1</v>
          </cell>
          <cell r="L15">
            <v>216</v>
          </cell>
          <cell r="M15">
            <v>0</v>
          </cell>
          <cell r="Q15">
            <v>0</v>
          </cell>
          <cell r="S15">
            <v>100</v>
          </cell>
          <cell r="T15">
            <v>0</v>
          </cell>
          <cell r="V15">
            <v>50000</v>
          </cell>
          <cell r="W15">
            <v>0</v>
          </cell>
          <cell r="Y15">
            <v>100000</v>
          </cell>
          <cell r="Z15">
            <v>0</v>
          </cell>
          <cell r="AD15">
            <v>0</v>
          </cell>
        </row>
        <row r="16">
          <cell r="A16">
            <v>541</v>
          </cell>
          <cell r="B16" t="str">
            <v>MIKELE Max</v>
          </cell>
          <cell r="C16" t="str">
            <v>Abatteur</v>
          </cell>
          <cell r="D16">
            <v>7</v>
          </cell>
          <cell r="L16">
            <v>216</v>
          </cell>
          <cell r="M16">
            <v>0</v>
          </cell>
          <cell r="P16">
            <v>8000</v>
          </cell>
          <cell r="Q16">
            <v>0</v>
          </cell>
          <cell r="S16">
            <v>30</v>
          </cell>
          <cell r="T16">
            <v>0</v>
          </cell>
          <cell r="W16">
            <v>0</v>
          </cell>
          <cell r="Y16">
            <v>15000</v>
          </cell>
          <cell r="Z16">
            <v>0</v>
          </cell>
          <cell r="AD16">
            <v>0</v>
          </cell>
        </row>
        <row r="17">
          <cell r="A17">
            <v>571</v>
          </cell>
          <cell r="B17" t="str">
            <v>NDOUMA KOU Andre</v>
          </cell>
          <cell r="C17" t="str">
            <v>Prospecteur</v>
          </cell>
          <cell r="D17">
            <v>5</v>
          </cell>
          <cell r="L17">
            <v>216</v>
          </cell>
          <cell r="M17">
            <v>0</v>
          </cell>
          <cell r="Q17">
            <v>0</v>
          </cell>
          <cell r="S17">
            <v>30</v>
          </cell>
          <cell r="T17">
            <v>0</v>
          </cell>
          <cell r="W17">
            <v>0</v>
          </cell>
          <cell r="Z17">
            <v>0</v>
          </cell>
          <cell r="AD17">
            <v>0</v>
          </cell>
        </row>
        <row r="18">
          <cell r="A18">
            <v>672</v>
          </cell>
          <cell r="B18" t="str">
            <v>KOUMOUDIAM Jean Francois</v>
          </cell>
          <cell r="C18" t="str">
            <v>Tronçonneur confirmé</v>
          </cell>
          <cell r="D18">
            <v>5</v>
          </cell>
          <cell r="L18">
            <v>216</v>
          </cell>
          <cell r="M18">
            <v>0</v>
          </cell>
          <cell r="P18">
            <v>8000</v>
          </cell>
          <cell r="Q18">
            <v>0</v>
          </cell>
          <cell r="S18">
            <v>30</v>
          </cell>
          <cell r="T18">
            <v>0</v>
          </cell>
          <cell r="W18">
            <v>0</v>
          </cell>
          <cell r="Y18">
            <v>15000</v>
          </cell>
          <cell r="Z18">
            <v>0</v>
          </cell>
          <cell r="AD18">
            <v>0</v>
          </cell>
        </row>
        <row r="19">
          <cell r="A19">
            <v>822</v>
          </cell>
          <cell r="B19" t="str">
            <v>OBAME NGUE Aloise</v>
          </cell>
          <cell r="C19" t="str">
            <v>Chef d'équipe</v>
          </cell>
          <cell r="D19">
            <v>5</v>
          </cell>
          <cell r="L19">
            <v>216</v>
          </cell>
          <cell r="M19">
            <v>0</v>
          </cell>
          <cell r="Q19">
            <v>0</v>
          </cell>
          <cell r="S19">
            <v>45</v>
          </cell>
          <cell r="T19">
            <v>0</v>
          </cell>
          <cell r="W19">
            <v>0</v>
          </cell>
          <cell r="Y19">
            <v>50000</v>
          </cell>
          <cell r="Z19">
            <v>0</v>
          </cell>
          <cell r="AD19">
            <v>0</v>
          </cell>
        </row>
        <row r="20">
          <cell r="A20">
            <v>896</v>
          </cell>
          <cell r="B20" t="str">
            <v>MENSAH ADJ David</v>
          </cell>
          <cell r="C20" t="str">
            <v>Conducteur confirmé</v>
          </cell>
          <cell r="D20">
            <v>5</v>
          </cell>
          <cell r="L20">
            <v>216</v>
          </cell>
          <cell r="M20">
            <v>0</v>
          </cell>
          <cell r="P20">
            <v>20000</v>
          </cell>
          <cell r="Q20">
            <v>0</v>
          </cell>
          <cell r="S20">
            <v>40</v>
          </cell>
          <cell r="T20">
            <v>0</v>
          </cell>
          <cell r="W20">
            <v>0</v>
          </cell>
          <cell r="Y20">
            <v>20000</v>
          </cell>
          <cell r="Z20">
            <v>0</v>
          </cell>
          <cell r="AD20">
            <v>0</v>
          </cell>
        </row>
        <row r="21">
          <cell r="A21">
            <v>903</v>
          </cell>
          <cell r="B21" t="str">
            <v>EKORE NZOG Mathieu</v>
          </cell>
          <cell r="C21" t="str">
            <v>Etêteur</v>
          </cell>
          <cell r="D21">
            <v>4</v>
          </cell>
          <cell r="L21">
            <v>216</v>
          </cell>
          <cell r="M21">
            <v>0</v>
          </cell>
          <cell r="P21">
            <v>8000</v>
          </cell>
          <cell r="Q21">
            <v>0</v>
          </cell>
          <cell r="S21">
            <v>30</v>
          </cell>
          <cell r="T21">
            <v>0</v>
          </cell>
          <cell r="W21">
            <v>0</v>
          </cell>
          <cell r="Y21">
            <v>15000</v>
          </cell>
          <cell r="Z21">
            <v>0</v>
          </cell>
          <cell r="AD21">
            <v>0</v>
          </cell>
        </row>
        <row r="22">
          <cell r="A22">
            <v>1192</v>
          </cell>
          <cell r="B22" t="str">
            <v>IKAPI Serge</v>
          </cell>
          <cell r="C22" t="str">
            <v>Elingueur</v>
          </cell>
          <cell r="D22">
            <v>3</v>
          </cell>
          <cell r="L22">
            <v>216</v>
          </cell>
          <cell r="M22">
            <v>0</v>
          </cell>
          <cell r="P22">
            <v>10000</v>
          </cell>
          <cell r="Q22">
            <v>0</v>
          </cell>
          <cell r="S22">
            <v>20</v>
          </cell>
          <cell r="T22">
            <v>0</v>
          </cell>
          <cell r="W22">
            <v>0</v>
          </cell>
          <cell r="Z22">
            <v>0</v>
          </cell>
          <cell r="AD22">
            <v>0</v>
          </cell>
        </row>
        <row r="23">
          <cell r="A23">
            <v>1461</v>
          </cell>
          <cell r="B23" t="str">
            <v>MOULEKA Flugeance</v>
          </cell>
          <cell r="C23" t="str">
            <v>Conducteur</v>
          </cell>
          <cell r="D23">
            <v>3</v>
          </cell>
          <cell r="L23">
            <v>216</v>
          </cell>
          <cell r="M23">
            <v>0</v>
          </cell>
          <cell r="P23">
            <v>20000</v>
          </cell>
          <cell r="Q23">
            <v>0</v>
          </cell>
          <cell r="S23">
            <v>40</v>
          </cell>
          <cell r="T23">
            <v>0</v>
          </cell>
          <cell r="W23">
            <v>0</v>
          </cell>
          <cell r="Y23">
            <v>20000</v>
          </cell>
          <cell r="Z23">
            <v>0</v>
          </cell>
          <cell r="AD23">
            <v>0</v>
          </cell>
        </row>
        <row r="24">
          <cell r="A24">
            <v>1821</v>
          </cell>
          <cell r="B24" t="str">
            <v>BIBALOU Alexis</v>
          </cell>
          <cell r="C24" t="str">
            <v>Mécanicien Sthil</v>
          </cell>
          <cell r="D24">
            <v>5</v>
          </cell>
          <cell r="L24">
            <v>216</v>
          </cell>
          <cell r="M24">
            <v>0</v>
          </cell>
          <cell r="P24">
            <v>50000</v>
          </cell>
          <cell r="Q24">
            <v>0</v>
          </cell>
          <cell r="S24">
            <v>30</v>
          </cell>
          <cell r="T24">
            <v>0</v>
          </cell>
          <cell r="W24">
            <v>0</v>
          </cell>
          <cell r="Y24">
            <v>50000</v>
          </cell>
          <cell r="Z24">
            <v>0</v>
          </cell>
          <cell r="AD24">
            <v>0</v>
          </cell>
        </row>
        <row r="25">
          <cell r="A25">
            <v>1914</v>
          </cell>
          <cell r="B25" t="str">
            <v>YEDJOU Valerien</v>
          </cell>
          <cell r="C25" t="str">
            <v>Manœuvre</v>
          </cell>
          <cell r="D25">
            <v>2</v>
          </cell>
          <cell r="L25">
            <v>216</v>
          </cell>
          <cell r="M25">
            <v>0</v>
          </cell>
          <cell r="Q25">
            <v>0</v>
          </cell>
          <cell r="S25">
            <v>20</v>
          </cell>
          <cell r="T25">
            <v>0</v>
          </cell>
          <cell r="W25">
            <v>0</v>
          </cell>
          <cell r="Y25">
            <v>10000</v>
          </cell>
          <cell r="Z25">
            <v>0</v>
          </cell>
          <cell r="AD25">
            <v>0</v>
          </cell>
        </row>
        <row r="26">
          <cell r="A26">
            <v>1939</v>
          </cell>
          <cell r="B26" t="str">
            <v>NGUIYA MAH Stahl Perrin</v>
          </cell>
          <cell r="C26" t="str">
            <v>Conducteur polyvalent</v>
          </cell>
          <cell r="D26">
            <v>7</v>
          </cell>
          <cell r="L26">
            <v>216</v>
          </cell>
          <cell r="M26">
            <v>0</v>
          </cell>
          <cell r="P26">
            <v>20000</v>
          </cell>
          <cell r="Q26">
            <v>0</v>
          </cell>
          <cell r="S26">
            <v>40</v>
          </cell>
          <cell r="T26">
            <v>0</v>
          </cell>
          <cell r="W26">
            <v>0</v>
          </cell>
          <cell r="Y26">
            <v>20000</v>
          </cell>
          <cell r="Z26">
            <v>0</v>
          </cell>
          <cell r="AD26">
            <v>0</v>
          </cell>
        </row>
        <row r="27">
          <cell r="A27">
            <v>2095</v>
          </cell>
          <cell r="B27" t="str">
            <v xml:space="preserve">AKWE OTSAG </v>
          </cell>
          <cell r="C27" t="str">
            <v>Etêteur</v>
          </cell>
          <cell r="D27">
            <v>2</v>
          </cell>
          <cell r="L27">
            <v>216</v>
          </cell>
          <cell r="M27">
            <v>0</v>
          </cell>
          <cell r="P27">
            <v>8000</v>
          </cell>
          <cell r="Q27">
            <v>0</v>
          </cell>
          <cell r="S27">
            <v>30</v>
          </cell>
          <cell r="T27">
            <v>0</v>
          </cell>
          <cell r="W27">
            <v>0</v>
          </cell>
          <cell r="Y27">
            <v>15000</v>
          </cell>
          <cell r="Z27">
            <v>0</v>
          </cell>
          <cell r="AD27">
            <v>0</v>
          </cell>
        </row>
        <row r="28">
          <cell r="A28">
            <v>2137</v>
          </cell>
          <cell r="B28" t="str">
            <v>KOISSITO Franck Albert</v>
          </cell>
          <cell r="C28" t="str">
            <v>Agent administratif</v>
          </cell>
          <cell r="D28">
            <v>6</v>
          </cell>
          <cell r="L28">
            <v>216</v>
          </cell>
          <cell r="M28">
            <v>0</v>
          </cell>
          <cell r="P28">
            <v>40000</v>
          </cell>
          <cell r="Q28">
            <v>0</v>
          </cell>
          <cell r="S28">
            <v>90000</v>
          </cell>
          <cell r="T28">
            <v>0</v>
          </cell>
          <cell r="W28">
            <v>0</v>
          </cell>
          <cell r="Y28">
            <v>50000</v>
          </cell>
          <cell r="Z28">
            <v>0</v>
          </cell>
          <cell r="AD28">
            <v>0</v>
          </cell>
        </row>
        <row r="29">
          <cell r="A29">
            <v>2162</v>
          </cell>
          <cell r="B29" t="str">
            <v>SIKINDA Jonas</v>
          </cell>
          <cell r="C29" t="str">
            <v>Conducteur confirmé</v>
          </cell>
          <cell r="D29">
            <v>6</v>
          </cell>
          <cell r="L29">
            <v>216</v>
          </cell>
          <cell r="M29">
            <v>0</v>
          </cell>
          <cell r="P29">
            <v>20000</v>
          </cell>
          <cell r="Q29">
            <v>0</v>
          </cell>
          <cell r="S29">
            <v>40</v>
          </cell>
          <cell r="T29">
            <v>0</v>
          </cell>
          <cell r="W29">
            <v>0</v>
          </cell>
          <cell r="Y29">
            <v>20000</v>
          </cell>
          <cell r="Z29">
            <v>0</v>
          </cell>
          <cell r="AD29">
            <v>0</v>
          </cell>
        </row>
        <row r="30">
          <cell r="A30">
            <v>2259</v>
          </cell>
          <cell r="B30" t="str">
            <v>GUITSOUTSO Guy</v>
          </cell>
          <cell r="C30" t="str">
            <v>Manœuvre</v>
          </cell>
          <cell r="D30">
            <v>2</v>
          </cell>
          <cell r="L30">
            <v>216</v>
          </cell>
          <cell r="M30">
            <v>0</v>
          </cell>
          <cell r="P30">
            <v>10000</v>
          </cell>
          <cell r="Q30">
            <v>0</v>
          </cell>
          <cell r="S30">
            <v>25</v>
          </cell>
          <cell r="T30">
            <v>0</v>
          </cell>
          <cell r="W30">
            <v>0</v>
          </cell>
          <cell r="Y30">
            <v>10000</v>
          </cell>
          <cell r="Z30">
            <v>0</v>
          </cell>
          <cell r="AD30">
            <v>0</v>
          </cell>
        </row>
        <row r="31">
          <cell r="A31">
            <v>2277</v>
          </cell>
          <cell r="B31" t="str">
            <v>BOUSSOUGOU Gilles carlos</v>
          </cell>
          <cell r="C31" t="str">
            <v>Abatteur formateur</v>
          </cell>
          <cell r="D31">
            <v>5</v>
          </cell>
          <cell r="L31">
            <v>216</v>
          </cell>
          <cell r="M31">
            <v>0</v>
          </cell>
          <cell r="P31">
            <v>50000</v>
          </cell>
          <cell r="Q31">
            <v>0</v>
          </cell>
          <cell r="S31">
            <v>45</v>
          </cell>
          <cell r="T31">
            <v>0</v>
          </cell>
          <cell r="W31">
            <v>0</v>
          </cell>
          <cell r="Y31">
            <v>50000</v>
          </cell>
          <cell r="Z31">
            <v>0</v>
          </cell>
          <cell r="AD31">
            <v>0</v>
          </cell>
        </row>
        <row r="32">
          <cell r="A32">
            <v>2280</v>
          </cell>
          <cell r="B32" t="str">
            <v>NDOUTOUME  NGUEMA</v>
          </cell>
          <cell r="C32" t="str">
            <v>Prospecteur</v>
          </cell>
          <cell r="D32">
            <v>2</v>
          </cell>
          <cell r="L32">
            <v>216</v>
          </cell>
          <cell r="M32">
            <v>0</v>
          </cell>
          <cell r="Q32">
            <v>0</v>
          </cell>
          <cell r="S32">
            <v>30</v>
          </cell>
          <cell r="T32">
            <v>0</v>
          </cell>
          <cell r="W32">
            <v>0</v>
          </cell>
          <cell r="Z32">
            <v>0</v>
          </cell>
          <cell r="AD32">
            <v>0</v>
          </cell>
        </row>
        <row r="33">
          <cell r="A33">
            <v>2281</v>
          </cell>
          <cell r="B33" t="str">
            <v>OKOGHO OPO Loic Evrard</v>
          </cell>
          <cell r="C33" t="str">
            <v>Elingueur</v>
          </cell>
          <cell r="D33">
            <v>2</v>
          </cell>
          <cell r="L33">
            <v>216</v>
          </cell>
          <cell r="M33">
            <v>0</v>
          </cell>
          <cell r="P33">
            <v>10000</v>
          </cell>
          <cell r="Q33">
            <v>0</v>
          </cell>
          <cell r="S33">
            <v>20</v>
          </cell>
          <cell r="T33">
            <v>0</v>
          </cell>
          <cell r="W33">
            <v>0</v>
          </cell>
          <cell r="Z33">
            <v>0</v>
          </cell>
          <cell r="AD33">
            <v>0</v>
          </cell>
        </row>
        <row r="34">
          <cell r="A34">
            <v>2297</v>
          </cell>
          <cell r="B34" t="str">
            <v>MAKIYOKO Jean Claude</v>
          </cell>
          <cell r="C34" t="str">
            <v>Etêteur</v>
          </cell>
          <cell r="D34">
            <v>4</v>
          </cell>
          <cell r="L34">
            <v>216</v>
          </cell>
          <cell r="M34">
            <v>0</v>
          </cell>
          <cell r="P34">
            <v>8000</v>
          </cell>
          <cell r="Q34">
            <v>0</v>
          </cell>
          <cell r="S34">
            <v>30</v>
          </cell>
          <cell r="T34">
            <v>0</v>
          </cell>
          <cell r="W34">
            <v>0</v>
          </cell>
          <cell r="Y34">
            <v>15000</v>
          </cell>
          <cell r="Z34">
            <v>0</v>
          </cell>
          <cell r="AD34">
            <v>0</v>
          </cell>
        </row>
        <row r="35">
          <cell r="A35">
            <v>2353</v>
          </cell>
          <cell r="B35" t="str">
            <v>MOMBO MOMB Judca-L</v>
          </cell>
          <cell r="C35" t="str">
            <v>Etêteur</v>
          </cell>
          <cell r="D35">
            <v>4</v>
          </cell>
          <cell r="L35">
            <v>216</v>
          </cell>
          <cell r="M35">
            <v>0</v>
          </cell>
          <cell r="P35">
            <v>8000</v>
          </cell>
          <cell r="Q35">
            <v>0</v>
          </cell>
          <cell r="S35">
            <v>30</v>
          </cell>
          <cell r="T35">
            <v>0</v>
          </cell>
          <cell r="W35">
            <v>0</v>
          </cell>
          <cell r="Y35">
            <v>15000</v>
          </cell>
          <cell r="Z35">
            <v>0</v>
          </cell>
          <cell r="AD35">
            <v>0</v>
          </cell>
        </row>
        <row r="36">
          <cell r="A36">
            <v>2367</v>
          </cell>
          <cell r="B36" t="str">
            <v>EYEGHE TCH Lionel</v>
          </cell>
          <cell r="C36" t="str">
            <v>Aide étêteur</v>
          </cell>
          <cell r="D36">
            <v>2</v>
          </cell>
          <cell r="L36">
            <v>216</v>
          </cell>
          <cell r="M36">
            <v>0</v>
          </cell>
          <cell r="P36">
            <v>4000</v>
          </cell>
          <cell r="Q36">
            <v>0</v>
          </cell>
          <cell r="S36">
            <v>20</v>
          </cell>
          <cell r="T36">
            <v>0</v>
          </cell>
          <cell r="W36">
            <v>0</v>
          </cell>
          <cell r="Y36">
            <v>7500</v>
          </cell>
          <cell r="Z36">
            <v>0</v>
          </cell>
          <cell r="AD36">
            <v>0</v>
          </cell>
        </row>
        <row r="37">
          <cell r="A37">
            <v>2369</v>
          </cell>
          <cell r="B37" t="str">
            <v>KELE BONTE Rodrigue</v>
          </cell>
          <cell r="C37" t="str">
            <v>Chauffeur</v>
          </cell>
          <cell r="D37">
            <v>6</v>
          </cell>
          <cell r="L37">
            <v>216</v>
          </cell>
          <cell r="M37">
            <v>0</v>
          </cell>
          <cell r="P37">
            <v>15000</v>
          </cell>
          <cell r="Q37">
            <v>0</v>
          </cell>
          <cell r="S37">
            <v>30</v>
          </cell>
          <cell r="T37">
            <v>0</v>
          </cell>
          <cell r="W37">
            <v>0</v>
          </cell>
          <cell r="Y37">
            <v>50000</v>
          </cell>
          <cell r="Z37">
            <v>0</v>
          </cell>
          <cell r="AD37">
            <v>0</v>
          </cell>
        </row>
        <row r="38">
          <cell r="A38">
            <v>2371</v>
          </cell>
          <cell r="B38" t="str">
            <v>NZIENGUI-N Gatien</v>
          </cell>
          <cell r="C38" t="str">
            <v>Aide étêteur</v>
          </cell>
          <cell r="D38">
            <v>2</v>
          </cell>
          <cell r="L38">
            <v>216</v>
          </cell>
          <cell r="M38">
            <v>0</v>
          </cell>
          <cell r="P38">
            <v>4000</v>
          </cell>
          <cell r="Q38">
            <v>0</v>
          </cell>
          <cell r="S38">
            <v>20</v>
          </cell>
          <cell r="T38">
            <v>0</v>
          </cell>
          <cell r="W38">
            <v>0</v>
          </cell>
          <cell r="Y38">
            <v>7500</v>
          </cell>
          <cell r="Z38">
            <v>0</v>
          </cell>
          <cell r="AD38">
            <v>0</v>
          </cell>
        </row>
        <row r="39">
          <cell r="A39">
            <v>2651</v>
          </cell>
          <cell r="B39" t="str">
            <v>MALONGA MBAGOU Jean férin</v>
          </cell>
          <cell r="C39" t="str">
            <v>Aide abatteur</v>
          </cell>
          <cell r="D39">
            <v>2</v>
          </cell>
          <cell r="L39">
            <v>216</v>
          </cell>
          <cell r="M39">
            <v>0</v>
          </cell>
          <cell r="P39">
            <v>4000</v>
          </cell>
          <cell r="Q39">
            <v>0</v>
          </cell>
          <cell r="S39">
            <v>20</v>
          </cell>
          <cell r="T39">
            <v>0</v>
          </cell>
          <cell r="W39">
            <v>0</v>
          </cell>
          <cell r="Y39">
            <v>7500</v>
          </cell>
          <cell r="Z39">
            <v>0</v>
          </cell>
          <cell r="AD39">
            <v>0</v>
          </cell>
        </row>
        <row r="40">
          <cell r="A40">
            <v>2675</v>
          </cell>
          <cell r="B40" t="str">
            <v>PAMBOU PAMBOU Claude</v>
          </cell>
          <cell r="C40" t="str">
            <v>Elingueur</v>
          </cell>
          <cell r="D40">
            <v>2</v>
          </cell>
          <cell r="L40">
            <v>216</v>
          </cell>
          <cell r="M40">
            <v>0</v>
          </cell>
          <cell r="P40">
            <v>4000</v>
          </cell>
          <cell r="Q40">
            <v>0</v>
          </cell>
          <cell r="S40">
            <v>20</v>
          </cell>
          <cell r="T40">
            <v>0</v>
          </cell>
          <cell r="W40">
            <v>0</v>
          </cell>
          <cell r="Y40">
            <v>7500</v>
          </cell>
          <cell r="Z40">
            <v>0</v>
          </cell>
          <cell r="AD40">
            <v>0</v>
          </cell>
        </row>
        <row r="41">
          <cell r="A41">
            <v>2679</v>
          </cell>
          <cell r="B41" t="str">
            <v>MINANGA Jean Alain</v>
          </cell>
          <cell r="C41" t="str">
            <v>Abatteur</v>
          </cell>
          <cell r="D41">
            <v>6</v>
          </cell>
          <cell r="L41">
            <v>216</v>
          </cell>
          <cell r="M41">
            <v>0</v>
          </cell>
          <cell r="P41">
            <v>8000</v>
          </cell>
          <cell r="Q41">
            <v>0</v>
          </cell>
          <cell r="S41">
            <v>30</v>
          </cell>
          <cell r="T41">
            <v>0</v>
          </cell>
          <cell r="W41">
            <v>0</v>
          </cell>
          <cell r="Y41">
            <v>15000</v>
          </cell>
          <cell r="Z41">
            <v>0</v>
          </cell>
          <cell r="AD41">
            <v>0</v>
          </cell>
        </row>
        <row r="42">
          <cell r="A42">
            <v>2698</v>
          </cell>
          <cell r="B42" t="str">
            <v>EKOME NDONG Armand</v>
          </cell>
          <cell r="C42" t="str">
            <v>Aide abatteur</v>
          </cell>
          <cell r="D42">
            <v>2</v>
          </cell>
          <cell r="L42">
            <v>216</v>
          </cell>
          <cell r="M42">
            <v>0</v>
          </cell>
          <cell r="P42">
            <v>4000</v>
          </cell>
          <cell r="Q42">
            <v>0</v>
          </cell>
          <cell r="S42">
            <v>20</v>
          </cell>
          <cell r="T42">
            <v>0</v>
          </cell>
          <cell r="W42">
            <v>0</v>
          </cell>
          <cell r="Y42">
            <v>7500</v>
          </cell>
          <cell r="Z42">
            <v>0</v>
          </cell>
          <cell r="AD42">
            <v>0</v>
          </cell>
        </row>
        <row r="43">
          <cell r="A43">
            <v>2706</v>
          </cell>
          <cell r="B43" t="str">
            <v>LINDZONDZO Raymond</v>
          </cell>
          <cell r="C43" t="str">
            <v>Abatteur</v>
          </cell>
          <cell r="D43">
            <v>5</v>
          </cell>
          <cell r="L43">
            <v>216</v>
          </cell>
          <cell r="M43">
            <v>0</v>
          </cell>
          <cell r="P43">
            <v>8000</v>
          </cell>
          <cell r="Q43">
            <v>0</v>
          </cell>
          <cell r="S43">
            <v>30</v>
          </cell>
          <cell r="T43">
            <v>0</v>
          </cell>
          <cell r="W43">
            <v>0</v>
          </cell>
          <cell r="Y43">
            <v>15000</v>
          </cell>
          <cell r="Z43">
            <v>0</v>
          </cell>
          <cell r="AD43">
            <v>0</v>
          </cell>
        </row>
        <row r="44">
          <cell r="A44">
            <v>2741</v>
          </cell>
          <cell r="B44" t="str">
            <v>NUANG AKUE Urvan</v>
          </cell>
          <cell r="C44" t="str">
            <v>Aide abatteur</v>
          </cell>
          <cell r="D44">
            <v>2</v>
          </cell>
          <cell r="L44">
            <v>216</v>
          </cell>
          <cell r="M44">
            <v>0</v>
          </cell>
          <cell r="P44">
            <v>4000</v>
          </cell>
          <cell r="Q44">
            <v>0</v>
          </cell>
          <cell r="S44">
            <v>20</v>
          </cell>
          <cell r="T44">
            <v>0</v>
          </cell>
          <cell r="W44">
            <v>0</v>
          </cell>
          <cell r="Y44">
            <v>7500</v>
          </cell>
          <cell r="Z44">
            <v>0</v>
          </cell>
          <cell r="AD44">
            <v>0</v>
          </cell>
        </row>
        <row r="45">
          <cell r="A45">
            <v>3000</v>
          </cell>
          <cell r="B45" t="str">
            <v>NGUEMA NZU Emile</v>
          </cell>
          <cell r="C45" t="str">
            <v>Mécanicien confirmé</v>
          </cell>
          <cell r="D45">
            <v>7</v>
          </cell>
          <cell r="L45">
            <v>216</v>
          </cell>
          <cell r="M45">
            <v>0</v>
          </cell>
          <cell r="P45">
            <v>50000</v>
          </cell>
          <cell r="Q45">
            <v>0</v>
          </cell>
          <cell r="S45">
            <v>30</v>
          </cell>
          <cell r="T45">
            <v>0</v>
          </cell>
          <cell r="W45">
            <v>0</v>
          </cell>
          <cell r="Y45">
            <v>50000</v>
          </cell>
          <cell r="Z45">
            <v>0</v>
          </cell>
          <cell r="AD45">
            <v>0</v>
          </cell>
        </row>
        <row r="46">
          <cell r="L46">
            <v>216</v>
          </cell>
          <cell r="M46">
            <v>0</v>
          </cell>
          <cell r="Q46">
            <v>0</v>
          </cell>
          <cell r="T46">
            <v>0</v>
          </cell>
          <cell r="W46">
            <v>0</v>
          </cell>
          <cell r="Z46">
            <v>0</v>
          </cell>
          <cell r="AD46">
            <v>0</v>
          </cell>
        </row>
        <row r="47">
          <cell r="L47">
            <v>216</v>
          </cell>
          <cell r="M47">
            <v>0</v>
          </cell>
          <cell r="Q47">
            <v>0</v>
          </cell>
          <cell r="T47">
            <v>0</v>
          </cell>
          <cell r="W47">
            <v>0</v>
          </cell>
          <cell r="Z47">
            <v>0</v>
          </cell>
          <cell r="AD47">
            <v>0</v>
          </cell>
        </row>
        <row r="48">
          <cell r="L48">
            <v>216</v>
          </cell>
          <cell r="M48">
            <v>0</v>
          </cell>
          <cell r="Q48">
            <v>0</v>
          </cell>
          <cell r="T48">
            <v>0</v>
          </cell>
          <cell r="W48">
            <v>0</v>
          </cell>
          <cell r="Z48">
            <v>0</v>
          </cell>
          <cell r="AD48">
            <v>0</v>
          </cell>
        </row>
        <row r="49">
          <cell r="L49">
            <v>216</v>
          </cell>
          <cell r="M49">
            <v>0</v>
          </cell>
          <cell r="Q49">
            <v>0</v>
          </cell>
          <cell r="T49">
            <v>0</v>
          </cell>
          <cell r="W49">
            <v>0</v>
          </cell>
          <cell r="Z49">
            <v>0</v>
          </cell>
          <cell r="AD49">
            <v>0</v>
          </cell>
        </row>
        <row r="50">
          <cell r="L50">
            <v>216</v>
          </cell>
          <cell r="M50">
            <v>0</v>
          </cell>
          <cell r="Q50">
            <v>0</v>
          </cell>
          <cell r="T50">
            <v>0</v>
          </cell>
          <cell r="W50">
            <v>0</v>
          </cell>
          <cell r="Z50">
            <v>0</v>
          </cell>
          <cell r="AD50">
            <v>0</v>
          </cell>
        </row>
        <row r="51">
          <cell r="L51">
            <v>216</v>
          </cell>
          <cell r="M51">
            <v>0</v>
          </cell>
          <cell r="Q51">
            <v>0</v>
          </cell>
          <cell r="T51">
            <v>0</v>
          </cell>
          <cell r="W51">
            <v>0</v>
          </cell>
          <cell r="Z51">
            <v>0</v>
          </cell>
          <cell r="AD51">
            <v>0</v>
          </cell>
        </row>
        <row r="52">
          <cell r="L52">
            <v>216</v>
          </cell>
          <cell r="M52">
            <v>0</v>
          </cell>
          <cell r="Q52">
            <v>0</v>
          </cell>
          <cell r="T52">
            <v>0</v>
          </cell>
          <cell r="W52">
            <v>0</v>
          </cell>
          <cell r="Z52">
            <v>0</v>
          </cell>
          <cell r="AD52">
            <v>0</v>
          </cell>
        </row>
        <row r="53">
          <cell r="L53">
            <v>216</v>
          </cell>
          <cell r="M53">
            <v>0</v>
          </cell>
          <cell r="Q53">
            <v>0</v>
          </cell>
          <cell r="T53">
            <v>0</v>
          </cell>
          <cell r="W53">
            <v>0</v>
          </cell>
          <cell r="Z53">
            <v>0</v>
          </cell>
          <cell r="AD53">
            <v>0</v>
          </cell>
        </row>
        <row r="54">
          <cell r="L54">
            <v>216</v>
          </cell>
          <cell r="M54">
            <v>0</v>
          </cell>
          <cell r="Q54">
            <v>0</v>
          </cell>
          <cell r="T54">
            <v>0</v>
          </cell>
          <cell r="W54">
            <v>0</v>
          </cell>
          <cell r="Z54">
            <v>0</v>
          </cell>
          <cell r="AD54">
            <v>0</v>
          </cell>
        </row>
        <row r="55">
          <cell r="L55">
            <v>216</v>
          </cell>
          <cell r="M55">
            <v>0</v>
          </cell>
          <cell r="Q55">
            <v>0</v>
          </cell>
          <cell r="T55">
            <v>0</v>
          </cell>
          <cell r="W55">
            <v>0</v>
          </cell>
          <cell r="Z55">
            <v>0</v>
          </cell>
          <cell r="AD55">
            <v>0</v>
          </cell>
        </row>
        <row r="56">
          <cell r="L56">
            <v>216</v>
          </cell>
          <cell r="M56">
            <v>0</v>
          </cell>
          <cell r="T56">
            <v>0</v>
          </cell>
          <cell r="W56">
            <v>0</v>
          </cell>
          <cell r="Z56">
            <v>0</v>
          </cell>
          <cell r="AD56">
            <v>0</v>
          </cell>
        </row>
        <row r="57">
          <cell r="A57">
            <v>36</v>
          </cell>
          <cell r="B57" t="str">
            <v>Personnes</v>
          </cell>
        </row>
        <row r="60">
          <cell r="A60" t="str">
            <v>TP LARA</v>
          </cell>
          <cell r="E60" t="str">
            <v>TP LARA</v>
          </cell>
        </row>
        <row r="61">
          <cell r="F61" t="str">
            <v>HEURES</v>
          </cell>
          <cell r="O61" t="str">
            <v>PRIMES HORS ASSIDUITE</v>
          </cell>
          <cell r="AE61" t="str">
            <v>RETENUES</v>
          </cell>
        </row>
        <row r="62">
          <cell r="A62" t="str">
            <v>MAT</v>
          </cell>
          <cell r="B62" t="str">
            <v>NOMS ET PRENOM</v>
          </cell>
          <cell r="C62" t="str">
            <v>FONCTION</v>
          </cell>
          <cell r="D62" t="str">
            <v>CATEGORIE</v>
          </cell>
          <cell r="E62" t="str">
            <v>RATTRAPAGE PRODUCTION</v>
          </cell>
          <cell r="F62" t="str">
            <v>Norm</v>
          </cell>
          <cell r="G62" t="str">
            <v>Int.</v>
          </cell>
          <cell r="H62" t="str">
            <v>HS 10%</v>
          </cell>
          <cell r="I62" t="str">
            <v>HS 30%</v>
          </cell>
          <cell r="J62" t="str">
            <v>HS 50%</v>
          </cell>
          <cell r="K62" t="str">
            <v>HS 100%</v>
          </cell>
          <cell r="L62" t="str">
            <v>ABS</v>
          </cell>
          <cell r="M62" t="str">
            <v>ASS</v>
          </cell>
          <cell r="N62" t="str">
            <v>-%</v>
          </cell>
          <cell r="O62" t="str">
            <v>BACHE</v>
          </cell>
          <cell r="P62" t="str">
            <v>P.ent.</v>
          </cell>
          <cell r="Q62" t="str">
            <v>ENTRETIEN</v>
          </cell>
          <cell r="R62" t="str">
            <v>-%</v>
          </cell>
          <cell r="S62" t="str">
            <v>RENDEMENT/M3</v>
          </cell>
          <cell r="T62" t="str">
            <v>RENDEMENT</v>
          </cell>
          <cell r="U62" t="str">
            <v>-%</v>
          </cell>
          <cell r="V62" t="str">
            <v>P.ast.</v>
          </cell>
          <cell r="W62" t="str">
            <v>ASTREINTE</v>
          </cell>
          <cell r="X62" t="str">
            <v>-%</v>
          </cell>
          <cell r="Y62" t="str">
            <v>P.resp.</v>
          </cell>
          <cell r="Z62" t="str">
            <v>RESP</v>
          </cell>
          <cell r="AA62" t="str">
            <v>-%</v>
          </cell>
          <cell r="AB62" t="str">
            <v>DEPL</v>
          </cell>
          <cell r="AC62" t="str">
            <v>EXCEPT</v>
          </cell>
          <cell r="AD62" t="str">
            <v>TOTAL</v>
          </cell>
          <cell r="AE62" t="str">
            <v>QUINZ</v>
          </cell>
          <cell r="AF62" t="str">
            <v>AVCE</v>
          </cell>
          <cell r="AG62" t="str">
            <v>ECON</v>
          </cell>
          <cell r="AH62" t="str">
            <v>OBS</v>
          </cell>
        </row>
        <row r="63">
          <cell r="A63">
            <v>661</v>
          </cell>
          <cell r="B63" t="str">
            <v>NGUELET Basile</v>
          </cell>
          <cell r="C63" t="str">
            <v>Chef d'équipe</v>
          </cell>
          <cell r="D63">
            <v>7</v>
          </cell>
          <cell r="L63">
            <v>216</v>
          </cell>
          <cell r="M63">
            <v>0</v>
          </cell>
          <cell r="Q63">
            <v>0</v>
          </cell>
          <cell r="S63">
            <v>45</v>
          </cell>
          <cell r="T63">
            <v>0</v>
          </cell>
          <cell r="V63">
            <v>30000</v>
          </cell>
          <cell r="W63">
            <v>0</v>
          </cell>
          <cell r="Y63">
            <v>50000</v>
          </cell>
          <cell r="Z63">
            <v>0</v>
          </cell>
          <cell r="AD63">
            <v>0</v>
          </cell>
        </row>
        <row r="64">
          <cell r="A64">
            <v>687</v>
          </cell>
          <cell r="B64" t="str">
            <v>IPEME Marius</v>
          </cell>
          <cell r="C64" t="str">
            <v>Mécanicien</v>
          </cell>
          <cell r="D64">
            <v>5</v>
          </cell>
          <cell r="L64">
            <v>216</v>
          </cell>
          <cell r="M64">
            <v>0</v>
          </cell>
          <cell r="P64">
            <v>40000</v>
          </cell>
          <cell r="Q64">
            <v>0</v>
          </cell>
          <cell r="S64">
            <v>30</v>
          </cell>
          <cell r="T64">
            <v>0</v>
          </cell>
          <cell r="W64">
            <v>0</v>
          </cell>
          <cell r="Y64">
            <v>40000</v>
          </cell>
          <cell r="Z64">
            <v>0</v>
          </cell>
          <cell r="AD64">
            <v>0</v>
          </cell>
        </row>
        <row r="65">
          <cell r="A65">
            <v>1822</v>
          </cell>
          <cell r="B65" t="str">
            <v>BIBODI DIK Guy-Roger</v>
          </cell>
          <cell r="C65" t="str">
            <v>Conducteur</v>
          </cell>
          <cell r="D65">
            <v>7</v>
          </cell>
          <cell r="L65">
            <v>216</v>
          </cell>
          <cell r="M65">
            <v>0</v>
          </cell>
          <cell r="P65">
            <v>20000</v>
          </cell>
          <cell r="Q65">
            <v>0</v>
          </cell>
          <cell r="S65">
            <v>40</v>
          </cell>
          <cell r="T65">
            <v>0</v>
          </cell>
          <cell r="W65">
            <v>0</v>
          </cell>
          <cell r="Y65">
            <v>20000</v>
          </cell>
          <cell r="Z65">
            <v>0</v>
          </cell>
          <cell r="AD65">
            <v>0</v>
          </cell>
        </row>
        <row r="66">
          <cell r="A66">
            <v>1863</v>
          </cell>
          <cell r="B66" t="str">
            <v>NZENGUE Georvis Mav Dorlin</v>
          </cell>
          <cell r="C66" t="str">
            <v>Conducteur confirmé</v>
          </cell>
          <cell r="D66">
            <v>4</v>
          </cell>
          <cell r="L66">
            <v>216</v>
          </cell>
          <cell r="M66">
            <v>0</v>
          </cell>
          <cell r="P66">
            <v>20000</v>
          </cell>
          <cell r="Q66">
            <v>0</v>
          </cell>
          <cell r="S66">
            <v>40</v>
          </cell>
          <cell r="T66">
            <v>0</v>
          </cell>
          <cell r="W66">
            <v>0</v>
          </cell>
          <cell r="Y66">
            <v>20000</v>
          </cell>
          <cell r="Z66">
            <v>0</v>
          </cell>
          <cell r="AD66">
            <v>0</v>
          </cell>
        </row>
        <row r="67">
          <cell r="A67">
            <v>2081</v>
          </cell>
          <cell r="B67" t="str">
            <v>MOUKAGNI Guy Roger</v>
          </cell>
          <cell r="C67" t="str">
            <v>Abatteur</v>
          </cell>
          <cell r="D67">
            <v>5</v>
          </cell>
          <cell r="L67">
            <v>216</v>
          </cell>
          <cell r="M67">
            <v>0</v>
          </cell>
          <cell r="P67">
            <v>8000</v>
          </cell>
          <cell r="Q67">
            <v>0</v>
          </cell>
          <cell r="S67">
            <v>30</v>
          </cell>
          <cell r="T67">
            <v>0</v>
          </cell>
          <cell r="W67">
            <v>0</v>
          </cell>
          <cell r="Y67">
            <v>15000</v>
          </cell>
          <cell r="Z67">
            <v>0</v>
          </cell>
          <cell r="AD67">
            <v>0</v>
          </cell>
        </row>
        <row r="68">
          <cell r="A68">
            <v>2120</v>
          </cell>
          <cell r="B68" t="str">
            <v>NZENGUE MI Perain</v>
          </cell>
          <cell r="C68" t="str">
            <v>Elingueur</v>
          </cell>
          <cell r="D68">
            <v>2</v>
          </cell>
          <cell r="L68">
            <v>216</v>
          </cell>
          <cell r="M68">
            <v>0</v>
          </cell>
          <cell r="P68">
            <v>10000</v>
          </cell>
          <cell r="Q68">
            <v>0</v>
          </cell>
          <cell r="S68">
            <v>20</v>
          </cell>
          <cell r="T68">
            <v>0</v>
          </cell>
          <cell r="W68">
            <v>0</v>
          </cell>
          <cell r="Z68">
            <v>0</v>
          </cell>
          <cell r="AD68">
            <v>0</v>
          </cell>
        </row>
        <row r="69">
          <cell r="A69">
            <v>2158</v>
          </cell>
          <cell r="B69" t="str">
            <v>BEYA Eugene</v>
          </cell>
          <cell r="C69" t="str">
            <v>Prospecteur</v>
          </cell>
          <cell r="D69">
            <v>5</v>
          </cell>
          <cell r="L69">
            <v>216</v>
          </cell>
          <cell r="M69">
            <v>0</v>
          </cell>
          <cell r="Q69">
            <v>0</v>
          </cell>
          <cell r="S69">
            <v>30</v>
          </cell>
          <cell r="T69">
            <v>0</v>
          </cell>
          <cell r="W69">
            <v>0</v>
          </cell>
          <cell r="Z69">
            <v>0</v>
          </cell>
          <cell r="AD69">
            <v>0</v>
          </cell>
        </row>
        <row r="70">
          <cell r="A70">
            <v>2252</v>
          </cell>
          <cell r="B70" t="str">
            <v>BOUYONG Dieudonne</v>
          </cell>
          <cell r="C70" t="str">
            <v>Elingueur</v>
          </cell>
          <cell r="D70">
            <v>2</v>
          </cell>
          <cell r="L70">
            <v>216</v>
          </cell>
          <cell r="M70">
            <v>0</v>
          </cell>
          <cell r="P70">
            <v>10000</v>
          </cell>
          <cell r="Q70">
            <v>0</v>
          </cell>
          <cell r="S70">
            <v>20</v>
          </cell>
          <cell r="T70">
            <v>0</v>
          </cell>
          <cell r="W70">
            <v>0</v>
          </cell>
          <cell r="Z70">
            <v>0</v>
          </cell>
          <cell r="AD70">
            <v>0</v>
          </cell>
        </row>
        <row r="71">
          <cell r="A71">
            <v>2652</v>
          </cell>
          <cell r="B71" t="str">
            <v>OBONOU EBENEGA Janvier</v>
          </cell>
          <cell r="C71" t="str">
            <v>Aide abatteur</v>
          </cell>
          <cell r="D71">
            <v>2</v>
          </cell>
          <cell r="L71">
            <v>216</v>
          </cell>
          <cell r="M71">
            <v>0</v>
          </cell>
          <cell r="P71">
            <v>4000</v>
          </cell>
          <cell r="Q71">
            <v>0</v>
          </cell>
          <cell r="S71">
            <v>20</v>
          </cell>
          <cell r="T71">
            <v>0</v>
          </cell>
          <cell r="W71">
            <v>0</v>
          </cell>
          <cell r="Y71">
            <v>7500</v>
          </cell>
          <cell r="Z71">
            <v>0</v>
          </cell>
          <cell r="AD71">
            <v>0</v>
          </cell>
        </row>
        <row r="72">
          <cell r="A72" t="str">
            <v>T1</v>
          </cell>
          <cell r="B72" t="str">
            <v>MBONGO Yvon Steeve</v>
          </cell>
          <cell r="C72" t="str">
            <v>Conducteur</v>
          </cell>
          <cell r="D72">
            <v>5</v>
          </cell>
          <cell r="L72">
            <v>216</v>
          </cell>
          <cell r="M72">
            <v>0</v>
          </cell>
          <cell r="P72">
            <v>20000</v>
          </cell>
          <cell r="Q72">
            <v>0</v>
          </cell>
          <cell r="S72">
            <v>40</v>
          </cell>
          <cell r="T72">
            <v>0</v>
          </cell>
          <cell r="W72">
            <v>0</v>
          </cell>
          <cell r="Y72">
            <v>20000</v>
          </cell>
          <cell r="Z72">
            <v>0</v>
          </cell>
          <cell r="AD72">
            <v>0</v>
          </cell>
        </row>
        <row r="73">
          <cell r="L73">
            <v>216</v>
          </cell>
          <cell r="Q73">
            <v>0</v>
          </cell>
          <cell r="W73">
            <v>0</v>
          </cell>
          <cell r="Z73">
            <v>0</v>
          </cell>
        </row>
        <row r="74">
          <cell r="L74">
            <v>216</v>
          </cell>
          <cell r="M74">
            <v>0</v>
          </cell>
          <cell r="Q74">
            <v>0</v>
          </cell>
          <cell r="T74">
            <v>0</v>
          </cell>
          <cell r="W74">
            <v>0</v>
          </cell>
          <cell r="Z74">
            <v>0</v>
          </cell>
          <cell r="AD74">
            <v>0</v>
          </cell>
        </row>
        <row r="75">
          <cell r="L75">
            <v>216</v>
          </cell>
          <cell r="M75">
            <v>0</v>
          </cell>
          <cell r="Q75">
            <v>0</v>
          </cell>
          <cell r="T75">
            <v>0</v>
          </cell>
          <cell r="W75">
            <v>0</v>
          </cell>
          <cell r="Z75">
            <v>0</v>
          </cell>
          <cell r="AD75">
            <v>0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3"/>
  <sheetViews>
    <sheetView tabSelected="1" workbookViewId="0">
      <selection activeCell="G4" sqref="G4:Q4"/>
    </sheetView>
  </sheetViews>
  <sheetFormatPr baseColWidth="10" defaultRowHeight="15" x14ac:dyDescent="0.25"/>
  <cols>
    <col min="1" max="15" width="3.42578125" customWidth="1"/>
    <col min="16" max="16" width="11" customWidth="1"/>
    <col min="17" max="17" width="7.7109375" customWidth="1"/>
    <col min="18" max="19" width="0.85546875" customWidth="1"/>
    <col min="20" max="34" width="3.42578125" customWidth="1"/>
    <col min="35" max="35" width="11" customWidth="1"/>
    <col min="36" max="36" width="7.7109375" customWidth="1"/>
  </cols>
  <sheetData>
    <row r="1" spans="1:36" s="1" customFormat="1" ht="15.75" x14ac:dyDescent="0.25">
      <c r="N1" s="2"/>
      <c r="P1" s="2"/>
      <c r="Q1" s="3" t="str">
        <f>IF(COUNTIF('[1]EP LARA'!$A$10:$A$56, Q5)&gt;0,'[1]EP LARA'!$A$7,IF(COUNTIF('[1]EP LARA'!$A$63:$A$75, Q5)&gt;0,'[1]EP LARA'!$A$60))</f>
        <v>EXPLOITATION LARA</v>
      </c>
      <c r="R1" s="4"/>
      <c r="S1" s="5"/>
      <c r="AG1" s="2"/>
      <c r="AH1" s="2"/>
      <c r="AI1" s="2"/>
      <c r="AJ1" s="3" t="str">
        <f>IF(COUNTIF('[1]EP LARA'!$A$10:$A$56, AJ5)&gt;0,'[1]EP LARA'!$A$7,IF(COUNTIF('[1]EP LARA'!$A$63:$A$75, AJ5)&gt;0,'[1]EP LARA'!$A$60))</f>
        <v>EXPLOITATION LARA</v>
      </c>
    </row>
    <row r="2" spans="1:36" s="1" customFormat="1" ht="18.75" customHeight="1" x14ac:dyDescent="0.25">
      <c r="N2" s="6"/>
      <c r="O2" s="6"/>
      <c r="P2" s="7" t="s">
        <v>0</v>
      </c>
      <c r="Q2" s="8">
        <f>'[1]EP LARA'!$C$1</f>
        <v>42217</v>
      </c>
      <c r="R2" s="8"/>
      <c r="S2" s="5"/>
      <c r="AG2" s="6"/>
      <c r="AH2" s="6"/>
      <c r="AI2" s="7" t="s">
        <v>0</v>
      </c>
      <c r="AJ2" s="8">
        <f>'[1]EP LARA'!$C$1</f>
        <v>42217</v>
      </c>
    </row>
    <row r="3" spans="1:36" s="1" customFormat="1" x14ac:dyDescent="0.25">
      <c r="S3" s="5"/>
    </row>
    <row r="4" spans="1:36" s="1" customFormat="1" x14ac:dyDescent="0.25">
      <c r="A4" s="9" t="s">
        <v>1</v>
      </c>
      <c r="B4" s="10"/>
      <c r="C4" s="10"/>
      <c r="D4" s="10"/>
      <c r="E4" s="10"/>
      <c r="F4" s="11"/>
      <c r="G4" s="12" t="str">
        <f>VLOOKUP(Q5,'[1]EP LARA'!$A$8:$AH$75,2,FALSE)</f>
        <v>LONGA MOUY Athanase</v>
      </c>
      <c r="H4" s="13"/>
      <c r="I4" s="13"/>
      <c r="J4" s="13"/>
      <c r="K4" s="13"/>
      <c r="L4" s="13"/>
      <c r="M4" s="13"/>
      <c r="N4" s="13"/>
      <c r="O4" s="13"/>
      <c r="P4" s="13"/>
      <c r="Q4" s="14"/>
      <c r="R4" s="15"/>
      <c r="S4" s="5"/>
      <c r="T4" s="9" t="s">
        <v>1</v>
      </c>
      <c r="U4" s="10"/>
      <c r="V4" s="10"/>
      <c r="W4" s="10"/>
      <c r="X4" s="10"/>
      <c r="Y4" s="11"/>
      <c r="Z4" s="12" t="str">
        <f>VLOOKUP(AJ5,'[1]EP LARA'!$A$8:$AH$75,2,FALSE)</f>
        <v>MAMBENDA Jean</v>
      </c>
      <c r="AA4" s="13"/>
      <c r="AB4" s="13"/>
      <c r="AC4" s="13"/>
      <c r="AD4" s="13"/>
      <c r="AE4" s="13"/>
      <c r="AF4" s="13"/>
      <c r="AG4" s="13"/>
      <c r="AH4" s="13"/>
      <c r="AI4" s="13"/>
      <c r="AJ4" s="14"/>
    </row>
    <row r="5" spans="1:36" s="1" customFormat="1" x14ac:dyDescent="0.25">
      <c r="A5" s="16" t="s">
        <v>2</v>
      </c>
      <c r="B5" s="16"/>
      <c r="C5" s="17" t="str">
        <f>VLOOKUP(Q5,'[1]EP LARA'!$A$8:$AH$75,3,FALSE)</f>
        <v>Prospecteur confirmé</v>
      </c>
      <c r="D5" s="17"/>
      <c r="E5" s="17"/>
      <c r="F5" s="17"/>
      <c r="G5" s="17"/>
      <c r="H5" s="17"/>
      <c r="I5" s="17"/>
      <c r="J5" s="18"/>
      <c r="K5" s="19" t="s">
        <v>3</v>
      </c>
      <c r="L5" s="20">
        <f>VLOOKUP(Q5,'[1]EP LARA'!$A$8:$AH$75,4,FALSE)</f>
        <v>6</v>
      </c>
      <c r="M5" s="20"/>
      <c r="N5" s="17" t="s">
        <v>4</v>
      </c>
      <c r="O5" s="17"/>
      <c r="P5" s="17"/>
      <c r="Q5" s="21">
        <v>21</v>
      </c>
      <c r="R5" s="22"/>
      <c r="S5" s="5"/>
      <c r="T5" s="16" t="s">
        <v>2</v>
      </c>
      <c r="U5" s="16"/>
      <c r="V5" s="17" t="str">
        <f>VLOOKUP(AJ5,'[1]EP LARA'!$A$8:$AH$75,3,FALSE)</f>
        <v>Prospecteur confirmé</v>
      </c>
      <c r="W5" s="17"/>
      <c r="X5" s="17"/>
      <c r="Y5" s="17"/>
      <c r="Z5" s="17"/>
      <c r="AA5" s="17"/>
      <c r="AB5" s="17"/>
      <c r="AC5" s="18"/>
      <c r="AD5" s="19" t="s">
        <v>3</v>
      </c>
      <c r="AE5" s="20">
        <f>VLOOKUP(AJ5,'[1]EP LARA'!$A$8:$AH$75,4,FALSE)</f>
        <v>6</v>
      </c>
      <c r="AF5" s="20"/>
      <c r="AG5" s="17" t="s">
        <v>4</v>
      </c>
      <c r="AH5" s="17"/>
      <c r="AI5" s="17"/>
      <c r="AJ5" s="21">
        <v>209</v>
      </c>
    </row>
    <row r="6" spans="1:36" s="1" customFormat="1" ht="6" customHeight="1" x14ac:dyDescent="0.25">
      <c r="S6" s="5"/>
    </row>
    <row r="7" spans="1:36" s="6" customFormat="1" x14ac:dyDescent="0.25">
      <c r="B7" s="23" t="s">
        <v>5</v>
      </c>
      <c r="C7" s="24" t="s">
        <v>6</v>
      </c>
      <c r="D7" s="24" t="s">
        <v>7</v>
      </c>
      <c r="E7" s="24" t="s">
        <v>8</v>
      </c>
      <c r="G7" s="23" t="s">
        <v>5</v>
      </c>
      <c r="H7" s="24" t="s">
        <v>6</v>
      </c>
      <c r="I7" s="24" t="s">
        <v>7</v>
      </c>
      <c r="J7" s="24" t="s">
        <v>8</v>
      </c>
      <c r="L7" s="23" t="s">
        <v>5</v>
      </c>
      <c r="M7" s="24" t="s">
        <v>6</v>
      </c>
      <c r="N7" s="24" t="s">
        <v>7</v>
      </c>
      <c r="O7" s="24" t="s">
        <v>8</v>
      </c>
      <c r="P7" s="25" t="s">
        <v>9</v>
      </c>
      <c r="Q7" s="26">
        <f>VLOOKUP(Q5,'[1]EP LARA'!$A$8:$AH$75,6,FALSE)</f>
        <v>0</v>
      </c>
      <c r="R7" s="27"/>
      <c r="S7" s="28"/>
      <c r="U7" s="23" t="s">
        <v>5</v>
      </c>
      <c r="V7" s="24" t="s">
        <v>6</v>
      </c>
      <c r="W7" s="24" t="s">
        <v>7</v>
      </c>
      <c r="X7" s="24" t="s">
        <v>8</v>
      </c>
      <c r="Z7" s="23" t="s">
        <v>5</v>
      </c>
      <c r="AA7" s="24" t="s">
        <v>6</v>
      </c>
      <c r="AB7" s="24" t="s">
        <v>7</v>
      </c>
      <c r="AC7" s="24" t="s">
        <v>8</v>
      </c>
      <c r="AE7" s="23" t="s">
        <v>5</v>
      </c>
      <c r="AF7" s="24" t="s">
        <v>6</v>
      </c>
      <c r="AG7" s="24" t="s">
        <v>7</v>
      </c>
      <c r="AH7" s="24" t="s">
        <v>8</v>
      </c>
      <c r="AI7" s="25" t="s">
        <v>9</v>
      </c>
      <c r="AJ7" s="26">
        <f>VLOOKUP(AJ5,'[1]EP LARA'!$A$8:$AH$75,6,FALSE)</f>
        <v>0</v>
      </c>
    </row>
    <row r="8" spans="1:36" s="1" customFormat="1" x14ac:dyDescent="0.25">
      <c r="A8" s="29">
        <f>'[1]EP LARA'!$C$1-11</f>
        <v>42206</v>
      </c>
      <c r="B8" s="30"/>
      <c r="C8" s="31"/>
      <c r="D8" s="31"/>
      <c r="E8" s="31"/>
      <c r="F8" s="29">
        <f>A18+1</f>
        <v>42217</v>
      </c>
      <c r="G8" s="31">
        <v>8</v>
      </c>
      <c r="H8" s="31"/>
      <c r="I8" s="31"/>
      <c r="J8" s="31"/>
      <c r="K8" s="29">
        <f>F17+1</f>
        <v>42227</v>
      </c>
      <c r="L8" s="31">
        <v>8</v>
      </c>
      <c r="M8" s="31"/>
      <c r="N8" s="31"/>
      <c r="O8" s="31"/>
      <c r="P8" s="32" t="s">
        <v>10</v>
      </c>
      <c r="Q8" s="26">
        <f>VLOOKUP(Q5,'[1]EP LARA'!$A$8:$AH$75,8,FALSE)</f>
        <v>0</v>
      </c>
      <c r="R8" s="33"/>
      <c r="S8" s="34"/>
      <c r="T8" s="29">
        <f>'[1]EP LARA'!$C$1-11</f>
        <v>42206</v>
      </c>
      <c r="U8" s="30"/>
      <c r="V8" s="31"/>
      <c r="W8" s="31"/>
      <c r="X8" s="31"/>
      <c r="Y8" s="29">
        <f>T18+1</f>
        <v>42217</v>
      </c>
      <c r="Z8" s="31">
        <v>8</v>
      </c>
      <c r="AA8" s="31"/>
      <c r="AB8" s="31"/>
      <c r="AC8" s="31"/>
      <c r="AD8" s="29">
        <f>Y17+1</f>
        <v>42227</v>
      </c>
      <c r="AE8" s="31">
        <v>8</v>
      </c>
      <c r="AF8" s="31"/>
      <c r="AG8" s="31"/>
      <c r="AH8" s="31"/>
      <c r="AI8" s="32" t="s">
        <v>10</v>
      </c>
      <c r="AJ8" s="26">
        <f>VLOOKUP(AJ5,'[1]EP LARA'!$A$8:$AH$75,8,FALSE)</f>
        <v>0</v>
      </c>
    </row>
    <row r="9" spans="1:36" s="1" customFormat="1" x14ac:dyDescent="0.25">
      <c r="A9" s="29">
        <f t="shared" ref="A9:A18" si="0">A8+1</f>
        <v>42207</v>
      </c>
      <c r="B9" s="31"/>
      <c r="C9" s="31"/>
      <c r="D9" s="31"/>
      <c r="E9" s="31"/>
      <c r="F9" s="29">
        <f>F8+1</f>
        <v>42218</v>
      </c>
      <c r="G9" s="31">
        <v>8</v>
      </c>
      <c r="H9" s="31"/>
      <c r="I9" s="31"/>
      <c r="J9" s="31"/>
      <c r="K9" s="29">
        <f>K8+1</f>
        <v>42228</v>
      </c>
      <c r="L9" s="31"/>
      <c r="M9" s="31"/>
      <c r="N9" s="31"/>
      <c r="O9" s="31"/>
      <c r="P9" s="32" t="s">
        <v>11</v>
      </c>
      <c r="Q9" s="26">
        <f>VLOOKUP(Q5,'[1]EP LARA'!$A$8:$AH$75,9,FALSE)</f>
        <v>0</v>
      </c>
      <c r="R9" s="27"/>
      <c r="S9" s="5"/>
      <c r="T9" s="29">
        <f t="shared" ref="T9:T18" si="1">T8+1</f>
        <v>42207</v>
      </c>
      <c r="U9" s="31"/>
      <c r="V9" s="31"/>
      <c r="W9" s="31"/>
      <c r="X9" s="31"/>
      <c r="Y9" s="29">
        <f>Y8+1</f>
        <v>42218</v>
      </c>
      <c r="Z9" s="31">
        <v>8</v>
      </c>
      <c r="AA9" s="31"/>
      <c r="AB9" s="31"/>
      <c r="AC9" s="31"/>
      <c r="AD9" s="29">
        <f>AD8+1</f>
        <v>42228</v>
      </c>
      <c r="AE9" s="31"/>
      <c r="AF9" s="31"/>
      <c r="AG9" s="31"/>
      <c r="AH9" s="31"/>
      <c r="AI9" s="32" t="s">
        <v>11</v>
      </c>
      <c r="AJ9" s="26">
        <f>VLOOKUP(AJ5,'[1]EP LARA'!$A$8:$AH$75,9,FALSE)</f>
        <v>0</v>
      </c>
    </row>
    <row r="10" spans="1:36" s="1" customFormat="1" x14ac:dyDescent="0.25">
      <c r="A10" s="29">
        <f t="shared" si="0"/>
        <v>42208</v>
      </c>
      <c r="B10" s="31">
        <v>8</v>
      </c>
      <c r="C10" s="31"/>
      <c r="D10" s="31"/>
      <c r="E10" s="31"/>
      <c r="F10" s="29">
        <f t="shared" ref="F10:F17" si="2">F9+1</f>
        <v>42219</v>
      </c>
      <c r="G10" s="31">
        <v>8</v>
      </c>
      <c r="H10" s="31"/>
      <c r="I10" s="31"/>
      <c r="J10" s="31"/>
      <c r="K10" s="29">
        <f>K9+1</f>
        <v>42229</v>
      </c>
      <c r="L10" s="31">
        <v>8</v>
      </c>
      <c r="M10" s="31"/>
      <c r="N10" s="31"/>
      <c r="O10" s="31"/>
      <c r="P10" s="32" t="s">
        <v>12</v>
      </c>
      <c r="Q10" s="26">
        <f>VLOOKUP(Q5,'[1]EP LARA'!$A$8:$AH$75,10,FALSE)</f>
        <v>0</v>
      </c>
      <c r="R10" s="27"/>
      <c r="S10" s="5"/>
      <c r="T10" s="29">
        <f t="shared" si="1"/>
        <v>42208</v>
      </c>
      <c r="U10" s="31">
        <v>8</v>
      </c>
      <c r="V10" s="31"/>
      <c r="W10" s="31"/>
      <c r="X10" s="31"/>
      <c r="Y10" s="29">
        <f t="shared" ref="Y10:Y17" si="3">Y9+1</f>
        <v>42219</v>
      </c>
      <c r="Z10" s="31">
        <v>8</v>
      </c>
      <c r="AA10" s="31"/>
      <c r="AB10" s="31"/>
      <c r="AC10" s="31"/>
      <c r="AD10" s="29">
        <f>AD9+1</f>
        <v>42229</v>
      </c>
      <c r="AE10" s="31">
        <v>8</v>
      </c>
      <c r="AF10" s="31"/>
      <c r="AG10" s="31"/>
      <c r="AH10" s="31"/>
      <c r="AI10" s="32" t="s">
        <v>12</v>
      </c>
      <c r="AJ10" s="26">
        <f>VLOOKUP(AJ5,'[1]EP LARA'!$A$8:$AH$75,10,FALSE)</f>
        <v>0</v>
      </c>
    </row>
    <row r="11" spans="1:36" s="1" customFormat="1" x14ac:dyDescent="0.25">
      <c r="A11" s="29">
        <f t="shared" si="0"/>
        <v>42209</v>
      </c>
      <c r="B11" s="31">
        <v>8</v>
      </c>
      <c r="C11" s="31"/>
      <c r="D11" s="31"/>
      <c r="E11" s="31"/>
      <c r="F11" s="29">
        <f t="shared" si="2"/>
        <v>42220</v>
      </c>
      <c r="G11" s="31">
        <v>8</v>
      </c>
      <c r="H11" s="31"/>
      <c r="I11" s="31"/>
      <c r="J11" s="31"/>
      <c r="K11" s="29">
        <f t="shared" ref="K11:K17" si="4">K10+1</f>
        <v>42230</v>
      </c>
      <c r="L11" s="31">
        <v>8</v>
      </c>
      <c r="M11" s="31"/>
      <c r="N11" s="31"/>
      <c r="O11" s="31"/>
      <c r="P11" s="32" t="s">
        <v>13</v>
      </c>
      <c r="Q11" s="26">
        <f>VLOOKUP(Q5,'[1]EP LARA'!$A$8:$AH$75,11,FALSE)</f>
        <v>0</v>
      </c>
      <c r="R11" s="27"/>
      <c r="S11" s="5"/>
      <c r="T11" s="29">
        <f t="shared" si="1"/>
        <v>42209</v>
      </c>
      <c r="U11" s="31">
        <v>8</v>
      </c>
      <c r="V11" s="31"/>
      <c r="W11" s="31"/>
      <c r="X11" s="31"/>
      <c r="Y11" s="29">
        <f t="shared" si="3"/>
        <v>42220</v>
      </c>
      <c r="Z11" s="31">
        <v>8</v>
      </c>
      <c r="AA11" s="31"/>
      <c r="AB11" s="31"/>
      <c r="AC11" s="31"/>
      <c r="AD11" s="29">
        <f t="shared" ref="AD11:AD17" si="5">AD10+1</f>
        <v>42230</v>
      </c>
      <c r="AE11" s="31">
        <v>8</v>
      </c>
      <c r="AF11" s="31"/>
      <c r="AG11" s="31"/>
      <c r="AH11" s="31"/>
      <c r="AI11" s="32" t="s">
        <v>13</v>
      </c>
      <c r="AJ11" s="26">
        <f>VLOOKUP(AJ5,'[1]EP LARA'!$A$8:$AH$75,11,FALSE)</f>
        <v>0</v>
      </c>
    </row>
    <row r="12" spans="1:36" s="1" customFormat="1" x14ac:dyDescent="0.25">
      <c r="A12" s="29">
        <f t="shared" si="0"/>
        <v>42210</v>
      </c>
      <c r="B12" s="31">
        <v>8</v>
      </c>
      <c r="C12" s="31"/>
      <c r="D12" s="31"/>
      <c r="E12" s="31"/>
      <c r="F12" s="29">
        <f t="shared" si="2"/>
        <v>42221</v>
      </c>
      <c r="G12" s="31"/>
      <c r="H12" s="31"/>
      <c r="I12" s="31"/>
      <c r="J12" s="31"/>
      <c r="K12" s="29">
        <f t="shared" si="4"/>
        <v>42231</v>
      </c>
      <c r="L12" s="31">
        <v>8</v>
      </c>
      <c r="M12" s="31"/>
      <c r="N12" s="31"/>
      <c r="O12" s="31"/>
      <c r="P12" s="32" t="s">
        <v>14</v>
      </c>
      <c r="Q12" s="26">
        <f>VLOOKUP(Q5,'[1]EP LARA'!$A$8:$AH$75,12,FALSE)</f>
        <v>216</v>
      </c>
      <c r="R12" s="27"/>
      <c r="S12" s="5"/>
      <c r="T12" s="29">
        <f t="shared" si="1"/>
        <v>42210</v>
      </c>
      <c r="U12" s="31">
        <v>8</v>
      </c>
      <c r="V12" s="31"/>
      <c r="W12" s="31"/>
      <c r="X12" s="31"/>
      <c r="Y12" s="29">
        <f t="shared" si="3"/>
        <v>42221</v>
      </c>
      <c r="Z12" s="31"/>
      <c r="AA12" s="31"/>
      <c r="AB12" s="31"/>
      <c r="AC12" s="31"/>
      <c r="AD12" s="29">
        <f t="shared" si="5"/>
        <v>42231</v>
      </c>
      <c r="AE12" s="31">
        <v>8</v>
      </c>
      <c r="AF12" s="31"/>
      <c r="AG12" s="31"/>
      <c r="AH12" s="31"/>
      <c r="AI12" s="32" t="s">
        <v>14</v>
      </c>
      <c r="AJ12" s="26">
        <f>VLOOKUP(AJ5,'[1]EP LARA'!$A$8:$AH$75,12,FALSE)</f>
        <v>216</v>
      </c>
    </row>
    <row r="13" spans="1:36" s="1" customFormat="1" x14ac:dyDescent="0.25">
      <c r="A13" s="29">
        <f t="shared" si="0"/>
        <v>42211</v>
      </c>
      <c r="B13" s="31">
        <v>8</v>
      </c>
      <c r="C13" s="31"/>
      <c r="D13" s="31"/>
      <c r="E13" s="31"/>
      <c r="F13" s="29">
        <f t="shared" si="2"/>
        <v>42222</v>
      </c>
      <c r="G13" s="31">
        <v>8</v>
      </c>
      <c r="H13" s="31"/>
      <c r="I13" s="31"/>
      <c r="J13" s="31"/>
      <c r="K13" s="29">
        <f t="shared" si="4"/>
        <v>42232</v>
      </c>
      <c r="L13" s="31">
        <v>8</v>
      </c>
      <c r="M13" s="31"/>
      <c r="N13" s="31"/>
      <c r="O13" s="31"/>
      <c r="P13" s="32" t="s">
        <v>15</v>
      </c>
      <c r="Q13" s="35">
        <f>VLOOKUP(Q5,'[1]EP LARA'!$A$8:$AH$75,13,FALSE)</f>
        <v>0</v>
      </c>
      <c r="R13" s="36"/>
      <c r="S13" s="5"/>
      <c r="T13" s="29">
        <f t="shared" si="1"/>
        <v>42211</v>
      </c>
      <c r="U13" s="31">
        <v>8</v>
      </c>
      <c r="V13" s="31"/>
      <c r="W13" s="31"/>
      <c r="X13" s="31"/>
      <c r="Y13" s="29">
        <f t="shared" si="3"/>
        <v>42222</v>
      </c>
      <c r="Z13" s="31">
        <v>8</v>
      </c>
      <c r="AA13" s="31"/>
      <c r="AB13" s="31"/>
      <c r="AC13" s="31"/>
      <c r="AD13" s="29">
        <f t="shared" si="5"/>
        <v>42232</v>
      </c>
      <c r="AE13" s="31">
        <v>8</v>
      </c>
      <c r="AF13" s="31"/>
      <c r="AG13" s="31"/>
      <c r="AH13" s="31"/>
      <c r="AI13" s="32" t="s">
        <v>15</v>
      </c>
      <c r="AJ13" s="35">
        <f>VLOOKUP(AJ5,'[1]EP LARA'!$A$8:$AH$75,13,FALSE)</f>
        <v>0</v>
      </c>
    </row>
    <row r="14" spans="1:36" s="1" customFormat="1" x14ac:dyDescent="0.25">
      <c r="A14" s="29">
        <f t="shared" si="0"/>
        <v>42212</v>
      </c>
      <c r="B14" s="30">
        <v>8</v>
      </c>
      <c r="C14" s="31"/>
      <c r="D14" s="31"/>
      <c r="E14" s="31"/>
      <c r="F14" s="29">
        <f t="shared" si="2"/>
        <v>42223</v>
      </c>
      <c r="G14" s="31">
        <v>8</v>
      </c>
      <c r="H14" s="31"/>
      <c r="I14" s="31"/>
      <c r="J14" s="31"/>
      <c r="K14" s="29">
        <f t="shared" si="4"/>
        <v>42233</v>
      </c>
      <c r="L14" s="31" t="s">
        <v>16</v>
      </c>
      <c r="M14" s="31"/>
      <c r="N14" s="31"/>
      <c r="O14" s="31"/>
      <c r="P14" s="32" t="s">
        <v>17</v>
      </c>
      <c r="Q14" s="35">
        <f>VLOOKUP(Q5,'[1]EP LARA'!$A$8:$AH$75,20,FALSE)</f>
        <v>0</v>
      </c>
      <c r="R14" s="36"/>
      <c r="S14" s="5"/>
      <c r="T14" s="29">
        <f t="shared" si="1"/>
        <v>42212</v>
      </c>
      <c r="U14" s="30">
        <v>8</v>
      </c>
      <c r="V14" s="31"/>
      <c r="W14" s="31"/>
      <c r="X14" s="31"/>
      <c r="Y14" s="29">
        <f t="shared" si="3"/>
        <v>42223</v>
      </c>
      <c r="Z14" s="31">
        <v>8</v>
      </c>
      <c r="AA14" s="31"/>
      <c r="AB14" s="31"/>
      <c r="AC14" s="31"/>
      <c r="AD14" s="29">
        <f t="shared" si="5"/>
        <v>42233</v>
      </c>
      <c r="AE14" s="31" t="s">
        <v>16</v>
      </c>
      <c r="AF14" s="31"/>
      <c r="AG14" s="31"/>
      <c r="AH14" s="31"/>
      <c r="AI14" s="32" t="s">
        <v>17</v>
      </c>
      <c r="AJ14" s="35">
        <f>VLOOKUP(AJ5,'[1]EP LARA'!$A$8:$AH$75,20,FALSE)</f>
        <v>0</v>
      </c>
    </row>
    <row r="15" spans="1:36" s="1" customFormat="1" x14ac:dyDescent="0.25">
      <c r="A15" s="29">
        <f t="shared" si="0"/>
        <v>42213</v>
      </c>
      <c r="B15" s="31">
        <v>8</v>
      </c>
      <c r="C15" s="31"/>
      <c r="D15" s="31"/>
      <c r="E15" s="31"/>
      <c r="F15" s="29">
        <f t="shared" si="2"/>
        <v>42224</v>
      </c>
      <c r="G15" s="31" t="s">
        <v>18</v>
      </c>
      <c r="H15" s="31"/>
      <c r="I15" s="31"/>
      <c r="J15" s="31"/>
      <c r="K15" s="29">
        <f t="shared" si="4"/>
        <v>42234</v>
      </c>
      <c r="L15" s="31">
        <v>8</v>
      </c>
      <c r="M15" s="31"/>
      <c r="N15" s="31"/>
      <c r="O15" s="31"/>
      <c r="P15" s="32" t="s">
        <v>19</v>
      </c>
      <c r="Q15" s="35">
        <f>P32</f>
        <v>0</v>
      </c>
      <c r="R15" s="36"/>
      <c r="S15" s="5"/>
      <c r="T15" s="29">
        <f t="shared" si="1"/>
        <v>42213</v>
      </c>
      <c r="U15" s="31">
        <v>8</v>
      </c>
      <c r="V15" s="31"/>
      <c r="W15" s="31"/>
      <c r="X15" s="31"/>
      <c r="Y15" s="29">
        <f t="shared" si="3"/>
        <v>42224</v>
      </c>
      <c r="Z15" s="31">
        <v>8</v>
      </c>
      <c r="AA15" s="31"/>
      <c r="AB15" s="31"/>
      <c r="AC15" s="31"/>
      <c r="AD15" s="29">
        <f t="shared" si="5"/>
        <v>42234</v>
      </c>
      <c r="AE15" s="31">
        <v>8</v>
      </c>
      <c r="AF15" s="31"/>
      <c r="AG15" s="31"/>
      <c r="AH15" s="31"/>
      <c r="AI15" s="32" t="s">
        <v>19</v>
      </c>
      <c r="AJ15" s="35">
        <f>AI32</f>
        <v>0</v>
      </c>
    </row>
    <row r="16" spans="1:36" s="1" customFormat="1" x14ac:dyDescent="0.25">
      <c r="A16" s="29">
        <f t="shared" si="0"/>
        <v>42214</v>
      </c>
      <c r="B16" s="31"/>
      <c r="C16" s="31"/>
      <c r="D16" s="31"/>
      <c r="E16" s="31"/>
      <c r="F16" s="29">
        <f t="shared" si="2"/>
        <v>42225</v>
      </c>
      <c r="G16" s="31">
        <v>8</v>
      </c>
      <c r="H16" s="31"/>
      <c r="I16" s="31"/>
      <c r="J16" s="31"/>
      <c r="K16" s="29">
        <f t="shared" si="4"/>
        <v>42235</v>
      </c>
      <c r="L16" s="31"/>
      <c r="M16" s="31"/>
      <c r="N16" s="31"/>
      <c r="O16" s="31"/>
      <c r="P16" s="32" t="s">
        <v>20</v>
      </c>
      <c r="Q16" s="35">
        <f>VLOOKUP(Q5,'[1]EP LARA'!$A$8:$AH$75,29,FALSE)</f>
        <v>0</v>
      </c>
      <c r="R16" s="36"/>
      <c r="S16" s="5"/>
      <c r="T16" s="29">
        <f t="shared" si="1"/>
        <v>42214</v>
      </c>
      <c r="U16" s="31"/>
      <c r="V16" s="31"/>
      <c r="W16" s="31"/>
      <c r="X16" s="31"/>
      <c r="Y16" s="29">
        <f t="shared" si="3"/>
        <v>42225</v>
      </c>
      <c r="Z16" s="31">
        <v>8</v>
      </c>
      <c r="AA16" s="31"/>
      <c r="AB16" s="31"/>
      <c r="AC16" s="31"/>
      <c r="AD16" s="29">
        <f t="shared" si="5"/>
        <v>42235</v>
      </c>
      <c r="AE16" s="31"/>
      <c r="AF16" s="31"/>
      <c r="AG16" s="31"/>
      <c r="AH16" s="31"/>
      <c r="AI16" s="32" t="s">
        <v>20</v>
      </c>
      <c r="AJ16" s="35">
        <f>VLOOKUP(AJ5,'[1]EP LARA'!$A$8:$AH$75,29,FALSE)</f>
        <v>0</v>
      </c>
    </row>
    <row r="17" spans="1:36" s="1" customFormat="1" x14ac:dyDescent="0.25">
      <c r="A17" s="29">
        <f t="shared" si="0"/>
        <v>42215</v>
      </c>
      <c r="B17" s="31">
        <v>8</v>
      </c>
      <c r="C17" s="31"/>
      <c r="D17" s="31"/>
      <c r="E17" s="31"/>
      <c r="F17" s="29">
        <f t="shared" si="2"/>
        <v>42226</v>
      </c>
      <c r="G17" s="31">
        <v>8</v>
      </c>
      <c r="H17" s="31"/>
      <c r="I17" s="31"/>
      <c r="J17" s="31"/>
      <c r="K17" s="29">
        <f t="shared" si="4"/>
        <v>42236</v>
      </c>
      <c r="L17" s="31">
        <v>8</v>
      </c>
      <c r="M17" s="31"/>
      <c r="N17" s="31"/>
      <c r="O17" s="31"/>
      <c r="P17" s="32" t="s">
        <v>21</v>
      </c>
      <c r="Q17" s="35">
        <f>VLOOKUP(Q5,'[1]EP LARA'!$A$8:$AH$75,15,FALSE)</f>
        <v>0</v>
      </c>
      <c r="R17" s="37"/>
      <c r="S17" s="5"/>
      <c r="T17" s="29">
        <f t="shared" si="1"/>
        <v>42215</v>
      </c>
      <c r="U17" s="31">
        <v>8</v>
      </c>
      <c r="V17" s="31"/>
      <c r="W17" s="31"/>
      <c r="X17" s="31"/>
      <c r="Y17" s="29">
        <f t="shared" si="3"/>
        <v>42226</v>
      </c>
      <c r="Z17" s="31">
        <v>8</v>
      </c>
      <c r="AA17" s="31"/>
      <c r="AB17" s="31"/>
      <c r="AC17" s="31"/>
      <c r="AD17" s="29">
        <f t="shared" si="5"/>
        <v>42236</v>
      </c>
      <c r="AE17" s="31">
        <v>8</v>
      </c>
      <c r="AF17" s="31"/>
      <c r="AG17" s="31"/>
      <c r="AH17" s="31"/>
      <c r="AI17" s="32" t="s">
        <v>21</v>
      </c>
      <c r="AJ17" s="35">
        <f>VLOOKUP(AJ5,'[1]EP LARA'!$A$8:$AH$75,15,FALSE)</f>
        <v>0</v>
      </c>
    </row>
    <row r="18" spans="1:36" s="1" customFormat="1" x14ac:dyDescent="0.25">
      <c r="A18" s="29">
        <f t="shared" si="0"/>
        <v>42216</v>
      </c>
      <c r="B18" s="31">
        <v>8</v>
      </c>
      <c r="C18" s="31"/>
      <c r="D18" s="31"/>
      <c r="E18" s="31"/>
      <c r="P18" s="38"/>
      <c r="Q18" s="39"/>
      <c r="R18" s="40"/>
      <c r="S18" s="5"/>
      <c r="T18" s="29">
        <f t="shared" si="1"/>
        <v>42216</v>
      </c>
      <c r="U18" s="31">
        <v>8</v>
      </c>
      <c r="V18" s="31"/>
      <c r="W18" s="31"/>
      <c r="X18" s="31"/>
      <c r="AI18" s="38"/>
      <c r="AJ18" s="39"/>
    </row>
    <row r="19" spans="1:36" s="1" customFormat="1" ht="12.75" customHeight="1" x14ac:dyDescent="0.25">
      <c r="A19" s="37" t="s">
        <v>22</v>
      </c>
      <c r="B19" s="41">
        <f>COUNTIF(B8:O18,"A")</f>
        <v>0</v>
      </c>
      <c r="C19" s="37"/>
      <c r="D19" s="37" t="s">
        <v>23</v>
      </c>
      <c r="E19" s="41">
        <f>COUNTIF(B8:O18,"P")</f>
        <v>1</v>
      </c>
      <c r="F19" s="37"/>
      <c r="G19" s="37"/>
      <c r="H19" s="42" t="s">
        <v>24</v>
      </c>
      <c r="I19" s="42"/>
      <c r="J19" s="41">
        <f>COUNTIF(B8:O18,"CP")</f>
        <v>0</v>
      </c>
      <c r="K19" s="37"/>
      <c r="L19" s="43" t="s">
        <v>25</v>
      </c>
      <c r="M19" s="43"/>
      <c r="N19" s="44">
        <f>COUNTIF(B8:O18,"PEF")</f>
        <v>0</v>
      </c>
      <c r="O19" s="44"/>
      <c r="P19" s="18"/>
      <c r="Q19" s="37"/>
      <c r="R19" s="37"/>
      <c r="S19" s="5"/>
      <c r="T19" s="37" t="s">
        <v>22</v>
      </c>
      <c r="U19" s="41">
        <f>COUNTIF(U8:AH18,"A")</f>
        <v>0</v>
      </c>
      <c r="V19" s="37"/>
      <c r="W19" s="37" t="s">
        <v>23</v>
      </c>
      <c r="X19" s="41">
        <f>COUNTIF(U8:AH18,"P")</f>
        <v>0</v>
      </c>
      <c r="Y19" s="37"/>
      <c r="Z19" s="37"/>
      <c r="AA19" s="42" t="s">
        <v>24</v>
      </c>
      <c r="AB19" s="42"/>
      <c r="AC19" s="41">
        <f>COUNTIF(U8:AH18,"CP")</f>
        <v>0</v>
      </c>
      <c r="AD19" s="37"/>
      <c r="AE19" s="43" t="s">
        <v>25</v>
      </c>
      <c r="AF19" s="43"/>
      <c r="AG19" s="44">
        <f>COUNTIF(U8:AH18,"PEF")</f>
        <v>0</v>
      </c>
      <c r="AH19" s="44"/>
      <c r="AI19" s="18"/>
      <c r="AJ19" s="37"/>
    </row>
    <row r="20" spans="1:36" s="1" customFormat="1" x14ac:dyDescent="0.25">
      <c r="A20" s="45" t="s">
        <v>26</v>
      </c>
      <c r="B20" s="46"/>
      <c r="C20" s="46"/>
      <c r="D20" s="45" t="s">
        <v>27</v>
      </c>
      <c r="E20" s="46"/>
      <c r="F20" s="46"/>
      <c r="G20" s="46"/>
      <c r="H20" s="47" t="s">
        <v>28</v>
      </c>
      <c r="I20" s="47"/>
      <c r="K20" s="48" t="s">
        <v>29</v>
      </c>
      <c r="P20" s="32" t="s">
        <v>30</v>
      </c>
      <c r="Q20" s="49">
        <f>VLOOKUP(Q5,'[1]EP LARA'!$A$8:$AH$75,32,FALSE)</f>
        <v>0</v>
      </c>
      <c r="R20" s="39"/>
      <c r="S20" s="5"/>
      <c r="T20" s="45" t="s">
        <v>26</v>
      </c>
      <c r="U20" s="46"/>
      <c r="V20" s="46"/>
      <c r="W20" s="45" t="s">
        <v>27</v>
      </c>
      <c r="X20" s="46"/>
      <c r="Y20" s="46"/>
      <c r="Z20" s="46"/>
      <c r="AA20" s="47" t="s">
        <v>28</v>
      </c>
      <c r="AB20" s="47"/>
      <c r="AD20" s="48" t="s">
        <v>29</v>
      </c>
      <c r="AI20" s="32" t="s">
        <v>30</v>
      </c>
      <c r="AJ20" s="49">
        <f>VLOOKUP(AJ5,'[1]EP LARA'!$A$8:$AH$75,32,FALSE)</f>
        <v>0</v>
      </c>
    </row>
    <row r="21" spans="1:36" s="1" customFormat="1" x14ac:dyDescent="0.25">
      <c r="P21" s="32" t="s">
        <v>31</v>
      </c>
      <c r="Q21" s="49">
        <f>VLOOKUP(Q5,'[1]EP LARA'!$A$8:$AH$75,31,FALSE)</f>
        <v>0</v>
      </c>
      <c r="R21" s="39"/>
      <c r="S21" s="5"/>
      <c r="AI21" s="32" t="s">
        <v>31</v>
      </c>
      <c r="AJ21" s="49">
        <f>VLOOKUP(AJ5,'[1]EP LARA'!$A$8:$AH$75,31,FALSE)</f>
        <v>0</v>
      </c>
    </row>
    <row r="22" spans="1:36" s="1" customFormat="1" x14ac:dyDescent="0.25">
      <c r="A22" s="43" t="s">
        <v>32</v>
      </c>
      <c r="B22" s="43"/>
      <c r="C22" s="41">
        <f>COUNTIF(B8:O18,"AT")</f>
        <v>0</v>
      </c>
      <c r="D22" s="37"/>
      <c r="E22" s="37" t="s">
        <v>33</v>
      </c>
      <c r="F22" s="41">
        <f>COUNTIF(B8:O18,"M")</f>
        <v>0</v>
      </c>
      <c r="G22" s="37"/>
      <c r="H22" s="37" t="s">
        <v>34</v>
      </c>
      <c r="I22" s="41">
        <f>COUNTIF(B8:O18,"I")</f>
        <v>0</v>
      </c>
      <c r="J22" s="37"/>
      <c r="K22" s="37"/>
      <c r="L22" s="37" t="s">
        <v>35</v>
      </c>
      <c r="M22" s="41">
        <f>COUNTIF(B8:O18,"F")</f>
        <v>1</v>
      </c>
      <c r="N22" s="37"/>
      <c r="O22" s="37"/>
      <c r="P22" s="32" t="s">
        <v>36</v>
      </c>
      <c r="Q22" s="49">
        <f>VLOOKUP(Q5,'[1]EP LARA'!$A$8:$AH$75,33,FALSE)</f>
        <v>0</v>
      </c>
      <c r="R22" s="39"/>
      <c r="S22" s="5"/>
      <c r="T22" s="43" t="s">
        <v>32</v>
      </c>
      <c r="U22" s="43"/>
      <c r="V22" s="41">
        <f>COUNTIF(U8:AH18,"AT")</f>
        <v>0</v>
      </c>
      <c r="W22" s="37"/>
      <c r="X22" s="37" t="s">
        <v>33</v>
      </c>
      <c r="Y22" s="41">
        <f>COUNTIF(U8:AH18,"M")</f>
        <v>0</v>
      </c>
      <c r="Z22" s="37"/>
      <c r="AA22" s="37" t="s">
        <v>34</v>
      </c>
      <c r="AB22" s="41">
        <f>COUNTIF(U8:AH18,"I")</f>
        <v>0</v>
      </c>
      <c r="AC22" s="37"/>
      <c r="AD22" s="37"/>
      <c r="AE22" s="37" t="s">
        <v>35</v>
      </c>
      <c r="AF22" s="41">
        <f>COUNTIF(U8:AH18,"F")</f>
        <v>1</v>
      </c>
      <c r="AG22" s="37"/>
      <c r="AH22" s="37"/>
      <c r="AI22" s="32" t="s">
        <v>36</v>
      </c>
      <c r="AJ22" s="49">
        <f>VLOOKUP(AJ5,'[1]EP LARA'!$A$8:$AH$75,33,FALSE)</f>
        <v>0</v>
      </c>
    </row>
    <row r="23" spans="1:36" s="1" customFormat="1" ht="9" customHeight="1" x14ac:dyDescent="0.25">
      <c r="A23" s="50" t="s">
        <v>37</v>
      </c>
      <c r="B23" s="46"/>
      <c r="C23" s="46"/>
      <c r="D23" s="46"/>
      <c r="E23" s="45" t="s">
        <v>38</v>
      </c>
      <c r="F23" s="46"/>
      <c r="G23" s="46"/>
      <c r="H23" s="45" t="s">
        <v>39</v>
      </c>
      <c r="I23" s="46"/>
      <c r="J23" s="46"/>
      <c r="K23" s="46"/>
      <c r="L23" s="45" t="s">
        <v>40</v>
      </c>
      <c r="S23" s="5"/>
      <c r="T23" s="50" t="s">
        <v>37</v>
      </c>
      <c r="U23" s="46"/>
      <c r="V23" s="46"/>
      <c r="W23" s="46"/>
      <c r="X23" s="45" t="s">
        <v>38</v>
      </c>
      <c r="Y23" s="46"/>
      <c r="Z23" s="46"/>
      <c r="AA23" s="45" t="s">
        <v>39</v>
      </c>
      <c r="AB23" s="46"/>
      <c r="AC23" s="46"/>
      <c r="AD23" s="46"/>
      <c r="AE23" s="45" t="s">
        <v>40</v>
      </c>
    </row>
    <row r="24" spans="1:36" s="1" customFormat="1" x14ac:dyDescent="0.25">
      <c r="A24" s="12" t="s">
        <v>41</v>
      </c>
      <c r="B24" s="13"/>
      <c r="C24" s="13"/>
      <c r="D24" s="13"/>
      <c r="E24" s="13"/>
      <c r="F24" s="51">
        <f>'[1]EP LARA'!$C$5</f>
        <v>27</v>
      </c>
      <c r="G24" s="52"/>
      <c r="H24" s="52" t="s">
        <v>42</v>
      </c>
      <c r="I24" s="52"/>
      <c r="J24" s="52"/>
      <c r="K24" s="52"/>
      <c r="L24" s="10">
        <f>'[1]EP LARA'!$C$4</f>
        <v>216</v>
      </c>
      <c r="M24" s="10"/>
      <c r="N24" s="52"/>
      <c r="O24" s="52" t="s">
        <v>43</v>
      </c>
      <c r="P24" s="52"/>
      <c r="Q24" s="53">
        <f>'[1]EP LARA'!$C$2</f>
        <v>0</v>
      </c>
      <c r="R24" s="54"/>
      <c r="S24" s="5"/>
      <c r="T24" s="12" t="s">
        <v>41</v>
      </c>
      <c r="U24" s="13"/>
      <c r="V24" s="13"/>
      <c r="W24" s="13"/>
      <c r="X24" s="13"/>
      <c r="Y24" s="51">
        <f>'[1]EP LARA'!$C$5</f>
        <v>27</v>
      </c>
      <c r="Z24" s="52"/>
      <c r="AA24" s="52" t="s">
        <v>42</v>
      </c>
      <c r="AB24" s="52"/>
      <c r="AC24" s="52"/>
      <c r="AD24" s="52"/>
      <c r="AE24" s="10">
        <f>'[1]EP LARA'!$C$4</f>
        <v>216</v>
      </c>
      <c r="AF24" s="10"/>
      <c r="AG24" s="52"/>
      <c r="AH24" s="52" t="s">
        <v>43</v>
      </c>
      <c r="AI24" s="52"/>
      <c r="AJ24" s="53">
        <f>'[1]EP LARA'!$C$2</f>
        <v>0</v>
      </c>
    </row>
    <row r="25" spans="1:36" s="1" customFormat="1" ht="6" customHeight="1" x14ac:dyDescent="0.25">
      <c r="S25" s="5"/>
    </row>
    <row r="26" spans="1:36" s="1" customFormat="1" ht="12" customHeight="1" x14ac:dyDescent="0.25">
      <c r="A26" s="55" t="s">
        <v>44</v>
      </c>
      <c r="B26" s="56"/>
      <c r="C26" s="56"/>
      <c r="D26" s="56"/>
      <c r="E26" s="56"/>
      <c r="F26" s="56"/>
      <c r="G26" s="56"/>
      <c r="H26" s="57"/>
      <c r="K26" s="55" t="s">
        <v>45</v>
      </c>
      <c r="L26" s="56"/>
      <c r="M26" s="56"/>
      <c r="N26" s="56"/>
      <c r="O26" s="56"/>
      <c r="P26" s="56"/>
      <c r="Q26" s="57"/>
      <c r="R26" s="58"/>
      <c r="S26" s="5"/>
      <c r="T26" s="55" t="s">
        <v>44</v>
      </c>
      <c r="U26" s="56"/>
      <c r="V26" s="56"/>
      <c r="W26" s="56"/>
      <c r="X26" s="56"/>
      <c r="Y26" s="56"/>
      <c r="Z26" s="56"/>
      <c r="AA26" s="57"/>
      <c r="AD26" s="55" t="s">
        <v>45</v>
      </c>
      <c r="AE26" s="56"/>
      <c r="AF26" s="56"/>
      <c r="AG26" s="56"/>
      <c r="AH26" s="56"/>
      <c r="AI26" s="56"/>
      <c r="AJ26" s="57"/>
    </row>
    <row r="27" spans="1:36" s="1" customFormat="1" ht="4.5" customHeight="1" x14ac:dyDescent="0.25">
      <c r="A27" s="5"/>
      <c r="B27" s="58"/>
      <c r="C27" s="58"/>
      <c r="D27" s="58"/>
      <c r="E27" s="58"/>
      <c r="F27" s="58"/>
      <c r="G27" s="58"/>
      <c r="H27" s="59"/>
      <c r="K27" s="5"/>
      <c r="L27" s="58"/>
      <c r="M27" s="58"/>
      <c r="N27" s="58"/>
      <c r="O27" s="58"/>
      <c r="P27" s="58"/>
      <c r="Q27" s="59"/>
      <c r="R27" s="58"/>
      <c r="S27" s="5"/>
      <c r="T27" s="5"/>
      <c r="U27" s="58"/>
      <c r="V27" s="58"/>
      <c r="W27" s="58"/>
      <c r="X27" s="58"/>
      <c r="Y27" s="58"/>
      <c r="Z27" s="58"/>
      <c r="AA27" s="59"/>
      <c r="AD27" s="5"/>
      <c r="AE27" s="58"/>
      <c r="AF27" s="58"/>
      <c r="AG27" s="58"/>
      <c r="AH27" s="58"/>
      <c r="AI27" s="58"/>
      <c r="AJ27" s="59"/>
    </row>
    <row r="28" spans="1:36" s="1" customFormat="1" ht="12" customHeight="1" x14ac:dyDescent="0.25">
      <c r="A28" s="34">
        <f>VLOOKUP(Q5,'[1]EP LARA'!$A$8:$AH$75,19,FALSE)</f>
        <v>30</v>
      </c>
      <c r="B28" s="60" t="s">
        <v>46</v>
      </c>
      <c r="C28" s="61">
        <f>((Q24/L24)*(Q7+VLOOKUP(Q5,'[1]EP LARA'!$A$8:$AH$75,7,FALSE)))</f>
        <v>0</v>
      </c>
      <c r="D28" s="61"/>
      <c r="E28" s="60" t="s">
        <v>47</v>
      </c>
      <c r="F28" s="62">
        <f>MROUND(C28*A28,500)</f>
        <v>0</v>
      </c>
      <c r="G28" s="62"/>
      <c r="H28" s="63" t="str">
        <f>IF(F28&gt;0,"Fcfa","")</f>
        <v/>
      </c>
      <c r="K28" s="64" t="s">
        <v>48</v>
      </c>
      <c r="L28" s="65"/>
      <c r="M28" s="65"/>
      <c r="N28" s="65"/>
      <c r="O28" s="66" t="s">
        <v>47</v>
      </c>
      <c r="P28" s="36">
        <f>VLOOKUP(Q5,'[1]EP LARA'!$A$8:$AH$75,26,FALSE)</f>
        <v>0</v>
      </c>
      <c r="Q28" s="67" t="str">
        <f t="shared" ref="Q28:Q29" si="6">IF(P28&gt;0,"Fcfa","")</f>
        <v/>
      </c>
      <c r="R28" s="58"/>
      <c r="S28" s="5"/>
      <c r="T28" s="34">
        <f>VLOOKUP(AJ5,'[1]EP LARA'!$A$8:$AH$75,19,FALSE)</f>
        <v>30</v>
      </c>
      <c r="U28" s="60" t="s">
        <v>46</v>
      </c>
      <c r="V28" s="61">
        <f>((AJ24/AE24)*(AJ7+VLOOKUP(AJ5,'[1]EP LARA'!$A$8:$AH$75,7,FALSE)))</f>
        <v>0</v>
      </c>
      <c r="W28" s="61"/>
      <c r="X28" s="60" t="s">
        <v>47</v>
      </c>
      <c r="Y28" s="62">
        <f>MROUND(V28*T28,500)</f>
        <v>0</v>
      </c>
      <c r="Z28" s="62"/>
      <c r="AA28" s="63" t="str">
        <f>IF(Y28&gt;0,"Fcfa","")</f>
        <v/>
      </c>
      <c r="AD28" s="64" t="s">
        <v>48</v>
      </c>
      <c r="AE28" s="65"/>
      <c r="AF28" s="65"/>
      <c r="AG28" s="65"/>
      <c r="AH28" s="66" t="s">
        <v>47</v>
      </c>
      <c r="AI28" s="36">
        <f>VLOOKUP(AJ5,'[1]EP LARA'!$A$8:$AH$75,26,FALSE)</f>
        <v>0</v>
      </c>
      <c r="AJ28" s="67" t="str">
        <f t="shared" ref="AJ28:AJ29" si="7">IF(AI28&gt;0,"Fcfa","")</f>
        <v/>
      </c>
    </row>
    <row r="29" spans="1:36" s="1" customFormat="1" ht="12" customHeight="1" x14ac:dyDescent="0.25">
      <c r="A29" s="64" t="str">
        <f>IF(F29&gt;0,"Rattrapage prod","")</f>
        <v/>
      </c>
      <c r="B29" s="65"/>
      <c r="C29" s="65"/>
      <c r="D29" s="65"/>
      <c r="E29" s="60" t="str">
        <f>IF(F29&gt;0,"=","")</f>
        <v/>
      </c>
      <c r="F29" s="62">
        <f>VLOOKUP(Q5,'[1]EP LARA'!$A$8:$AH$75,5,FALSE)</f>
        <v>0</v>
      </c>
      <c r="G29" s="62"/>
      <c r="H29" s="68" t="str">
        <f>IF(F29&gt;0,"m3","")</f>
        <v/>
      </c>
      <c r="K29" s="64" t="s">
        <v>49</v>
      </c>
      <c r="L29" s="65"/>
      <c r="M29" s="65"/>
      <c r="N29" s="65"/>
      <c r="O29" s="66" t="s">
        <v>47</v>
      </c>
      <c r="P29" s="36">
        <f>VLOOKUP(Q5,'[1]EP LARA'!$A$8:$AH$75,17,FALSE)</f>
        <v>0</v>
      </c>
      <c r="Q29" s="67" t="str">
        <f t="shared" si="6"/>
        <v/>
      </c>
      <c r="R29" s="58"/>
      <c r="S29" s="5"/>
      <c r="T29" s="64" t="str">
        <f>IF(Y29&gt;0,"Rattrapage prod","")</f>
        <v/>
      </c>
      <c r="U29" s="65"/>
      <c r="V29" s="65"/>
      <c r="W29" s="65"/>
      <c r="X29" s="60" t="str">
        <f>IF(Y29&gt;0,"=","")</f>
        <v/>
      </c>
      <c r="Y29" s="62">
        <f>VLOOKUP(AJ5,'[1]EP LARA'!$A$8:$AH$75,5,FALSE)</f>
        <v>0</v>
      </c>
      <c r="Z29" s="62"/>
      <c r="AA29" s="68" t="str">
        <f>IF(Y29&gt;0,"m3","")</f>
        <v/>
      </c>
      <c r="AD29" s="64" t="s">
        <v>49</v>
      </c>
      <c r="AE29" s="65"/>
      <c r="AF29" s="65"/>
      <c r="AG29" s="65"/>
      <c r="AH29" s="66" t="s">
        <v>47</v>
      </c>
      <c r="AI29" s="36">
        <f>VLOOKUP(AJ5,'[1]EP LARA'!$A$8:$AH$75,17,FALSE)</f>
        <v>0</v>
      </c>
      <c r="AJ29" s="67" t="str">
        <f t="shared" si="7"/>
        <v/>
      </c>
    </row>
    <row r="30" spans="1:36" s="1" customFormat="1" ht="12" customHeight="1" x14ac:dyDescent="0.25">
      <c r="A30" s="64" t="str">
        <f>IF(F30&gt;0,"supp. prime","")</f>
        <v/>
      </c>
      <c r="B30" s="65"/>
      <c r="C30" s="65"/>
      <c r="D30" s="65"/>
      <c r="E30" s="60" t="str">
        <f>IF(F30&gt;0,"=","")</f>
        <v/>
      </c>
      <c r="F30" s="62">
        <f>VLOOKUP(Q5,'[1]EP LARA'!$A$8:$AH$75,21,FALSE)</f>
        <v>0</v>
      </c>
      <c r="G30" s="62"/>
      <c r="H30" s="68" t="str">
        <f>IF(F30&gt;0,"%","")</f>
        <v/>
      </c>
      <c r="K30" s="64" t="s">
        <v>50</v>
      </c>
      <c r="L30" s="65"/>
      <c r="M30" s="65"/>
      <c r="N30" s="65"/>
      <c r="O30" s="66" t="s">
        <v>47</v>
      </c>
      <c r="P30" s="36">
        <f>VLOOKUP(Q5,'[1]EP LARA'!$A$8:$AH$75,23,FALSE)</f>
        <v>0</v>
      </c>
      <c r="Q30" s="67" t="str">
        <f>IF(P30&gt;0,"Fcfa","")</f>
        <v/>
      </c>
      <c r="R30" s="58"/>
      <c r="S30" s="5"/>
      <c r="T30" s="64" t="str">
        <f>IF(Y30&gt;0,"supp. prime","")</f>
        <v/>
      </c>
      <c r="U30" s="65"/>
      <c r="V30" s="65"/>
      <c r="W30" s="65"/>
      <c r="X30" s="60" t="str">
        <f>IF(Y30&gt;0,"=","")</f>
        <v/>
      </c>
      <c r="Y30" s="62">
        <f>VLOOKUP(AJ5,'[1]EP LARA'!$A$8:$AH$75,21,FALSE)</f>
        <v>0</v>
      </c>
      <c r="Z30" s="62"/>
      <c r="AA30" s="68" t="str">
        <f>IF(Y30&gt;0,"%","")</f>
        <v/>
      </c>
      <c r="AD30" s="64" t="s">
        <v>50</v>
      </c>
      <c r="AE30" s="65"/>
      <c r="AF30" s="65"/>
      <c r="AG30" s="65"/>
      <c r="AH30" s="66" t="s">
        <v>47</v>
      </c>
      <c r="AI30" s="36">
        <f>VLOOKUP(AJ5,'[1]EP LARA'!$A$8:$AH$75,23,FALSE)</f>
        <v>0</v>
      </c>
      <c r="AJ30" s="67" t="str">
        <f>IF(AI30&gt;0,"Fcfa","")</f>
        <v/>
      </c>
    </row>
    <row r="31" spans="1:36" s="1" customFormat="1" ht="4.5" customHeight="1" x14ac:dyDescent="0.25">
      <c r="A31" s="34"/>
      <c r="B31" s="66"/>
      <c r="C31" s="66"/>
      <c r="D31" s="66"/>
      <c r="E31" s="60"/>
      <c r="F31" s="66"/>
      <c r="G31" s="66"/>
      <c r="H31" s="69"/>
      <c r="K31" s="70"/>
      <c r="L31" s="71"/>
      <c r="M31" s="71"/>
      <c r="N31" s="71"/>
      <c r="O31" s="58"/>
      <c r="P31" s="72"/>
      <c r="Q31" s="67"/>
      <c r="R31" s="58"/>
      <c r="S31" s="5"/>
      <c r="T31" s="34"/>
      <c r="U31" s="66"/>
      <c r="V31" s="66"/>
      <c r="W31" s="66"/>
      <c r="X31" s="60"/>
      <c r="Y31" s="66"/>
      <c r="Z31" s="66"/>
      <c r="AA31" s="69"/>
      <c r="AD31" s="70"/>
      <c r="AE31" s="71"/>
      <c r="AF31" s="71"/>
      <c r="AG31" s="71"/>
      <c r="AH31" s="58"/>
      <c r="AI31" s="72"/>
      <c r="AJ31" s="67"/>
    </row>
    <row r="32" spans="1:36" s="1" customFormat="1" ht="12" customHeight="1" x14ac:dyDescent="0.25">
      <c r="A32" s="73" t="s">
        <v>51</v>
      </c>
      <c r="B32" s="74"/>
      <c r="C32" s="74"/>
      <c r="D32" s="74"/>
      <c r="E32" s="75" t="s">
        <v>47</v>
      </c>
      <c r="F32" s="76">
        <f>VLOOKUP(Q5,'[1]EP LARA'!$A$8:$AH$75,20,FALSE)</f>
        <v>0</v>
      </c>
      <c r="G32" s="76"/>
      <c r="H32" s="77" t="str">
        <f>IF(F32&gt;0,"Fcfa","")</f>
        <v/>
      </c>
      <c r="K32" s="73" t="s">
        <v>51</v>
      </c>
      <c r="L32" s="74"/>
      <c r="M32" s="74"/>
      <c r="N32" s="74"/>
      <c r="O32" s="78" t="s">
        <v>47</v>
      </c>
      <c r="P32" s="79">
        <f>SUM(P28:P30)</f>
        <v>0</v>
      </c>
      <c r="Q32" s="80" t="str">
        <f>IF(P32&gt;0,"Fcfa","")</f>
        <v/>
      </c>
      <c r="R32" s="58"/>
      <c r="S32" s="5"/>
      <c r="T32" s="73" t="s">
        <v>51</v>
      </c>
      <c r="U32" s="74"/>
      <c r="V32" s="74"/>
      <c r="W32" s="74"/>
      <c r="X32" s="75" t="s">
        <v>47</v>
      </c>
      <c r="Y32" s="76">
        <f>VLOOKUP(AJ5,'[1]EP LARA'!$A$8:$AH$75,20,FALSE)</f>
        <v>0</v>
      </c>
      <c r="Z32" s="76"/>
      <c r="AA32" s="77" t="str">
        <f>IF(Y32&gt;0,"Fcfa","")</f>
        <v/>
      </c>
      <c r="AD32" s="73" t="s">
        <v>51</v>
      </c>
      <c r="AE32" s="74"/>
      <c r="AF32" s="74"/>
      <c r="AG32" s="74"/>
      <c r="AH32" s="78" t="s">
        <v>47</v>
      </c>
      <c r="AI32" s="79">
        <f>SUM(AI28:AI30)</f>
        <v>0</v>
      </c>
      <c r="AJ32" s="80" t="str">
        <f>IF(AI32&gt;0,"Fcfa","")</f>
        <v/>
      </c>
    </row>
    <row r="33" spans="1:36" s="1" customFormat="1" ht="6" customHeight="1" x14ac:dyDescent="0.25">
      <c r="S33" s="5"/>
    </row>
    <row r="34" spans="1:36" s="1" customFormat="1" x14ac:dyDescent="0.25">
      <c r="A34" s="81" t="s">
        <v>52</v>
      </c>
      <c r="B34" s="82"/>
      <c r="C34" s="82"/>
      <c r="D34" s="82"/>
      <c r="E34" s="83">
        <f>VLOOKUP(Q5,'[1]EP LARA'!$A$8:$AH$75,34,FALSE)</f>
        <v>0</v>
      </c>
      <c r="F34" s="83"/>
      <c r="G34" s="83"/>
      <c r="H34" s="83"/>
      <c r="I34" s="83"/>
      <c r="J34" s="83"/>
      <c r="K34" s="83"/>
      <c r="L34" s="83"/>
      <c r="M34" s="83"/>
      <c r="N34" s="83"/>
      <c r="O34" s="83"/>
      <c r="P34" s="83"/>
      <c r="Q34" s="84"/>
      <c r="R34" s="85"/>
      <c r="S34" s="5"/>
      <c r="T34" s="81" t="s">
        <v>52</v>
      </c>
      <c r="U34" s="82"/>
      <c r="V34" s="82"/>
      <c r="W34" s="82"/>
      <c r="X34" s="83">
        <f>VLOOKUP(AJ5,'[1]EP LARA'!$A$8:$AH$75,34,FALSE)</f>
        <v>0</v>
      </c>
      <c r="Y34" s="83"/>
      <c r="Z34" s="83"/>
      <c r="AA34" s="83"/>
      <c r="AB34" s="83"/>
      <c r="AC34" s="83"/>
      <c r="AD34" s="83"/>
      <c r="AE34" s="83"/>
      <c r="AF34" s="83"/>
      <c r="AG34" s="83"/>
      <c r="AH34" s="83"/>
      <c r="AI34" s="83"/>
      <c r="AJ34" s="84"/>
    </row>
    <row r="35" spans="1:36" s="1" customFormat="1" x14ac:dyDescent="0.25">
      <c r="A35" s="86"/>
      <c r="B35" s="87"/>
      <c r="C35" s="87"/>
      <c r="D35" s="87"/>
      <c r="E35" s="88" t="str">
        <f>IF(VLOOKUP(Q5,'[1]EP LARA'!$A$8:$AH$75,27,FALSE)&gt;0,"Prime de responsabilité sanctionné de "&amp;VLOOKUP(Q5,'[1]EP LARA'!$A$8:$AH$75,27,FALSE)&amp;"%","")</f>
        <v/>
      </c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88"/>
      <c r="Q35" s="89"/>
      <c r="R35" s="90"/>
      <c r="S35" s="5"/>
      <c r="T35" s="86"/>
      <c r="U35" s="87"/>
      <c r="V35" s="87"/>
      <c r="W35" s="87"/>
      <c r="X35" s="88" t="str">
        <f>IF(VLOOKUP(AJ5,'[1]EP LARA'!$A$8:$AH$75,27,FALSE)&gt;0,"Prime de responsabilité sanctionné de "&amp;VLOOKUP(AJ5,'[1]EP LARA'!$A$8:$AH$75,27,FALSE)&amp;"%","")</f>
        <v/>
      </c>
      <c r="Y35" s="88"/>
      <c r="Z35" s="88"/>
      <c r="AA35" s="88"/>
      <c r="AB35" s="88"/>
      <c r="AC35" s="88"/>
      <c r="AD35" s="88"/>
      <c r="AE35" s="88"/>
      <c r="AF35" s="88"/>
      <c r="AG35" s="88"/>
      <c r="AH35" s="88"/>
      <c r="AI35" s="88"/>
      <c r="AJ35" s="89"/>
    </row>
    <row r="36" spans="1:36" s="1" customFormat="1" x14ac:dyDescent="0.25">
      <c r="A36" s="91"/>
      <c r="B36" s="92"/>
      <c r="C36" s="92"/>
      <c r="D36" s="92"/>
      <c r="E36" s="92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3"/>
      <c r="R36" s="90"/>
      <c r="S36" s="5"/>
      <c r="T36" s="91"/>
      <c r="U36" s="92"/>
      <c r="V36" s="92"/>
      <c r="W36" s="92"/>
      <c r="X36" s="92"/>
      <c r="Y36" s="92"/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3"/>
    </row>
    <row r="37" spans="1:36" s="1" customFormat="1" x14ac:dyDescent="0.25">
      <c r="A37" s="1" t="s">
        <v>53</v>
      </c>
      <c r="I37" s="1" t="s">
        <v>54</v>
      </c>
      <c r="Q37" s="94" t="s">
        <v>55</v>
      </c>
      <c r="R37" s="94"/>
      <c r="S37" s="5"/>
      <c r="T37" s="1" t="s">
        <v>53</v>
      </c>
      <c r="AB37" s="1" t="s">
        <v>54</v>
      </c>
      <c r="AJ37" s="94" t="s">
        <v>55</v>
      </c>
    </row>
    <row r="38" spans="1:36" s="1" customFormat="1" x14ac:dyDescent="0.25">
      <c r="S38" s="5"/>
    </row>
    <row r="39" spans="1:36" s="1" customFormat="1" ht="15.75" x14ac:dyDescent="0.25">
      <c r="N39" s="2"/>
      <c r="P39" s="2"/>
      <c r="Q39" s="3" t="str">
        <f>IF(COUNTIF('[1]EP LARA'!$A$10:$A$56, Q43)&gt;0,'[1]EP LARA'!$A$7,IF(COUNTIF('[1]EP LARA'!$A$63:$A$75, Q43)&gt;0,'[1]EP LARA'!$A$60))</f>
        <v>EXPLOITATION LARA</v>
      </c>
      <c r="R39" s="4"/>
      <c r="S39" s="5"/>
      <c r="AG39" s="2"/>
      <c r="AH39" s="2"/>
      <c r="AI39" s="2"/>
      <c r="AJ39" s="3" t="str">
        <f>IF(COUNTIF('[1]EP LARA'!$A$10:$A$56, AJ43)&gt;0,'[1]EP LARA'!$A$7,IF(COUNTIF('[1]EP LARA'!$A$63:$A$75, AJ43)&gt;0,'[1]EP LARA'!$A$60))</f>
        <v>EXPLOITATION LARA</v>
      </c>
    </row>
    <row r="40" spans="1:36" s="1" customFormat="1" ht="18.75" customHeight="1" x14ac:dyDescent="0.25">
      <c r="N40" s="6"/>
      <c r="O40" s="6"/>
      <c r="P40" s="7" t="s">
        <v>0</v>
      </c>
      <c r="Q40" s="8">
        <f>'[1]EP LARA'!$C$1</f>
        <v>42217</v>
      </c>
      <c r="R40" s="8"/>
      <c r="S40" s="5"/>
      <c r="AG40" s="6"/>
      <c r="AH40" s="6"/>
      <c r="AI40" s="7" t="s">
        <v>0</v>
      </c>
      <c r="AJ40" s="8">
        <f>'[1]EP LARA'!$C$1</f>
        <v>42217</v>
      </c>
    </row>
    <row r="41" spans="1:36" s="1" customFormat="1" x14ac:dyDescent="0.25">
      <c r="S41" s="5"/>
    </row>
    <row r="42" spans="1:36" s="1" customFormat="1" x14ac:dyDescent="0.25">
      <c r="A42" s="9" t="s">
        <v>1</v>
      </c>
      <c r="B42" s="10"/>
      <c r="C42" s="10"/>
      <c r="D42" s="10"/>
      <c r="E42" s="10"/>
      <c r="F42" s="11"/>
      <c r="G42" s="12" t="str">
        <f>VLOOKUP(Q43,'[1]EP LARA'!$A$8:$AH$75,2,FALSE)</f>
        <v>EDIBAT Albert</v>
      </c>
      <c r="H42" s="13"/>
      <c r="I42" s="13"/>
      <c r="J42" s="13"/>
      <c r="K42" s="13"/>
      <c r="L42" s="13"/>
      <c r="M42" s="13"/>
      <c r="N42" s="13"/>
      <c r="O42" s="13"/>
      <c r="P42" s="13"/>
      <c r="Q42" s="14"/>
      <c r="R42" s="15"/>
      <c r="S42" s="5"/>
      <c r="T42" s="9" t="s">
        <v>1</v>
      </c>
      <c r="U42" s="10"/>
      <c r="V42" s="10"/>
      <c r="W42" s="10"/>
      <c r="X42" s="10"/>
      <c r="Y42" s="11"/>
      <c r="Z42" s="12" t="str">
        <f>VLOOKUP(AJ43,'[1]EP LARA'!$A$8:$AH$75,2,FALSE)</f>
        <v>MAVANDE Antoine</v>
      </c>
      <c r="AA42" s="13"/>
      <c r="AB42" s="13"/>
      <c r="AC42" s="13"/>
      <c r="AD42" s="13"/>
      <c r="AE42" s="13"/>
      <c r="AF42" s="13"/>
      <c r="AG42" s="13"/>
      <c r="AH42" s="13"/>
      <c r="AI42" s="13"/>
      <c r="AJ42" s="14"/>
    </row>
    <row r="43" spans="1:36" s="1" customFormat="1" x14ac:dyDescent="0.25">
      <c r="A43" s="16" t="s">
        <v>2</v>
      </c>
      <c r="B43" s="16"/>
      <c r="C43" s="17" t="str">
        <f>VLOOKUP(Q43,'[1]EP LARA'!$A$8:$AH$75,3,FALSE)</f>
        <v>Pointeur cubeur confirmé</v>
      </c>
      <c r="D43" s="17"/>
      <c r="E43" s="17"/>
      <c r="F43" s="17"/>
      <c r="G43" s="17"/>
      <c r="H43" s="17"/>
      <c r="I43" s="17"/>
      <c r="J43" s="18"/>
      <c r="K43" s="19" t="s">
        <v>3</v>
      </c>
      <c r="L43" s="20">
        <f>VLOOKUP(Q43,'[1]EP LARA'!$A$8:$AH$75,4,FALSE)</f>
        <v>6</v>
      </c>
      <c r="M43" s="20"/>
      <c r="N43" s="17" t="s">
        <v>4</v>
      </c>
      <c r="O43" s="17"/>
      <c r="P43" s="17"/>
      <c r="Q43" s="21">
        <v>224</v>
      </c>
      <c r="R43" s="22"/>
      <c r="S43" s="5"/>
      <c r="T43" s="16" t="s">
        <v>2</v>
      </c>
      <c r="U43" s="16"/>
      <c r="V43" s="17" t="str">
        <f>VLOOKUP(AJ43,'[1]EP LARA'!$A$8:$AH$75,3,FALSE)</f>
        <v>Marteleur</v>
      </c>
      <c r="W43" s="17"/>
      <c r="X43" s="17"/>
      <c r="Y43" s="17"/>
      <c r="Z43" s="17"/>
      <c r="AA43" s="17"/>
      <c r="AB43" s="17"/>
      <c r="AC43" s="18"/>
      <c r="AD43" s="19" t="s">
        <v>3</v>
      </c>
      <c r="AE43" s="20">
        <f>VLOOKUP(AJ43,'[1]EP LARA'!$A$8:$AH$75,4,FALSE)</f>
        <v>4</v>
      </c>
      <c r="AF43" s="20"/>
      <c r="AG43" s="17" t="s">
        <v>4</v>
      </c>
      <c r="AH43" s="17"/>
      <c r="AI43" s="17"/>
      <c r="AJ43" s="21">
        <v>459</v>
      </c>
    </row>
    <row r="44" spans="1:36" s="1" customFormat="1" ht="6" customHeight="1" x14ac:dyDescent="0.25">
      <c r="S44" s="5"/>
    </row>
    <row r="45" spans="1:36" s="6" customFormat="1" x14ac:dyDescent="0.25">
      <c r="B45" s="23" t="s">
        <v>5</v>
      </c>
      <c r="C45" s="24" t="s">
        <v>6</v>
      </c>
      <c r="D45" s="24" t="s">
        <v>7</v>
      </c>
      <c r="E45" s="24" t="s">
        <v>8</v>
      </c>
      <c r="G45" s="23" t="s">
        <v>5</v>
      </c>
      <c r="H45" s="24" t="s">
        <v>6</v>
      </c>
      <c r="I45" s="24" t="s">
        <v>7</v>
      </c>
      <c r="J45" s="24" t="s">
        <v>8</v>
      </c>
      <c r="L45" s="23" t="s">
        <v>5</v>
      </c>
      <c r="M45" s="24" t="s">
        <v>6</v>
      </c>
      <c r="N45" s="24" t="s">
        <v>7</v>
      </c>
      <c r="O45" s="24" t="s">
        <v>8</v>
      </c>
      <c r="P45" s="25" t="s">
        <v>9</v>
      </c>
      <c r="Q45" s="26">
        <f>VLOOKUP(Q43,'[1]EP LARA'!$A$8:$AH$75,6,FALSE)</f>
        <v>0</v>
      </c>
      <c r="R45" s="27"/>
      <c r="S45" s="28"/>
      <c r="U45" s="23" t="s">
        <v>5</v>
      </c>
      <c r="V45" s="24" t="s">
        <v>6</v>
      </c>
      <c r="W45" s="24" t="s">
        <v>7</v>
      </c>
      <c r="X45" s="24" t="s">
        <v>8</v>
      </c>
      <c r="Z45" s="23" t="s">
        <v>5</v>
      </c>
      <c r="AA45" s="24" t="s">
        <v>6</v>
      </c>
      <c r="AB45" s="24" t="s">
        <v>7</v>
      </c>
      <c r="AC45" s="24" t="s">
        <v>8</v>
      </c>
      <c r="AE45" s="23" t="s">
        <v>5</v>
      </c>
      <c r="AF45" s="24" t="s">
        <v>6</v>
      </c>
      <c r="AG45" s="24" t="s">
        <v>7</v>
      </c>
      <c r="AH45" s="24" t="s">
        <v>8</v>
      </c>
      <c r="AI45" s="25" t="s">
        <v>9</v>
      </c>
      <c r="AJ45" s="26">
        <f>VLOOKUP(AJ43,'[1]EP LARA'!$A$8:$AH$75,6,FALSE)</f>
        <v>0</v>
      </c>
    </row>
    <row r="46" spans="1:36" s="1" customFormat="1" x14ac:dyDescent="0.25">
      <c r="A46" s="29">
        <f>'[1]EP LARA'!$C$1-11</f>
        <v>42206</v>
      </c>
      <c r="B46" s="30"/>
      <c r="C46" s="31"/>
      <c r="D46" s="31"/>
      <c r="E46" s="31"/>
      <c r="F46" s="29">
        <f>A56+1</f>
        <v>42217</v>
      </c>
      <c r="G46" s="31">
        <v>8</v>
      </c>
      <c r="H46" s="31"/>
      <c r="I46" s="31"/>
      <c r="J46" s="31"/>
      <c r="K46" s="29">
        <f>F55+1</f>
        <v>42227</v>
      </c>
      <c r="L46" s="31">
        <v>8</v>
      </c>
      <c r="M46" s="31"/>
      <c r="N46" s="31"/>
      <c r="O46" s="31"/>
      <c r="P46" s="32" t="s">
        <v>10</v>
      </c>
      <c r="Q46" s="26">
        <f>VLOOKUP(Q43,'[1]EP LARA'!$A$8:$AH$75,8,FALSE)</f>
        <v>0</v>
      </c>
      <c r="R46" s="33"/>
      <c r="S46" s="34"/>
      <c r="T46" s="29">
        <f>'[1]EP LARA'!$C$1-11</f>
        <v>42206</v>
      </c>
      <c r="U46" s="30"/>
      <c r="V46" s="31"/>
      <c r="W46" s="31"/>
      <c r="X46" s="31"/>
      <c r="Y46" s="29">
        <f>T56+1</f>
        <v>42217</v>
      </c>
      <c r="Z46" s="31">
        <v>8</v>
      </c>
      <c r="AA46" s="31"/>
      <c r="AB46" s="31"/>
      <c r="AC46" s="31"/>
      <c r="AD46" s="29">
        <f>Y55+1</f>
        <v>42227</v>
      </c>
      <c r="AE46" s="31">
        <v>8</v>
      </c>
      <c r="AF46" s="31"/>
      <c r="AG46" s="31"/>
      <c r="AH46" s="31"/>
      <c r="AI46" s="32" t="s">
        <v>10</v>
      </c>
      <c r="AJ46" s="26">
        <f>VLOOKUP(AJ43,'[1]EP LARA'!$A$8:$AH$75,8,FALSE)</f>
        <v>0</v>
      </c>
    </row>
    <row r="47" spans="1:36" s="1" customFormat="1" x14ac:dyDescent="0.25">
      <c r="A47" s="29">
        <f t="shared" ref="A47:A56" si="8">A46+1</f>
        <v>42207</v>
      </c>
      <c r="B47" s="31"/>
      <c r="C47" s="31"/>
      <c r="D47" s="31"/>
      <c r="E47" s="31"/>
      <c r="F47" s="29">
        <f>F46+1</f>
        <v>42218</v>
      </c>
      <c r="G47" s="31">
        <v>8</v>
      </c>
      <c r="H47" s="31">
        <v>1</v>
      </c>
      <c r="I47" s="31"/>
      <c r="J47" s="31"/>
      <c r="K47" s="29">
        <f>K46+1</f>
        <v>42228</v>
      </c>
      <c r="L47" s="31"/>
      <c r="M47" s="31"/>
      <c r="N47" s="31"/>
      <c r="O47" s="31"/>
      <c r="P47" s="32" t="s">
        <v>11</v>
      </c>
      <c r="Q47" s="26">
        <f>VLOOKUP(Q43,'[1]EP LARA'!$A$8:$AH$75,9,FALSE)</f>
        <v>0</v>
      </c>
      <c r="R47" s="27"/>
      <c r="S47" s="5"/>
      <c r="T47" s="29">
        <f t="shared" ref="T47:T56" si="9">T46+1</f>
        <v>42207</v>
      </c>
      <c r="U47" s="31"/>
      <c r="V47" s="31"/>
      <c r="W47" s="31"/>
      <c r="X47" s="31"/>
      <c r="Y47" s="29">
        <f>Y46+1</f>
        <v>42218</v>
      </c>
      <c r="Z47" s="31">
        <v>8</v>
      </c>
      <c r="AA47" s="31"/>
      <c r="AB47" s="31"/>
      <c r="AC47" s="31"/>
      <c r="AD47" s="29">
        <f>AD46+1</f>
        <v>42228</v>
      </c>
      <c r="AE47" s="31"/>
      <c r="AF47" s="31"/>
      <c r="AG47" s="31"/>
      <c r="AH47" s="31"/>
      <c r="AI47" s="32" t="s">
        <v>11</v>
      </c>
      <c r="AJ47" s="26">
        <f>VLOOKUP(AJ43,'[1]EP LARA'!$A$8:$AH$75,9,FALSE)</f>
        <v>0</v>
      </c>
    </row>
    <row r="48" spans="1:36" s="1" customFormat="1" x14ac:dyDescent="0.25">
      <c r="A48" s="29">
        <f t="shared" si="8"/>
        <v>42208</v>
      </c>
      <c r="B48" s="31">
        <v>8</v>
      </c>
      <c r="C48" s="31"/>
      <c r="D48" s="31"/>
      <c r="E48" s="31"/>
      <c r="F48" s="29">
        <f t="shared" ref="F48:F55" si="10">F47+1</f>
        <v>42219</v>
      </c>
      <c r="G48" s="31">
        <v>8</v>
      </c>
      <c r="H48" s="31">
        <v>1</v>
      </c>
      <c r="I48" s="31"/>
      <c r="J48" s="31"/>
      <c r="K48" s="29">
        <f>K47+1</f>
        <v>42229</v>
      </c>
      <c r="L48" s="31">
        <v>8</v>
      </c>
      <c r="M48" s="31">
        <v>1</v>
      </c>
      <c r="N48" s="31"/>
      <c r="O48" s="31"/>
      <c r="P48" s="32" t="s">
        <v>12</v>
      </c>
      <c r="Q48" s="26">
        <f>VLOOKUP(Q43,'[1]EP LARA'!$A$8:$AH$75,10,FALSE)</f>
        <v>0</v>
      </c>
      <c r="R48" s="27"/>
      <c r="S48" s="5"/>
      <c r="T48" s="29">
        <f t="shared" si="9"/>
        <v>42208</v>
      </c>
      <c r="U48" s="31">
        <v>8</v>
      </c>
      <c r="V48" s="31"/>
      <c r="W48" s="31"/>
      <c r="X48" s="31"/>
      <c r="Y48" s="29">
        <f t="shared" ref="Y48:Y55" si="11">Y47+1</f>
        <v>42219</v>
      </c>
      <c r="Z48" s="31">
        <v>8</v>
      </c>
      <c r="AA48" s="31"/>
      <c r="AB48" s="31"/>
      <c r="AC48" s="31"/>
      <c r="AD48" s="29">
        <f>AD47+1</f>
        <v>42229</v>
      </c>
      <c r="AE48" s="31">
        <v>8</v>
      </c>
      <c r="AF48" s="31"/>
      <c r="AG48" s="31"/>
      <c r="AH48" s="31"/>
      <c r="AI48" s="32" t="s">
        <v>12</v>
      </c>
      <c r="AJ48" s="26">
        <f>VLOOKUP(AJ43,'[1]EP LARA'!$A$8:$AH$75,10,FALSE)</f>
        <v>0</v>
      </c>
    </row>
    <row r="49" spans="1:36" s="1" customFormat="1" x14ac:dyDescent="0.25">
      <c r="A49" s="29">
        <f t="shared" si="8"/>
        <v>42209</v>
      </c>
      <c r="B49" s="31">
        <v>8</v>
      </c>
      <c r="C49" s="31"/>
      <c r="D49" s="31"/>
      <c r="E49" s="31"/>
      <c r="F49" s="29">
        <f t="shared" si="10"/>
        <v>42220</v>
      </c>
      <c r="G49" s="31">
        <v>8</v>
      </c>
      <c r="H49" s="31"/>
      <c r="I49" s="31"/>
      <c r="J49" s="31"/>
      <c r="K49" s="29">
        <f t="shared" ref="K49:K55" si="12">K48+1</f>
        <v>42230</v>
      </c>
      <c r="L49" s="31">
        <v>8</v>
      </c>
      <c r="M49" s="31">
        <v>1</v>
      </c>
      <c r="N49" s="31"/>
      <c r="O49" s="31"/>
      <c r="P49" s="32" t="s">
        <v>13</v>
      </c>
      <c r="Q49" s="26">
        <f>VLOOKUP(Q43,'[1]EP LARA'!$A$8:$AH$75,11,FALSE)</f>
        <v>0</v>
      </c>
      <c r="R49" s="27"/>
      <c r="S49" s="5"/>
      <c r="T49" s="29">
        <f t="shared" si="9"/>
        <v>42209</v>
      </c>
      <c r="U49" s="31">
        <v>8</v>
      </c>
      <c r="V49" s="31"/>
      <c r="W49" s="31"/>
      <c r="X49" s="31"/>
      <c r="Y49" s="29">
        <f t="shared" si="11"/>
        <v>42220</v>
      </c>
      <c r="Z49" s="31">
        <v>8</v>
      </c>
      <c r="AA49" s="31"/>
      <c r="AB49" s="31"/>
      <c r="AC49" s="31"/>
      <c r="AD49" s="29">
        <f t="shared" ref="AD49:AD55" si="13">AD48+1</f>
        <v>42230</v>
      </c>
      <c r="AE49" s="31">
        <v>8</v>
      </c>
      <c r="AF49" s="31"/>
      <c r="AG49" s="31"/>
      <c r="AH49" s="31"/>
      <c r="AI49" s="32" t="s">
        <v>13</v>
      </c>
      <c r="AJ49" s="26">
        <f>VLOOKUP(AJ43,'[1]EP LARA'!$A$8:$AH$75,11,FALSE)</f>
        <v>0</v>
      </c>
    </row>
    <row r="50" spans="1:36" s="1" customFormat="1" x14ac:dyDescent="0.25">
      <c r="A50" s="29">
        <f t="shared" si="8"/>
        <v>42210</v>
      </c>
      <c r="B50" s="31">
        <v>8</v>
      </c>
      <c r="C50" s="31"/>
      <c r="D50" s="31"/>
      <c r="E50" s="31"/>
      <c r="F50" s="29">
        <f t="shared" si="10"/>
        <v>42221</v>
      </c>
      <c r="G50" s="31"/>
      <c r="H50" s="31"/>
      <c r="I50" s="31"/>
      <c r="J50" s="31"/>
      <c r="K50" s="29">
        <f t="shared" si="12"/>
        <v>42231</v>
      </c>
      <c r="L50" s="31">
        <v>8</v>
      </c>
      <c r="M50" s="31">
        <v>1</v>
      </c>
      <c r="N50" s="31"/>
      <c r="O50" s="31"/>
      <c r="P50" s="32" t="s">
        <v>14</v>
      </c>
      <c r="Q50" s="26">
        <f>VLOOKUP(Q43,'[1]EP LARA'!$A$8:$AH$75,12,FALSE)</f>
        <v>216</v>
      </c>
      <c r="R50" s="27"/>
      <c r="S50" s="5"/>
      <c r="T50" s="29">
        <f t="shared" si="9"/>
        <v>42210</v>
      </c>
      <c r="U50" s="31">
        <v>8</v>
      </c>
      <c r="V50" s="31"/>
      <c r="W50" s="31"/>
      <c r="X50" s="31"/>
      <c r="Y50" s="29">
        <f t="shared" si="11"/>
        <v>42221</v>
      </c>
      <c r="Z50" s="31"/>
      <c r="AA50" s="31"/>
      <c r="AB50" s="31"/>
      <c r="AC50" s="31"/>
      <c r="AD50" s="29">
        <f t="shared" si="13"/>
        <v>42231</v>
      </c>
      <c r="AE50" s="31">
        <v>8</v>
      </c>
      <c r="AF50" s="31"/>
      <c r="AG50" s="31"/>
      <c r="AH50" s="31"/>
      <c r="AI50" s="32" t="s">
        <v>14</v>
      </c>
      <c r="AJ50" s="26">
        <f>VLOOKUP(AJ43,'[1]EP LARA'!$A$8:$AH$75,12,FALSE)</f>
        <v>216</v>
      </c>
    </row>
    <row r="51" spans="1:36" s="1" customFormat="1" x14ac:dyDescent="0.25">
      <c r="A51" s="29">
        <f t="shared" si="8"/>
        <v>42211</v>
      </c>
      <c r="B51" s="31">
        <v>8</v>
      </c>
      <c r="C51" s="31"/>
      <c r="D51" s="31"/>
      <c r="E51" s="31"/>
      <c r="F51" s="29">
        <f t="shared" si="10"/>
        <v>42222</v>
      </c>
      <c r="G51" s="31">
        <v>8</v>
      </c>
      <c r="H51" s="31">
        <v>1</v>
      </c>
      <c r="I51" s="31"/>
      <c r="J51" s="31"/>
      <c r="K51" s="29">
        <f t="shared" si="12"/>
        <v>42232</v>
      </c>
      <c r="L51" s="31">
        <v>8</v>
      </c>
      <c r="M51" s="31">
        <v>1</v>
      </c>
      <c r="N51" s="31"/>
      <c r="O51" s="31"/>
      <c r="P51" s="32" t="s">
        <v>15</v>
      </c>
      <c r="Q51" s="35">
        <f>VLOOKUP(Q43,'[1]EP LARA'!$A$8:$AH$75,13,FALSE)</f>
        <v>0</v>
      </c>
      <c r="R51" s="36"/>
      <c r="S51" s="5"/>
      <c r="T51" s="29">
        <f t="shared" si="9"/>
        <v>42211</v>
      </c>
      <c r="U51" s="31">
        <v>8</v>
      </c>
      <c r="V51" s="31"/>
      <c r="W51" s="31"/>
      <c r="X51" s="31"/>
      <c r="Y51" s="29">
        <f t="shared" si="11"/>
        <v>42222</v>
      </c>
      <c r="Z51" s="31">
        <v>8</v>
      </c>
      <c r="AA51" s="31"/>
      <c r="AB51" s="31"/>
      <c r="AC51" s="31"/>
      <c r="AD51" s="29">
        <f t="shared" si="13"/>
        <v>42232</v>
      </c>
      <c r="AE51" s="31">
        <v>8</v>
      </c>
      <c r="AF51" s="31"/>
      <c r="AG51" s="31"/>
      <c r="AH51" s="31"/>
      <c r="AI51" s="32" t="s">
        <v>15</v>
      </c>
      <c r="AJ51" s="35">
        <f>VLOOKUP(AJ43,'[1]EP LARA'!$A$8:$AH$75,13,FALSE)</f>
        <v>0</v>
      </c>
    </row>
    <row r="52" spans="1:36" s="1" customFormat="1" x14ac:dyDescent="0.25">
      <c r="A52" s="29">
        <f t="shared" si="8"/>
        <v>42212</v>
      </c>
      <c r="B52" s="30">
        <v>8</v>
      </c>
      <c r="C52" s="31"/>
      <c r="D52" s="31"/>
      <c r="E52" s="31"/>
      <c r="F52" s="29">
        <f t="shared" si="10"/>
        <v>42223</v>
      </c>
      <c r="G52" s="31">
        <v>8</v>
      </c>
      <c r="H52" s="31">
        <v>1</v>
      </c>
      <c r="I52" s="31"/>
      <c r="J52" s="31"/>
      <c r="K52" s="29">
        <f t="shared" si="12"/>
        <v>42233</v>
      </c>
      <c r="L52" s="31" t="s">
        <v>16</v>
      </c>
      <c r="M52" s="31"/>
      <c r="N52" s="31"/>
      <c r="O52" s="31"/>
      <c r="P52" s="32" t="s">
        <v>17</v>
      </c>
      <c r="Q52" s="35">
        <f>VLOOKUP(Q43,'[1]EP LARA'!$A$8:$AH$75,20,FALSE)</f>
        <v>0</v>
      </c>
      <c r="R52" s="36"/>
      <c r="S52" s="5"/>
      <c r="T52" s="29">
        <f t="shared" si="9"/>
        <v>42212</v>
      </c>
      <c r="U52" s="30">
        <v>8</v>
      </c>
      <c r="V52" s="31"/>
      <c r="W52" s="31"/>
      <c r="X52" s="31"/>
      <c r="Y52" s="29">
        <f t="shared" si="11"/>
        <v>42223</v>
      </c>
      <c r="Z52" s="31">
        <v>8</v>
      </c>
      <c r="AA52" s="31"/>
      <c r="AB52" s="31"/>
      <c r="AC52" s="31"/>
      <c r="AD52" s="29">
        <f t="shared" si="13"/>
        <v>42233</v>
      </c>
      <c r="AE52" s="31" t="s">
        <v>16</v>
      </c>
      <c r="AF52" s="31"/>
      <c r="AG52" s="31"/>
      <c r="AH52" s="31"/>
      <c r="AI52" s="32" t="s">
        <v>17</v>
      </c>
      <c r="AJ52" s="35">
        <f>VLOOKUP(AJ43,'[1]EP LARA'!$A$8:$AH$75,20,FALSE)</f>
        <v>0</v>
      </c>
    </row>
    <row r="53" spans="1:36" s="1" customFormat="1" x14ac:dyDescent="0.25">
      <c r="A53" s="29">
        <f t="shared" si="8"/>
        <v>42213</v>
      </c>
      <c r="B53" s="31">
        <v>8</v>
      </c>
      <c r="C53" s="31"/>
      <c r="D53" s="31"/>
      <c r="E53" s="31"/>
      <c r="F53" s="29">
        <f t="shared" si="10"/>
        <v>42224</v>
      </c>
      <c r="G53" s="31">
        <v>8</v>
      </c>
      <c r="H53" s="31">
        <v>1</v>
      </c>
      <c r="I53" s="31"/>
      <c r="J53" s="31"/>
      <c r="K53" s="29">
        <f t="shared" si="12"/>
        <v>42234</v>
      </c>
      <c r="L53" s="31">
        <v>8</v>
      </c>
      <c r="M53" s="31"/>
      <c r="N53" s="31"/>
      <c r="O53" s="31"/>
      <c r="P53" s="32" t="s">
        <v>19</v>
      </c>
      <c r="Q53" s="35">
        <f>P70</f>
        <v>0</v>
      </c>
      <c r="R53" s="36"/>
      <c r="S53" s="5"/>
      <c r="T53" s="29">
        <f t="shared" si="9"/>
        <v>42213</v>
      </c>
      <c r="U53" s="31">
        <v>8</v>
      </c>
      <c r="V53" s="31"/>
      <c r="W53" s="31"/>
      <c r="X53" s="31"/>
      <c r="Y53" s="29">
        <f t="shared" si="11"/>
        <v>42224</v>
      </c>
      <c r="Z53" s="31">
        <v>8</v>
      </c>
      <c r="AA53" s="31"/>
      <c r="AB53" s="31"/>
      <c r="AC53" s="31"/>
      <c r="AD53" s="29">
        <f t="shared" si="13"/>
        <v>42234</v>
      </c>
      <c r="AE53" s="31">
        <v>8</v>
      </c>
      <c r="AF53" s="31"/>
      <c r="AG53" s="31"/>
      <c r="AH53" s="31"/>
      <c r="AI53" s="32" t="s">
        <v>19</v>
      </c>
      <c r="AJ53" s="35">
        <f>AI70</f>
        <v>0</v>
      </c>
    </row>
    <row r="54" spans="1:36" s="1" customFormat="1" x14ac:dyDescent="0.25">
      <c r="A54" s="29">
        <f t="shared" si="8"/>
        <v>42214</v>
      </c>
      <c r="B54" s="31"/>
      <c r="C54" s="31"/>
      <c r="D54" s="31"/>
      <c r="E54" s="31"/>
      <c r="F54" s="29">
        <f t="shared" si="10"/>
        <v>42225</v>
      </c>
      <c r="G54" s="31">
        <v>8</v>
      </c>
      <c r="H54" s="31"/>
      <c r="I54" s="31"/>
      <c r="J54" s="31"/>
      <c r="K54" s="29">
        <f t="shared" si="12"/>
        <v>42235</v>
      </c>
      <c r="L54" s="31"/>
      <c r="M54" s="31"/>
      <c r="N54" s="31"/>
      <c r="O54" s="31"/>
      <c r="P54" s="32" t="s">
        <v>20</v>
      </c>
      <c r="Q54" s="35">
        <f>VLOOKUP(Q43,'[1]EP LARA'!$A$8:$AH$75,29,FALSE)</f>
        <v>0</v>
      </c>
      <c r="R54" s="36"/>
      <c r="S54" s="5"/>
      <c r="T54" s="29">
        <f t="shared" si="9"/>
        <v>42214</v>
      </c>
      <c r="U54" s="31"/>
      <c r="V54" s="31"/>
      <c r="W54" s="31"/>
      <c r="X54" s="31"/>
      <c r="Y54" s="29">
        <f t="shared" si="11"/>
        <v>42225</v>
      </c>
      <c r="Z54" s="31">
        <v>8</v>
      </c>
      <c r="AA54" s="31"/>
      <c r="AB54" s="31"/>
      <c r="AC54" s="31"/>
      <c r="AD54" s="29">
        <f t="shared" si="13"/>
        <v>42235</v>
      </c>
      <c r="AE54" s="31"/>
      <c r="AF54" s="31"/>
      <c r="AG54" s="31"/>
      <c r="AH54" s="31"/>
      <c r="AI54" s="32" t="s">
        <v>20</v>
      </c>
      <c r="AJ54" s="35">
        <f>VLOOKUP(AJ43,'[1]EP LARA'!$A$8:$AH$75,29,FALSE)</f>
        <v>0</v>
      </c>
    </row>
    <row r="55" spans="1:36" s="1" customFormat="1" x14ac:dyDescent="0.25">
      <c r="A55" s="29">
        <f t="shared" si="8"/>
        <v>42215</v>
      </c>
      <c r="B55" s="31">
        <v>8</v>
      </c>
      <c r="C55" s="31">
        <v>1</v>
      </c>
      <c r="D55" s="31"/>
      <c r="E55" s="31"/>
      <c r="F55" s="29">
        <f t="shared" si="10"/>
        <v>42226</v>
      </c>
      <c r="G55" s="31">
        <v>8</v>
      </c>
      <c r="H55" s="31"/>
      <c r="I55" s="31"/>
      <c r="J55" s="31"/>
      <c r="K55" s="29">
        <f t="shared" si="12"/>
        <v>42236</v>
      </c>
      <c r="L55" s="31">
        <v>8</v>
      </c>
      <c r="M55" s="31">
        <v>1</v>
      </c>
      <c r="N55" s="31"/>
      <c r="O55" s="31"/>
      <c r="P55" s="32" t="s">
        <v>21</v>
      </c>
      <c r="Q55" s="35">
        <f>VLOOKUP(Q43,'[1]EP LARA'!$A$8:$AH$75,15,FALSE)</f>
        <v>0</v>
      </c>
      <c r="R55" s="37"/>
      <c r="S55" s="5"/>
      <c r="T55" s="29">
        <f t="shared" si="9"/>
        <v>42215</v>
      </c>
      <c r="U55" s="31">
        <v>8</v>
      </c>
      <c r="V55" s="31"/>
      <c r="W55" s="31"/>
      <c r="X55" s="31"/>
      <c r="Y55" s="29">
        <f t="shared" si="11"/>
        <v>42226</v>
      </c>
      <c r="Z55" s="31">
        <v>8</v>
      </c>
      <c r="AA55" s="31"/>
      <c r="AB55" s="31"/>
      <c r="AC55" s="31"/>
      <c r="AD55" s="29">
        <f t="shared" si="13"/>
        <v>42236</v>
      </c>
      <c r="AE55" s="31">
        <v>8</v>
      </c>
      <c r="AF55" s="31"/>
      <c r="AG55" s="31"/>
      <c r="AH55" s="31"/>
      <c r="AI55" s="32" t="s">
        <v>21</v>
      </c>
      <c r="AJ55" s="35">
        <f>VLOOKUP(AJ43,'[1]EP LARA'!$A$8:$AH$75,15,FALSE)</f>
        <v>0</v>
      </c>
    </row>
    <row r="56" spans="1:36" s="1" customFormat="1" x14ac:dyDescent="0.25">
      <c r="A56" s="29">
        <f t="shared" si="8"/>
        <v>42216</v>
      </c>
      <c r="B56" s="31">
        <v>8</v>
      </c>
      <c r="C56" s="31">
        <v>1</v>
      </c>
      <c r="D56" s="31"/>
      <c r="E56" s="31"/>
      <c r="P56" s="38"/>
      <c r="Q56" s="39"/>
      <c r="R56" s="40"/>
      <c r="S56" s="5"/>
      <c r="T56" s="29">
        <f t="shared" si="9"/>
        <v>42216</v>
      </c>
      <c r="U56" s="31">
        <v>8</v>
      </c>
      <c r="V56" s="31"/>
      <c r="W56" s="31"/>
      <c r="X56" s="31"/>
      <c r="AI56" s="38"/>
      <c r="AJ56" s="39"/>
    </row>
    <row r="57" spans="1:36" s="1" customFormat="1" ht="12.75" customHeight="1" x14ac:dyDescent="0.25">
      <c r="A57" s="37" t="s">
        <v>22</v>
      </c>
      <c r="B57" s="41">
        <f>COUNTIF(B46:O56,"A")</f>
        <v>0</v>
      </c>
      <c r="C57" s="37"/>
      <c r="D57" s="37" t="s">
        <v>23</v>
      </c>
      <c r="E57" s="41">
        <f>COUNTIF(B46:O56,"P")</f>
        <v>0</v>
      </c>
      <c r="F57" s="37"/>
      <c r="G57" s="37"/>
      <c r="H57" s="42" t="s">
        <v>24</v>
      </c>
      <c r="I57" s="42"/>
      <c r="J57" s="41">
        <f>COUNTIF(B46:O56,"CP")</f>
        <v>0</v>
      </c>
      <c r="K57" s="37"/>
      <c r="L57" s="43" t="s">
        <v>25</v>
      </c>
      <c r="M57" s="43"/>
      <c r="N57" s="44">
        <f>COUNTIF(B46:O56,"PEF")</f>
        <v>0</v>
      </c>
      <c r="O57" s="44"/>
      <c r="P57" s="18"/>
      <c r="Q57" s="37"/>
      <c r="R57" s="37"/>
      <c r="S57" s="5"/>
      <c r="T57" s="37" t="s">
        <v>22</v>
      </c>
      <c r="U57" s="41">
        <f>COUNTIF(U46:AH56,"A")</f>
        <v>0</v>
      </c>
      <c r="V57" s="37"/>
      <c r="W57" s="37" t="s">
        <v>23</v>
      </c>
      <c r="X57" s="41">
        <f>COUNTIF(U46:AH56,"P")</f>
        <v>0</v>
      </c>
      <c r="Y57" s="37"/>
      <c r="Z57" s="37"/>
      <c r="AA57" s="42" t="s">
        <v>24</v>
      </c>
      <c r="AB57" s="42"/>
      <c r="AC57" s="41">
        <f>COUNTIF(U46:AH56,"CP")</f>
        <v>0</v>
      </c>
      <c r="AD57" s="37"/>
      <c r="AE57" s="43" t="s">
        <v>25</v>
      </c>
      <c r="AF57" s="43"/>
      <c r="AG57" s="44">
        <f>COUNTIF(U46:AH56,"PEF")</f>
        <v>0</v>
      </c>
      <c r="AH57" s="44"/>
      <c r="AI57" s="18"/>
      <c r="AJ57" s="37"/>
    </row>
    <row r="58" spans="1:36" s="1" customFormat="1" x14ac:dyDescent="0.25">
      <c r="A58" s="45" t="s">
        <v>26</v>
      </c>
      <c r="B58" s="46"/>
      <c r="C58" s="46"/>
      <c r="D58" s="45" t="s">
        <v>27</v>
      </c>
      <c r="E58" s="46"/>
      <c r="F58" s="46"/>
      <c r="G58" s="46"/>
      <c r="H58" s="47" t="s">
        <v>28</v>
      </c>
      <c r="I58" s="47"/>
      <c r="K58" s="48" t="s">
        <v>29</v>
      </c>
      <c r="P58" s="32" t="s">
        <v>30</v>
      </c>
      <c r="Q58" s="49">
        <f>VLOOKUP(Q43,'[1]EP LARA'!$A$8:$AH$75,32,FALSE)</f>
        <v>0</v>
      </c>
      <c r="R58" s="39"/>
      <c r="S58" s="5"/>
      <c r="T58" s="45" t="s">
        <v>26</v>
      </c>
      <c r="U58" s="46"/>
      <c r="V58" s="46"/>
      <c r="W58" s="45" t="s">
        <v>27</v>
      </c>
      <c r="X58" s="46"/>
      <c r="Y58" s="46"/>
      <c r="Z58" s="46"/>
      <c r="AA58" s="47" t="s">
        <v>28</v>
      </c>
      <c r="AB58" s="47"/>
      <c r="AD58" s="48" t="s">
        <v>29</v>
      </c>
      <c r="AI58" s="32" t="s">
        <v>30</v>
      </c>
      <c r="AJ58" s="49">
        <f>VLOOKUP(AJ43,'[1]EP LARA'!$A$8:$AH$75,32,FALSE)</f>
        <v>0</v>
      </c>
    </row>
    <row r="59" spans="1:36" s="1" customFormat="1" x14ac:dyDescent="0.25">
      <c r="P59" s="32" t="s">
        <v>31</v>
      </c>
      <c r="Q59" s="49">
        <f>VLOOKUP(Q43,'[1]EP LARA'!$A$8:$AH$75,31,FALSE)</f>
        <v>0</v>
      </c>
      <c r="R59" s="39"/>
      <c r="S59" s="5"/>
      <c r="AI59" s="32" t="s">
        <v>31</v>
      </c>
      <c r="AJ59" s="49">
        <f>VLOOKUP(AJ43,'[1]EP LARA'!$A$8:$AH$75,31,FALSE)</f>
        <v>0</v>
      </c>
    </row>
    <row r="60" spans="1:36" s="1" customFormat="1" x14ac:dyDescent="0.25">
      <c r="A60" s="43" t="s">
        <v>32</v>
      </c>
      <c r="B60" s="43"/>
      <c r="C60" s="41">
        <f>COUNTIF(B46:O56,"AT")</f>
        <v>0</v>
      </c>
      <c r="D60" s="37"/>
      <c r="E60" s="37" t="s">
        <v>33</v>
      </c>
      <c r="F60" s="41">
        <f>COUNTIF(B46:O56,"M")</f>
        <v>0</v>
      </c>
      <c r="G60" s="37"/>
      <c r="H60" s="37" t="s">
        <v>34</v>
      </c>
      <c r="I60" s="41">
        <f>COUNTIF(B46:O56,"I")</f>
        <v>0</v>
      </c>
      <c r="J60" s="37"/>
      <c r="K60" s="37"/>
      <c r="L60" s="37" t="s">
        <v>35</v>
      </c>
      <c r="M60" s="41">
        <f>COUNTIF(B46:O56,"F")</f>
        <v>1</v>
      </c>
      <c r="N60" s="37"/>
      <c r="O60" s="37"/>
      <c r="P60" s="32" t="s">
        <v>36</v>
      </c>
      <c r="Q60" s="49">
        <f>VLOOKUP(Q43,'[1]EP LARA'!$A$8:$AH$75,33,FALSE)</f>
        <v>0</v>
      </c>
      <c r="R60" s="39"/>
      <c r="S60" s="5"/>
      <c r="T60" s="43" t="s">
        <v>32</v>
      </c>
      <c r="U60" s="43"/>
      <c r="V60" s="41">
        <f>COUNTIF(U46:AH56,"AT")</f>
        <v>0</v>
      </c>
      <c r="W60" s="37"/>
      <c r="X60" s="37" t="s">
        <v>33</v>
      </c>
      <c r="Y60" s="41">
        <f>COUNTIF(U46:AH56,"M")</f>
        <v>0</v>
      </c>
      <c r="Z60" s="37"/>
      <c r="AA60" s="37" t="s">
        <v>34</v>
      </c>
      <c r="AB60" s="41">
        <f>COUNTIF(U46:AH56,"I")</f>
        <v>0</v>
      </c>
      <c r="AC60" s="37"/>
      <c r="AD60" s="37"/>
      <c r="AE60" s="37" t="s">
        <v>35</v>
      </c>
      <c r="AF60" s="41">
        <f>COUNTIF(U46:AH56,"F")</f>
        <v>1</v>
      </c>
      <c r="AG60" s="37"/>
      <c r="AH60" s="37"/>
      <c r="AI60" s="32" t="s">
        <v>36</v>
      </c>
      <c r="AJ60" s="49">
        <f>VLOOKUP(AJ43,'[1]EP LARA'!$A$8:$AH$75,33,FALSE)</f>
        <v>0</v>
      </c>
    </row>
    <row r="61" spans="1:36" s="1" customFormat="1" ht="9" customHeight="1" x14ac:dyDescent="0.25">
      <c r="A61" s="50" t="s">
        <v>37</v>
      </c>
      <c r="B61" s="46"/>
      <c r="C61" s="46"/>
      <c r="D61" s="46"/>
      <c r="E61" s="45" t="s">
        <v>38</v>
      </c>
      <c r="F61" s="46"/>
      <c r="G61" s="46"/>
      <c r="H61" s="45" t="s">
        <v>39</v>
      </c>
      <c r="I61" s="46"/>
      <c r="J61" s="46"/>
      <c r="K61" s="46"/>
      <c r="L61" s="45" t="s">
        <v>40</v>
      </c>
      <c r="S61" s="5"/>
      <c r="T61" s="50" t="s">
        <v>37</v>
      </c>
      <c r="U61" s="46"/>
      <c r="V61" s="46"/>
      <c r="W61" s="46"/>
      <c r="X61" s="45" t="s">
        <v>38</v>
      </c>
      <c r="Y61" s="46"/>
      <c r="Z61" s="46"/>
      <c r="AA61" s="45" t="s">
        <v>39</v>
      </c>
      <c r="AB61" s="46"/>
      <c r="AC61" s="46"/>
      <c r="AD61" s="46"/>
      <c r="AE61" s="45" t="s">
        <v>40</v>
      </c>
    </row>
    <row r="62" spans="1:36" s="1" customFormat="1" x14ac:dyDescent="0.25">
      <c r="A62" s="12" t="s">
        <v>41</v>
      </c>
      <c r="B62" s="13"/>
      <c r="C62" s="13"/>
      <c r="D62" s="13"/>
      <c r="E62" s="13"/>
      <c r="F62" s="51">
        <f>'[1]EP LARA'!$C$5</f>
        <v>27</v>
      </c>
      <c r="G62" s="52"/>
      <c r="H62" s="52" t="s">
        <v>42</v>
      </c>
      <c r="I62" s="52"/>
      <c r="J62" s="52"/>
      <c r="K62" s="52"/>
      <c r="L62" s="10">
        <f>'[1]EP LARA'!$C$4</f>
        <v>216</v>
      </c>
      <c r="M62" s="10"/>
      <c r="N62" s="52"/>
      <c r="O62" s="52" t="s">
        <v>43</v>
      </c>
      <c r="P62" s="52"/>
      <c r="Q62" s="53">
        <f>'[1]EP LARA'!$C$2</f>
        <v>0</v>
      </c>
      <c r="R62" s="54"/>
      <c r="S62" s="5"/>
      <c r="T62" s="12" t="s">
        <v>41</v>
      </c>
      <c r="U62" s="13"/>
      <c r="V62" s="13"/>
      <c r="W62" s="13"/>
      <c r="X62" s="13"/>
      <c r="Y62" s="51">
        <f>'[1]EP LARA'!$C$5</f>
        <v>27</v>
      </c>
      <c r="Z62" s="52"/>
      <c r="AA62" s="52" t="s">
        <v>42</v>
      </c>
      <c r="AB62" s="52"/>
      <c r="AC62" s="52"/>
      <c r="AD62" s="52"/>
      <c r="AE62" s="10">
        <f>'[1]EP LARA'!$C$4</f>
        <v>216</v>
      </c>
      <c r="AF62" s="10"/>
      <c r="AG62" s="52"/>
      <c r="AH62" s="52" t="s">
        <v>43</v>
      </c>
      <c r="AI62" s="52"/>
      <c r="AJ62" s="53">
        <f>'[1]EP LARA'!$C$2</f>
        <v>0</v>
      </c>
    </row>
    <row r="63" spans="1:36" s="1" customFormat="1" ht="6" customHeight="1" x14ac:dyDescent="0.25">
      <c r="S63" s="5"/>
    </row>
    <row r="64" spans="1:36" s="1" customFormat="1" ht="12" customHeight="1" x14ac:dyDescent="0.25">
      <c r="A64" s="55" t="s">
        <v>44</v>
      </c>
      <c r="B64" s="56"/>
      <c r="C64" s="56"/>
      <c r="D64" s="56"/>
      <c r="E64" s="56"/>
      <c r="F64" s="56"/>
      <c r="G64" s="56"/>
      <c r="H64" s="57"/>
      <c r="K64" s="55" t="s">
        <v>45</v>
      </c>
      <c r="L64" s="56"/>
      <c r="M64" s="56"/>
      <c r="N64" s="56"/>
      <c r="O64" s="56"/>
      <c r="P64" s="56"/>
      <c r="Q64" s="57"/>
      <c r="R64" s="58"/>
      <c r="S64" s="5"/>
      <c r="T64" s="55" t="s">
        <v>44</v>
      </c>
      <c r="U64" s="56"/>
      <c r="V64" s="56"/>
      <c r="W64" s="56"/>
      <c r="X64" s="56"/>
      <c r="Y64" s="56"/>
      <c r="Z64" s="56"/>
      <c r="AA64" s="57"/>
      <c r="AD64" s="55" t="s">
        <v>45</v>
      </c>
      <c r="AE64" s="56"/>
      <c r="AF64" s="56"/>
      <c r="AG64" s="56"/>
      <c r="AH64" s="56"/>
      <c r="AI64" s="56"/>
      <c r="AJ64" s="57"/>
    </row>
    <row r="65" spans="1:36" s="1" customFormat="1" ht="4.5" customHeight="1" x14ac:dyDescent="0.25">
      <c r="A65" s="5"/>
      <c r="B65" s="58"/>
      <c r="C65" s="58"/>
      <c r="D65" s="58"/>
      <c r="E65" s="58"/>
      <c r="F65" s="58"/>
      <c r="G65" s="58"/>
      <c r="H65" s="59"/>
      <c r="K65" s="5"/>
      <c r="L65" s="58"/>
      <c r="M65" s="58"/>
      <c r="N65" s="58"/>
      <c r="O65" s="58"/>
      <c r="P65" s="58"/>
      <c r="Q65" s="59"/>
      <c r="R65" s="58"/>
      <c r="S65" s="5"/>
      <c r="T65" s="5"/>
      <c r="U65" s="58"/>
      <c r="V65" s="58"/>
      <c r="W65" s="58"/>
      <c r="X65" s="58"/>
      <c r="Y65" s="58"/>
      <c r="Z65" s="58"/>
      <c r="AA65" s="59"/>
      <c r="AD65" s="5"/>
      <c r="AE65" s="58"/>
      <c r="AF65" s="58"/>
      <c r="AG65" s="58"/>
      <c r="AH65" s="58"/>
      <c r="AI65" s="58"/>
      <c r="AJ65" s="59"/>
    </row>
    <row r="66" spans="1:36" s="1" customFormat="1" ht="12" customHeight="1" x14ac:dyDescent="0.25">
      <c r="A66" s="34">
        <f>VLOOKUP(Q43,'[1]EP LARA'!$A$8:$AH$75,19,FALSE)</f>
        <v>30</v>
      </c>
      <c r="B66" s="60" t="s">
        <v>46</v>
      </c>
      <c r="C66" s="61">
        <f>((Q62/L62)*(Q45+VLOOKUP(Q43,'[1]EP LARA'!$A$8:$AH$75,7,FALSE)))</f>
        <v>0</v>
      </c>
      <c r="D66" s="61"/>
      <c r="E66" s="60" t="s">
        <v>47</v>
      </c>
      <c r="F66" s="62">
        <f>MROUND(C66*A66,500)</f>
        <v>0</v>
      </c>
      <c r="G66" s="62"/>
      <c r="H66" s="63" t="str">
        <f>IF(F66&gt;0,"Fcfa","")</f>
        <v/>
      </c>
      <c r="K66" s="64" t="s">
        <v>48</v>
      </c>
      <c r="L66" s="65"/>
      <c r="M66" s="65"/>
      <c r="N66" s="65"/>
      <c r="O66" s="66" t="s">
        <v>47</v>
      </c>
      <c r="P66" s="36">
        <f>VLOOKUP(Q43,'[1]EP LARA'!$A$8:$AH$75,26,FALSE)</f>
        <v>0</v>
      </c>
      <c r="Q66" s="67" t="str">
        <f t="shared" ref="Q66:Q67" si="14">IF(P66&gt;0,"Fcfa","")</f>
        <v/>
      </c>
      <c r="R66" s="58"/>
      <c r="S66" s="5"/>
      <c r="T66" s="34">
        <f>VLOOKUP(AJ43,'[1]EP LARA'!$A$8:$AH$75,19,FALSE)</f>
        <v>30</v>
      </c>
      <c r="U66" s="60" t="s">
        <v>46</v>
      </c>
      <c r="V66" s="61">
        <f>((AJ62/AE62)*(AJ45+VLOOKUP(AJ43,'[1]EP LARA'!$A$8:$AH$75,7,FALSE)))</f>
        <v>0</v>
      </c>
      <c r="W66" s="61"/>
      <c r="X66" s="60" t="s">
        <v>47</v>
      </c>
      <c r="Y66" s="62">
        <f>MROUND(V66*T66,500)</f>
        <v>0</v>
      </c>
      <c r="Z66" s="62"/>
      <c r="AA66" s="63" t="str">
        <f>IF(Y66&gt;0,"Fcfa","")</f>
        <v/>
      </c>
      <c r="AD66" s="64" t="s">
        <v>48</v>
      </c>
      <c r="AE66" s="65"/>
      <c r="AF66" s="65"/>
      <c r="AG66" s="65"/>
      <c r="AH66" s="66" t="s">
        <v>47</v>
      </c>
      <c r="AI66" s="36">
        <f>VLOOKUP(AJ43,'[1]EP LARA'!$A$8:$AH$75,26,FALSE)</f>
        <v>0</v>
      </c>
      <c r="AJ66" s="67" t="str">
        <f t="shared" ref="AJ66:AJ67" si="15">IF(AI66&gt;0,"Fcfa","")</f>
        <v/>
      </c>
    </row>
    <row r="67" spans="1:36" s="1" customFormat="1" ht="12" customHeight="1" x14ac:dyDescent="0.25">
      <c r="A67" s="64" t="str">
        <f>IF(F67&gt;0,"Rattrapage prod","")</f>
        <v/>
      </c>
      <c r="B67" s="65"/>
      <c r="C67" s="65"/>
      <c r="D67" s="65"/>
      <c r="E67" s="60" t="str">
        <f>IF(F67&gt;0,"=","")</f>
        <v/>
      </c>
      <c r="F67" s="62">
        <f>VLOOKUP(Q43,'[1]EP LARA'!$A$8:$AH$75,5,FALSE)</f>
        <v>0</v>
      </c>
      <c r="G67" s="62"/>
      <c r="H67" s="68" t="str">
        <f>IF(F67&gt;0,"m3","")</f>
        <v/>
      </c>
      <c r="K67" s="64" t="s">
        <v>49</v>
      </c>
      <c r="L67" s="65"/>
      <c r="M67" s="65"/>
      <c r="N67" s="65"/>
      <c r="O67" s="66" t="s">
        <v>47</v>
      </c>
      <c r="P67" s="36">
        <f>VLOOKUP(Q43,'[1]EP LARA'!$A$8:$AH$75,17,FALSE)</f>
        <v>0</v>
      </c>
      <c r="Q67" s="67" t="str">
        <f t="shared" si="14"/>
        <v/>
      </c>
      <c r="R67" s="58"/>
      <c r="S67" s="5"/>
      <c r="T67" s="64" t="str">
        <f>IF(Y67&gt;0,"Rattrapage prod","")</f>
        <v/>
      </c>
      <c r="U67" s="65"/>
      <c r="V67" s="65"/>
      <c r="W67" s="65"/>
      <c r="X67" s="60" t="str">
        <f>IF(Y67&gt;0,"=","")</f>
        <v/>
      </c>
      <c r="Y67" s="62">
        <f>VLOOKUP(AJ43,'[1]EP LARA'!$A$8:$AH$75,5,FALSE)</f>
        <v>0</v>
      </c>
      <c r="Z67" s="62"/>
      <c r="AA67" s="68" t="str">
        <f>IF(Y67&gt;0,"m3","")</f>
        <v/>
      </c>
      <c r="AD67" s="64" t="s">
        <v>49</v>
      </c>
      <c r="AE67" s="65"/>
      <c r="AF67" s="65"/>
      <c r="AG67" s="65"/>
      <c r="AH67" s="66" t="s">
        <v>47</v>
      </c>
      <c r="AI67" s="36">
        <f>VLOOKUP(AJ43,'[1]EP LARA'!$A$8:$AH$75,17,FALSE)</f>
        <v>0</v>
      </c>
      <c r="AJ67" s="67" t="str">
        <f t="shared" si="15"/>
        <v/>
      </c>
    </row>
    <row r="68" spans="1:36" s="1" customFormat="1" ht="12" customHeight="1" x14ac:dyDescent="0.25">
      <c r="A68" s="64" t="str">
        <f>IF(F68&gt;0,"supp. prime","")</f>
        <v/>
      </c>
      <c r="B68" s="65"/>
      <c r="C68" s="65"/>
      <c r="D68" s="65"/>
      <c r="E68" s="60" t="str">
        <f>IF(F68&gt;0,"=","")</f>
        <v/>
      </c>
      <c r="F68" s="62">
        <f>VLOOKUP(Q43,'[1]EP LARA'!$A$8:$AH$75,21,FALSE)</f>
        <v>0</v>
      </c>
      <c r="G68" s="62"/>
      <c r="H68" s="68" t="str">
        <f>IF(F68&gt;0,"%","")</f>
        <v/>
      </c>
      <c r="K68" s="64" t="s">
        <v>50</v>
      </c>
      <c r="L68" s="65"/>
      <c r="M68" s="65"/>
      <c r="N68" s="65"/>
      <c r="O68" s="66" t="s">
        <v>47</v>
      </c>
      <c r="P68" s="36">
        <f>VLOOKUP(Q43,'[1]EP LARA'!$A$8:$AH$75,23,FALSE)</f>
        <v>0</v>
      </c>
      <c r="Q68" s="67" t="str">
        <f>IF(P68&gt;0,"Fcfa","")</f>
        <v/>
      </c>
      <c r="R68" s="58"/>
      <c r="S68" s="5"/>
      <c r="T68" s="64" t="str">
        <f>IF(Y68&gt;0,"supp. prime","")</f>
        <v/>
      </c>
      <c r="U68" s="65"/>
      <c r="V68" s="65"/>
      <c r="W68" s="65"/>
      <c r="X68" s="60" t="str">
        <f>IF(Y68&gt;0,"=","")</f>
        <v/>
      </c>
      <c r="Y68" s="62">
        <f>VLOOKUP(AJ43,'[1]EP LARA'!$A$8:$AH$75,21,FALSE)</f>
        <v>0</v>
      </c>
      <c r="Z68" s="62"/>
      <c r="AA68" s="68" t="str">
        <f>IF(Y68&gt;0,"%","")</f>
        <v/>
      </c>
      <c r="AD68" s="64" t="s">
        <v>50</v>
      </c>
      <c r="AE68" s="65"/>
      <c r="AF68" s="65"/>
      <c r="AG68" s="65"/>
      <c r="AH68" s="66" t="s">
        <v>47</v>
      </c>
      <c r="AI68" s="36">
        <f>VLOOKUP(AJ43,'[1]EP LARA'!$A$8:$AH$75,23,FALSE)</f>
        <v>0</v>
      </c>
      <c r="AJ68" s="67" t="str">
        <f>IF(AI68&gt;0,"Fcfa","")</f>
        <v/>
      </c>
    </row>
    <row r="69" spans="1:36" s="1" customFormat="1" ht="4.5" customHeight="1" x14ac:dyDescent="0.25">
      <c r="A69" s="34"/>
      <c r="B69" s="66"/>
      <c r="C69" s="66"/>
      <c r="D69" s="66"/>
      <c r="E69" s="60"/>
      <c r="F69" s="66"/>
      <c r="G69" s="66"/>
      <c r="H69" s="69"/>
      <c r="K69" s="70"/>
      <c r="L69" s="71"/>
      <c r="M69" s="71"/>
      <c r="N69" s="71"/>
      <c r="O69" s="58"/>
      <c r="P69" s="72"/>
      <c r="Q69" s="67"/>
      <c r="R69" s="58"/>
      <c r="S69" s="5"/>
      <c r="T69" s="34"/>
      <c r="U69" s="66"/>
      <c r="V69" s="66"/>
      <c r="W69" s="66"/>
      <c r="X69" s="60"/>
      <c r="Y69" s="66"/>
      <c r="Z69" s="66"/>
      <c r="AA69" s="69"/>
      <c r="AD69" s="70"/>
      <c r="AE69" s="71"/>
      <c r="AF69" s="71"/>
      <c r="AG69" s="71"/>
      <c r="AH69" s="58"/>
      <c r="AI69" s="72"/>
      <c r="AJ69" s="67"/>
    </row>
    <row r="70" spans="1:36" s="1" customFormat="1" ht="12" customHeight="1" x14ac:dyDescent="0.25">
      <c r="A70" s="73" t="s">
        <v>51</v>
      </c>
      <c r="B70" s="74"/>
      <c r="C70" s="74"/>
      <c r="D70" s="74"/>
      <c r="E70" s="75" t="s">
        <v>47</v>
      </c>
      <c r="F70" s="76">
        <f>VLOOKUP(Q43,'[1]EP LARA'!$A$8:$AH$75,20,FALSE)</f>
        <v>0</v>
      </c>
      <c r="G70" s="76"/>
      <c r="H70" s="77" t="str">
        <f>IF(F70&gt;0,"Fcfa","")</f>
        <v/>
      </c>
      <c r="K70" s="73" t="s">
        <v>51</v>
      </c>
      <c r="L70" s="74"/>
      <c r="M70" s="74"/>
      <c r="N70" s="74"/>
      <c r="O70" s="78" t="s">
        <v>47</v>
      </c>
      <c r="P70" s="79">
        <f>SUM(P66:P68)</f>
        <v>0</v>
      </c>
      <c r="Q70" s="80" t="str">
        <f>IF(P70&gt;0,"Fcfa","")</f>
        <v/>
      </c>
      <c r="R70" s="58"/>
      <c r="S70" s="5"/>
      <c r="T70" s="73" t="s">
        <v>51</v>
      </c>
      <c r="U70" s="74"/>
      <c r="V70" s="74"/>
      <c r="W70" s="74"/>
      <c r="X70" s="75" t="s">
        <v>47</v>
      </c>
      <c r="Y70" s="76">
        <f>VLOOKUP(AJ43,'[1]EP LARA'!$A$8:$AH$75,20,FALSE)</f>
        <v>0</v>
      </c>
      <c r="Z70" s="76"/>
      <c r="AA70" s="77" t="str">
        <f>IF(Y70&gt;0,"Fcfa","")</f>
        <v/>
      </c>
      <c r="AD70" s="73" t="s">
        <v>51</v>
      </c>
      <c r="AE70" s="74"/>
      <c r="AF70" s="74"/>
      <c r="AG70" s="74"/>
      <c r="AH70" s="78" t="s">
        <v>47</v>
      </c>
      <c r="AI70" s="79">
        <f>SUM(AI66:AI68)</f>
        <v>0</v>
      </c>
      <c r="AJ70" s="80" t="str">
        <f>IF(AI70&gt;0,"Fcfa","")</f>
        <v/>
      </c>
    </row>
    <row r="71" spans="1:36" s="1" customFormat="1" ht="6" customHeight="1" x14ac:dyDescent="0.25">
      <c r="S71" s="5"/>
    </row>
    <row r="72" spans="1:36" s="1" customFormat="1" x14ac:dyDescent="0.25">
      <c r="A72" s="81" t="s">
        <v>52</v>
      </c>
      <c r="B72" s="82"/>
      <c r="C72" s="82"/>
      <c r="D72" s="82"/>
      <c r="E72" s="83">
        <f>VLOOKUP(Q43,'[1]EP LARA'!$A$8:$AH$75,34,FALSE)</f>
        <v>0</v>
      </c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4"/>
      <c r="R72" s="85"/>
      <c r="S72" s="5"/>
      <c r="T72" s="81" t="s">
        <v>52</v>
      </c>
      <c r="U72" s="82"/>
      <c r="V72" s="82"/>
      <c r="W72" s="82"/>
      <c r="X72" s="83">
        <f>VLOOKUP(AJ43,'[1]EP LARA'!$A$8:$AH$75,34,FALSE)</f>
        <v>0</v>
      </c>
      <c r="Y72" s="83"/>
      <c r="Z72" s="83"/>
      <c r="AA72" s="83"/>
      <c r="AB72" s="83"/>
      <c r="AC72" s="83"/>
      <c r="AD72" s="83"/>
      <c r="AE72" s="83"/>
      <c r="AF72" s="83"/>
      <c r="AG72" s="83"/>
      <c r="AH72" s="83"/>
      <c r="AI72" s="83"/>
      <c r="AJ72" s="84"/>
    </row>
    <row r="73" spans="1:36" s="1" customFormat="1" x14ac:dyDescent="0.25">
      <c r="A73" s="86"/>
      <c r="B73" s="87"/>
      <c r="C73" s="87"/>
      <c r="D73" s="87"/>
      <c r="E73" s="88" t="str">
        <f>IF(VLOOKUP(Q43,'[1]EP LARA'!$A$8:$AH$75,27,FALSE)&gt;0,"Prime de responsabilité sanctionné de "&amp;VLOOKUP(Q43,'[1]EP LARA'!$A$8:$AH$75,27,FALSE)&amp;"%","")</f>
        <v/>
      </c>
      <c r="F73" s="88"/>
      <c r="G73" s="88"/>
      <c r="H73" s="88"/>
      <c r="I73" s="88"/>
      <c r="J73" s="88"/>
      <c r="K73" s="88"/>
      <c r="L73" s="88"/>
      <c r="M73" s="88"/>
      <c r="N73" s="88"/>
      <c r="O73" s="88"/>
      <c r="P73" s="88"/>
      <c r="Q73" s="89"/>
      <c r="R73" s="90"/>
      <c r="S73" s="5"/>
      <c r="T73" s="86"/>
      <c r="U73" s="87"/>
      <c r="V73" s="87"/>
      <c r="W73" s="87"/>
      <c r="X73" s="88" t="str">
        <f>IF(VLOOKUP(AJ43,'[1]EP LARA'!$A$8:$AH$75,27,FALSE)&gt;0,"Prime de responsabilité sanctionné de "&amp;VLOOKUP(AJ43,'[1]EP LARA'!$A$8:$AH$75,27,FALSE)&amp;"%","")</f>
        <v/>
      </c>
      <c r="Y73" s="88"/>
      <c r="Z73" s="88"/>
      <c r="AA73" s="88"/>
      <c r="AB73" s="88"/>
      <c r="AC73" s="88"/>
      <c r="AD73" s="88"/>
      <c r="AE73" s="88"/>
      <c r="AF73" s="88"/>
      <c r="AG73" s="88"/>
      <c r="AH73" s="88"/>
      <c r="AI73" s="88"/>
      <c r="AJ73" s="89"/>
    </row>
    <row r="74" spans="1:36" s="1" customFormat="1" x14ac:dyDescent="0.25">
      <c r="A74" s="91"/>
      <c r="B74" s="92"/>
      <c r="C74" s="92"/>
      <c r="D74" s="92"/>
      <c r="E74" s="92"/>
      <c r="F74" s="92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3"/>
      <c r="R74" s="90"/>
      <c r="S74" s="5"/>
      <c r="T74" s="91"/>
      <c r="U74" s="92"/>
      <c r="V74" s="92"/>
      <c r="W74" s="92"/>
      <c r="X74" s="92"/>
      <c r="Y74" s="92"/>
      <c r="Z74" s="92"/>
      <c r="AA74" s="92"/>
      <c r="AB74" s="92"/>
      <c r="AC74" s="92"/>
      <c r="AD74" s="92"/>
      <c r="AE74" s="92"/>
      <c r="AF74" s="92"/>
      <c r="AG74" s="92"/>
      <c r="AH74" s="92"/>
      <c r="AI74" s="92"/>
      <c r="AJ74" s="93"/>
    </row>
    <row r="75" spans="1:36" s="1" customFormat="1" x14ac:dyDescent="0.25">
      <c r="A75" s="1" t="s">
        <v>53</v>
      </c>
      <c r="I75" s="1" t="s">
        <v>54</v>
      </c>
      <c r="Q75" s="94" t="s">
        <v>55</v>
      </c>
      <c r="R75" s="94"/>
      <c r="S75" s="5"/>
      <c r="T75" s="1" t="s">
        <v>53</v>
      </c>
      <c r="AB75" s="1" t="s">
        <v>54</v>
      </c>
      <c r="AJ75" s="94" t="s">
        <v>55</v>
      </c>
    </row>
    <row r="76" spans="1:36" s="1" customFormat="1" x14ac:dyDescent="0.25">
      <c r="S76" s="5"/>
    </row>
    <row r="77" spans="1:36" s="1" customFormat="1" ht="15.75" x14ac:dyDescent="0.25">
      <c r="N77" s="2"/>
      <c r="P77" s="2"/>
      <c r="Q77" s="3" t="str">
        <f>IF(COUNTIF('[1]EP LARA'!$A$10:$A$56, Q81)&gt;0,'[1]EP LARA'!$A$7,IF(COUNTIF('[1]EP LARA'!$A$63:$A$75, Q81)&gt;0,'[1]EP LARA'!$A$60))</f>
        <v>EXPLOITATION LARA</v>
      </c>
      <c r="R77" s="4"/>
      <c r="S77" s="5"/>
      <c r="AG77" s="2"/>
      <c r="AH77" s="2"/>
      <c r="AI77" s="2"/>
      <c r="AJ77" s="3" t="str">
        <f>IF(COUNTIF('[1]EP LARA'!$A$10:$A$56, AJ81)&gt;0,'[1]EP LARA'!$A$7,IF(COUNTIF('[1]EP LARA'!$A$63:$A$75, AJ81)&gt;0,'[1]EP LARA'!$A$60))</f>
        <v>EXPLOITATION LARA</v>
      </c>
    </row>
    <row r="78" spans="1:36" s="1" customFormat="1" ht="18.75" customHeight="1" x14ac:dyDescent="0.25">
      <c r="N78" s="6"/>
      <c r="O78" s="6"/>
      <c r="P78" s="7" t="s">
        <v>0</v>
      </c>
      <c r="Q78" s="8">
        <f>'[1]EP LARA'!$C$1</f>
        <v>42217</v>
      </c>
      <c r="R78" s="8"/>
      <c r="S78" s="5"/>
      <c r="AG78" s="6"/>
      <c r="AH78" s="6"/>
      <c r="AI78" s="7" t="s">
        <v>0</v>
      </c>
      <c r="AJ78" s="8">
        <f>'[1]EP LARA'!$C$1</f>
        <v>42217</v>
      </c>
    </row>
    <row r="79" spans="1:36" s="1" customFormat="1" x14ac:dyDescent="0.25">
      <c r="S79" s="5"/>
    </row>
    <row r="80" spans="1:36" s="1" customFormat="1" x14ac:dyDescent="0.25">
      <c r="A80" s="9" t="s">
        <v>1</v>
      </c>
      <c r="B80" s="10"/>
      <c r="C80" s="10"/>
      <c r="D80" s="10"/>
      <c r="E80" s="10"/>
      <c r="F80" s="11"/>
      <c r="G80" s="12" t="str">
        <f>VLOOKUP(Q81,'[1]EP LARA'!$A$8:$AH$75,2,FALSE)</f>
        <v>TENDA Andre</v>
      </c>
      <c r="H80" s="13"/>
      <c r="I80" s="13"/>
      <c r="J80" s="13"/>
      <c r="K80" s="13"/>
      <c r="L80" s="13"/>
      <c r="M80" s="13"/>
      <c r="N80" s="13"/>
      <c r="O80" s="13"/>
      <c r="P80" s="13"/>
      <c r="Q80" s="14"/>
      <c r="R80" s="15"/>
      <c r="S80" s="5"/>
      <c r="T80" s="9" t="s">
        <v>1</v>
      </c>
      <c r="U80" s="10"/>
      <c r="V80" s="10"/>
      <c r="W80" s="10"/>
      <c r="X80" s="10"/>
      <c r="Y80" s="11"/>
      <c r="Z80" s="12" t="str">
        <f>VLOOKUP(AJ81,'[1]EP LARA'!$A$8:$AH$75,2,FALSE)</f>
        <v>MBELA Delphin</v>
      </c>
      <c r="AA80" s="13"/>
      <c r="AB80" s="13"/>
      <c r="AC80" s="13"/>
      <c r="AD80" s="13"/>
      <c r="AE80" s="13"/>
      <c r="AF80" s="13"/>
      <c r="AG80" s="13"/>
      <c r="AH80" s="13"/>
      <c r="AI80" s="13"/>
      <c r="AJ80" s="14"/>
    </row>
    <row r="81" spans="1:36" s="1" customFormat="1" x14ac:dyDescent="0.25">
      <c r="A81" s="16" t="s">
        <v>2</v>
      </c>
      <c r="B81" s="16"/>
      <c r="C81" s="17" t="str">
        <f>VLOOKUP(Q81,'[1]EP LARA'!$A$8:$AH$75,3,FALSE)</f>
        <v>Chef d'équipe</v>
      </c>
      <c r="D81" s="17"/>
      <c r="E81" s="17"/>
      <c r="F81" s="17"/>
      <c r="G81" s="17"/>
      <c r="H81" s="17"/>
      <c r="I81" s="17"/>
      <c r="J81" s="18"/>
      <c r="K81" s="19" t="s">
        <v>3</v>
      </c>
      <c r="L81" s="20">
        <f>VLOOKUP(Q81,'[1]EP LARA'!$A$8:$AH$75,4,FALSE)</f>
        <v>6</v>
      </c>
      <c r="M81" s="20"/>
      <c r="N81" s="17" t="s">
        <v>4</v>
      </c>
      <c r="O81" s="17"/>
      <c r="P81" s="17"/>
      <c r="Q81" s="21">
        <v>499</v>
      </c>
      <c r="R81" s="22"/>
      <c r="S81" s="5"/>
      <c r="T81" s="16" t="s">
        <v>2</v>
      </c>
      <c r="U81" s="16"/>
      <c r="V81" s="17" t="str">
        <f>VLOOKUP(AJ81,'[1]EP LARA'!$A$8:$AH$75,3,FALSE)</f>
        <v>Chef de chantier</v>
      </c>
      <c r="W81" s="17"/>
      <c r="X81" s="17"/>
      <c r="Y81" s="17"/>
      <c r="Z81" s="17"/>
      <c r="AA81" s="17"/>
      <c r="AB81" s="17"/>
      <c r="AC81" s="18"/>
      <c r="AD81" s="19" t="s">
        <v>3</v>
      </c>
      <c r="AE81" s="20" t="str">
        <f>VLOOKUP(AJ81,'[1]EP LARA'!$A$8:$AH$75,4,FALSE)</f>
        <v>AM1</v>
      </c>
      <c r="AF81" s="20"/>
      <c r="AG81" s="17" t="s">
        <v>4</v>
      </c>
      <c r="AH81" s="17"/>
      <c r="AI81" s="17"/>
      <c r="AJ81" s="21">
        <v>527</v>
      </c>
    </row>
    <row r="82" spans="1:36" s="1" customFormat="1" ht="6" customHeight="1" x14ac:dyDescent="0.25">
      <c r="S82" s="5"/>
    </row>
    <row r="83" spans="1:36" s="6" customFormat="1" x14ac:dyDescent="0.25">
      <c r="B83" s="23" t="s">
        <v>5</v>
      </c>
      <c r="C83" s="24" t="s">
        <v>6</v>
      </c>
      <c r="D83" s="24" t="s">
        <v>7</v>
      </c>
      <c r="E83" s="24" t="s">
        <v>8</v>
      </c>
      <c r="G83" s="23" t="s">
        <v>5</v>
      </c>
      <c r="H83" s="24" t="s">
        <v>6</v>
      </c>
      <c r="I83" s="24" t="s">
        <v>7</v>
      </c>
      <c r="J83" s="24" t="s">
        <v>8</v>
      </c>
      <c r="L83" s="23" t="s">
        <v>5</v>
      </c>
      <c r="M83" s="24" t="s">
        <v>6</v>
      </c>
      <c r="N83" s="24" t="s">
        <v>7</v>
      </c>
      <c r="O83" s="24" t="s">
        <v>8</v>
      </c>
      <c r="P83" s="25" t="s">
        <v>9</v>
      </c>
      <c r="Q83" s="26">
        <f>VLOOKUP(Q81,'[1]EP LARA'!$A$8:$AH$75,6,FALSE)</f>
        <v>0</v>
      </c>
      <c r="R83" s="27"/>
      <c r="S83" s="28"/>
      <c r="U83" s="23" t="s">
        <v>5</v>
      </c>
      <c r="V83" s="24" t="s">
        <v>6</v>
      </c>
      <c r="W83" s="24" t="s">
        <v>7</v>
      </c>
      <c r="X83" s="24" t="s">
        <v>8</v>
      </c>
      <c r="Z83" s="23" t="s">
        <v>5</v>
      </c>
      <c r="AA83" s="24" t="s">
        <v>6</v>
      </c>
      <c r="AB83" s="24" t="s">
        <v>7</v>
      </c>
      <c r="AC83" s="24" t="s">
        <v>8</v>
      </c>
      <c r="AE83" s="23" t="s">
        <v>5</v>
      </c>
      <c r="AF83" s="24" t="s">
        <v>6</v>
      </c>
      <c r="AG83" s="24" t="s">
        <v>7</v>
      </c>
      <c r="AH83" s="24" t="s">
        <v>8</v>
      </c>
      <c r="AI83" s="25" t="s">
        <v>9</v>
      </c>
      <c r="AJ83" s="26">
        <f>VLOOKUP(AJ81,'[1]EP LARA'!$A$8:$AH$75,6,FALSE)</f>
        <v>0</v>
      </c>
    </row>
    <row r="84" spans="1:36" s="1" customFormat="1" x14ac:dyDescent="0.25">
      <c r="A84" s="29">
        <f>'[1]EP LARA'!$C$1-11</f>
        <v>42206</v>
      </c>
      <c r="B84" s="30"/>
      <c r="C84" s="31"/>
      <c r="D84" s="31"/>
      <c r="E84" s="31"/>
      <c r="F84" s="29">
        <f>A94+1</f>
        <v>42217</v>
      </c>
      <c r="G84" s="31">
        <v>8</v>
      </c>
      <c r="H84" s="31"/>
      <c r="I84" s="31"/>
      <c r="J84" s="31"/>
      <c r="K84" s="29">
        <f>F93+1</f>
        <v>42227</v>
      </c>
      <c r="L84" s="31">
        <v>8</v>
      </c>
      <c r="M84" s="31"/>
      <c r="N84" s="31"/>
      <c r="O84" s="31"/>
      <c r="P84" s="32" t="s">
        <v>10</v>
      </c>
      <c r="Q84" s="26">
        <f>VLOOKUP(Q81,'[1]EP LARA'!$A$8:$AH$75,8,FALSE)</f>
        <v>0</v>
      </c>
      <c r="R84" s="33"/>
      <c r="S84" s="34"/>
      <c r="T84" s="29">
        <f>'[1]EP LARA'!$C$1-11</f>
        <v>42206</v>
      </c>
      <c r="U84" s="30"/>
      <c r="V84" s="31"/>
      <c r="W84" s="31"/>
      <c r="X84" s="31"/>
      <c r="Y84" s="29">
        <f>T94+1</f>
        <v>42217</v>
      </c>
      <c r="Z84" s="31">
        <v>8</v>
      </c>
      <c r="AA84" s="31"/>
      <c r="AB84" s="31"/>
      <c r="AC84" s="31"/>
      <c r="AD84" s="29">
        <f>Y93+1</f>
        <v>42227</v>
      </c>
      <c r="AE84" s="31">
        <v>8</v>
      </c>
      <c r="AF84" s="31"/>
      <c r="AG84" s="31"/>
      <c r="AH84" s="31"/>
      <c r="AI84" s="32" t="s">
        <v>10</v>
      </c>
      <c r="AJ84" s="26">
        <f>VLOOKUP(AJ81,'[1]EP LARA'!$A$8:$AH$75,8,FALSE)</f>
        <v>0</v>
      </c>
    </row>
    <row r="85" spans="1:36" s="1" customFormat="1" x14ac:dyDescent="0.25">
      <c r="A85" s="29">
        <f t="shared" ref="A85:A94" si="16">A84+1</f>
        <v>42207</v>
      </c>
      <c r="B85" s="31"/>
      <c r="C85" s="31"/>
      <c r="D85" s="31"/>
      <c r="E85" s="31"/>
      <c r="F85" s="29">
        <f>F84+1</f>
        <v>42218</v>
      </c>
      <c r="G85" s="31">
        <v>8</v>
      </c>
      <c r="H85" s="31"/>
      <c r="I85" s="31"/>
      <c r="J85" s="31"/>
      <c r="K85" s="29">
        <f>K84+1</f>
        <v>42228</v>
      </c>
      <c r="L85" s="31"/>
      <c r="M85" s="31"/>
      <c r="N85" s="31"/>
      <c r="O85" s="31"/>
      <c r="P85" s="32" t="s">
        <v>11</v>
      </c>
      <c r="Q85" s="26">
        <f>VLOOKUP(Q81,'[1]EP LARA'!$A$8:$AH$75,9,FALSE)</f>
        <v>0</v>
      </c>
      <c r="R85" s="27"/>
      <c r="S85" s="5"/>
      <c r="T85" s="29">
        <f t="shared" ref="T85:T94" si="17">T84+1</f>
        <v>42207</v>
      </c>
      <c r="U85" s="31"/>
      <c r="V85" s="31"/>
      <c r="W85" s="31"/>
      <c r="X85" s="31"/>
      <c r="Y85" s="29">
        <f>Y84+1</f>
        <v>42218</v>
      </c>
      <c r="Z85" s="31">
        <v>8</v>
      </c>
      <c r="AA85" s="31"/>
      <c r="AB85" s="31"/>
      <c r="AC85" s="31"/>
      <c r="AD85" s="29">
        <f>AD84+1</f>
        <v>42228</v>
      </c>
      <c r="AE85" s="31">
        <v>8</v>
      </c>
      <c r="AF85" s="31"/>
      <c r="AG85" s="31"/>
      <c r="AH85" s="31"/>
      <c r="AI85" s="32" t="s">
        <v>11</v>
      </c>
      <c r="AJ85" s="26">
        <f>VLOOKUP(AJ81,'[1]EP LARA'!$A$8:$AH$75,9,FALSE)</f>
        <v>0</v>
      </c>
    </row>
    <row r="86" spans="1:36" s="1" customFormat="1" x14ac:dyDescent="0.25">
      <c r="A86" s="29">
        <f t="shared" si="16"/>
        <v>42208</v>
      </c>
      <c r="B86" s="31">
        <v>8</v>
      </c>
      <c r="C86" s="31"/>
      <c r="D86" s="31"/>
      <c r="E86" s="31"/>
      <c r="F86" s="29">
        <f t="shared" ref="F86:F93" si="18">F85+1</f>
        <v>42219</v>
      </c>
      <c r="G86" s="31">
        <v>8</v>
      </c>
      <c r="H86" s="31"/>
      <c r="I86" s="31"/>
      <c r="J86" s="31"/>
      <c r="K86" s="29">
        <f>K85+1</f>
        <v>42229</v>
      </c>
      <c r="L86" s="31">
        <v>8</v>
      </c>
      <c r="M86" s="31"/>
      <c r="N86" s="31"/>
      <c r="O86" s="31"/>
      <c r="P86" s="32" t="s">
        <v>12</v>
      </c>
      <c r="Q86" s="26">
        <f>VLOOKUP(Q81,'[1]EP LARA'!$A$8:$AH$75,10,FALSE)</f>
        <v>0</v>
      </c>
      <c r="R86" s="27"/>
      <c r="S86" s="5"/>
      <c r="T86" s="29">
        <f t="shared" si="17"/>
        <v>42208</v>
      </c>
      <c r="U86" s="31">
        <v>8</v>
      </c>
      <c r="V86" s="31"/>
      <c r="W86" s="31"/>
      <c r="X86" s="31"/>
      <c r="Y86" s="29">
        <f t="shared" ref="Y86:Y93" si="19">Y85+1</f>
        <v>42219</v>
      </c>
      <c r="Z86" s="31">
        <v>8</v>
      </c>
      <c r="AA86" s="31"/>
      <c r="AB86" s="31"/>
      <c r="AC86" s="31"/>
      <c r="AD86" s="29">
        <f>AD85+1</f>
        <v>42229</v>
      </c>
      <c r="AE86" s="31">
        <v>8</v>
      </c>
      <c r="AF86" s="31"/>
      <c r="AG86" s="31"/>
      <c r="AH86" s="31"/>
      <c r="AI86" s="32" t="s">
        <v>12</v>
      </c>
      <c r="AJ86" s="26">
        <f>VLOOKUP(AJ81,'[1]EP LARA'!$A$8:$AH$75,10,FALSE)</f>
        <v>0</v>
      </c>
    </row>
    <row r="87" spans="1:36" s="1" customFormat="1" x14ac:dyDescent="0.25">
      <c r="A87" s="29">
        <f t="shared" si="16"/>
        <v>42209</v>
      </c>
      <c r="B87" s="31">
        <v>8</v>
      </c>
      <c r="C87" s="31"/>
      <c r="D87" s="31"/>
      <c r="E87" s="31"/>
      <c r="F87" s="29">
        <f t="shared" si="18"/>
        <v>42220</v>
      </c>
      <c r="G87" s="31">
        <v>8</v>
      </c>
      <c r="H87" s="31"/>
      <c r="I87" s="31"/>
      <c r="J87" s="31"/>
      <c r="K87" s="29">
        <f t="shared" ref="K87:K93" si="20">K86+1</f>
        <v>42230</v>
      </c>
      <c r="L87" s="31">
        <v>8</v>
      </c>
      <c r="M87" s="31"/>
      <c r="N87" s="31"/>
      <c r="O87" s="31"/>
      <c r="P87" s="32" t="s">
        <v>13</v>
      </c>
      <c r="Q87" s="26">
        <f>VLOOKUP(Q81,'[1]EP LARA'!$A$8:$AH$75,11,FALSE)</f>
        <v>0</v>
      </c>
      <c r="R87" s="27"/>
      <c r="S87" s="5"/>
      <c r="T87" s="29">
        <f t="shared" si="17"/>
        <v>42209</v>
      </c>
      <c r="U87" s="31">
        <v>8</v>
      </c>
      <c r="V87" s="31"/>
      <c r="W87" s="31"/>
      <c r="X87" s="31"/>
      <c r="Y87" s="29">
        <f t="shared" si="19"/>
        <v>42220</v>
      </c>
      <c r="Z87" s="31">
        <v>8</v>
      </c>
      <c r="AA87" s="31"/>
      <c r="AB87" s="31"/>
      <c r="AC87" s="31"/>
      <c r="AD87" s="29">
        <f t="shared" ref="AD87:AD93" si="21">AD86+1</f>
        <v>42230</v>
      </c>
      <c r="AE87" s="31">
        <v>8</v>
      </c>
      <c r="AF87" s="31"/>
      <c r="AG87" s="31"/>
      <c r="AH87" s="31"/>
      <c r="AI87" s="32" t="s">
        <v>13</v>
      </c>
      <c r="AJ87" s="26">
        <f>VLOOKUP(AJ81,'[1]EP LARA'!$A$8:$AH$75,11,FALSE)</f>
        <v>0</v>
      </c>
    </row>
    <row r="88" spans="1:36" s="1" customFormat="1" x14ac:dyDescent="0.25">
      <c r="A88" s="29">
        <f t="shared" si="16"/>
        <v>42210</v>
      </c>
      <c r="B88" s="31">
        <v>8</v>
      </c>
      <c r="C88" s="31"/>
      <c r="D88" s="31"/>
      <c r="E88" s="31"/>
      <c r="F88" s="29">
        <f t="shared" si="18"/>
        <v>42221</v>
      </c>
      <c r="G88" s="31"/>
      <c r="H88" s="31"/>
      <c r="I88" s="31"/>
      <c r="J88" s="31"/>
      <c r="K88" s="29">
        <f t="shared" si="20"/>
        <v>42231</v>
      </c>
      <c r="L88" s="31">
        <v>8</v>
      </c>
      <c r="M88" s="31"/>
      <c r="N88" s="31"/>
      <c r="O88" s="31"/>
      <c r="P88" s="32" t="s">
        <v>14</v>
      </c>
      <c r="Q88" s="26">
        <f>VLOOKUP(Q81,'[1]EP LARA'!$A$8:$AH$75,12,FALSE)</f>
        <v>216</v>
      </c>
      <c r="R88" s="27"/>
      <c r="S88" s="5"/>
      <c r="T88" s="29">
        <f t="shared" si="17"/>
        <v>42210</v>
      </c>
      <c r="U88" s="31">
        <v>8</v>
      </c>
      <c r="V88" s="31"/>
      <c r="W88" s="31"/>
      <c r="X88" s="31"/>
      <c r="Y88" s="29">
        <f t="shared" si="19"/>
        <v>42221</v>
      </c>
      <c r="Z88" s="31"/>
      <c r="AA88" s="31"/>
      <c r="AB88" s="31"/>
      <c r="AC88" s="31"/>
      <c r="AD88" s="29">
        <f t="shared" si="21"/>
        <v>42231</v>
      </c>
      <c r="AE88" s="31">
        <v>8</v>
      </c>
      <c r="AF88" s="31"/>
      <c r="AG88" s="31"/>
      <c r="AH88" s="31"/>
      <c r="AI88" s="32" t="s">
        <v>14</v>
      </c>
      <c r="AJ88" s="26">
        <f>VLOOKUP(AJ81,'[1]EP LARA'!$A$8:$AH$75,12,FALSE)</f>
        <v>216</v>
      </c>
    </row>
    <row r="89" spans="1:36" s="1" customFormat="1" x14ac:dyDescent="0.25">
      <c r="A89" s="29">
        <f t="shared" si="16"/>
        <v>42211</v>
      </c>
      <c r="B89" s="31">
        <v>8</v>
      </c>
      <c r="C89" s="31"/>
      <c r="D89" s="31"/>
      <c r="E89" s="31"/>
      <c r="F89" s="29">
        <f t="shared" si="18"/>
        <v>42222</v>
      </c>
      <c r="G89" s="31">
        <v>8</v>
      </c>
      <c r="H89" s="31"/>
      <c r="I89" s="31"/>
      <c r="J89" s="31"/>
      <c r="K89" s="29">
        <f t="shared" si="20"/>
        <v>42232</v>
      </c>
      <c r="L89" s="31">
        <v>8</v>
      </c>
      <c r="M89" s="31"/>
      <c r="N89" s="31"/>
      <c r="O89" s="31"/>
      <c r="P89" s="32" t="s">
        <v>15</v>
      </c>
      <c r="Q89" s="35">
        <f>VLOOKUP(Q81,'[1]EP LARA'!$A$8:$AH$75,13,FALSE)</f>
        <v>0</v>
      </c>
      <c r="R89" s="36"/>
      <c r="S89" s="5"/>
      <c r="T89" s="29">
        <f t="shared" si="17"/>
        <v>42211</v>
      </c>
      <c r="U89" s="31">
        <v>8</v>
      </c>
      <c r="V89" s="31"/>
      <c r="W89" s="31"/>
      <c r="X89" s="31"/>
      <c r="Y89" s="29">
        <f t="shared" si="19"/>
        <v>42222</v>
      </c>
      <c r="Z89" s="31">
        <v>8</v>
      </c>
      <c r="AA89" s="31"/>
      <c r="AB89" s="31"/>
      <c r="AC89" s="31"/>
      <c r="AD89" s="29">
        <f t="shared" si="21"/>
        <v>42232</v>
      </c>
      <c r="AE89" s="31">
        <v>8</v>
      </c>
      <c r="AF89" s="31"/>
      <c r="AG89" s="31"/>
      <c r="AH89" s="31"/>
      <c r="AI89" s="32" t="s">
        <v>15</v>
      </c>
      <c r="AJ89" s="35">
        <f>VLOOKUP(AJ81,'[1]EP LARA'!$A$8:$AH$75,13,FALSE)</f>
        <v>0</v>
      </c>
    </row>
    <row r="90" spans="1:36" s="1" customFormat="1" x14ac:dyDescent="0.25">
      <c r="A90" s="29">
        <f t="shared" si="16"/>
        <v>42212</v>
      </c>
      <c r="B90" s="30">
        <v>8</v>
      </c>
      <c r="C90" s="31"/>
      <c r="D90" s="31"/>
      <c r="E90" s="31"/>
      <c r="F90" s="29">
        <f t="shared" si="18"/>
        <v>42223</v>
      </c>
      <c r="G90" s="31">
        <v>8</v>
      </c>
      <c r="H90" s="31"/>
      <c r="I90" s="31"/>
      <c r="J90" s="31"/>
      <c r="K90" s="29">
        <f t="shared" si="20"/>
        <v>42233</v>
      </c>
      <c r="L90" s="31" t="s">
        <v>16</v>
      </c>
      <c r="M90" s="31"/>
      <c r="N90" s="31"/>
      <c r="O90" s="31"/>
      <c r="P90" s="32" t="s">
        <v>17</v>
      </c>
      <c r="Q90" s="35">
        <f>VLOOKUP(Q81,'[1]EP LARA'!$A$8:$AH$75,20,FALSE)</f>
        <v>0</v>
      </c>
      <c r="R90" s="36"/>
      <c r="S90" s="5"/>
      <c r="T90" s="29">
        <f t="shared" si="17"/>
        <v>42212</v>
      </c>
      <c r="U90" s="30">
        <v>8</v>
      </c>
      <c r="V90" s="31"/>
      <c r="W90" s="31"/>
      <c r="X90" s="31"/>
      <c r="Y90" s="29">
        <f t="shared" si="19"/>
        <v>42223</v>
      </c>
      <c r="Z90" s="31">
        <v>8</v>
      </c>
      <c r="AA90" s="31"/>
      <c r="AB90" s="31"/>
      <c r="AC90" s="31"/>
      <c r="AD90" s="29">
        <f t="shared" si="21"/>
        <v>42233</v>
      </c>
      <c r="AE90" s="31" t="s">
        <v>16</v>
      </c>
      <c r="AF90" s="31"/>
      <c r="AG90" s="31"/>
      <c r="AH90" s="31"/>
      <c r="AI90" s="32" t="s">
        <v>17</v>
      </c>
      <c r="AJ90" s="35">
        <f>VLOOKUP(AJ81,'[1]EP LARA'!$A$8:$AH$75,20,FALSE)</f>
        <v>0</v>
      </c>
    </row>
    <row r="91" spans="1:36" s="1" customFormat="1" x14ac:dyDescent="0.25">
      <c r="A91" s="29">
        <f t="shared" si="16"/>
        <v>42213</v>
      </c>
      <c r="B91" s="31">
        <v>8</v>
      </c>
      <c r="C91" s="31"/>
      <c r="D91" s="31"/>
      <c r="E91" s="31"/>
      <c r="F91" s="29">
        <f t="shared" si="18"/>
        <v>42224</v>
      </c>
      <c r="G91" s="31">
        <v>8</v>
      </c>
      <c r="H91" s="31"/>
      <c r="I91" s="31"/>
      <c r="J91" s="31"/>
      <c r="K91" s="29">
        <f t="shared" si="20"/>
        <v>42234</v>
      </c>
      <c r="L91" s="31">
        <v>8</v>
      </c>
      <c r="M91" s="31"/>
      <c r="N91" s="31"/>
      <c r="O91" s="31"/>
      <c r="P91" s="32" t="s">
        <v>19</v>
      </c>
      <c r="Q91" s="35">
        <f>P108</f>
        <v>0</v>
      </c>
      <c r="R91" s="36"/>
      <c r="S91" s="5"/>
      <c r="T91" s="29">
        <f t="shared" si="17"/>
        <v>42213</v>
      </c>
      <c r="U91" s="31">
        <v>8</v>
      </c>
      <c r="V91" s="31"/>
      <c r="W91" s="31"/>
      <c r="X91" s="31"/>
      <c r="Y91" s="29">
        <f t="shared" si="19"/>
        <v>42224</v>
      </c>
      <c r="Z91" s="31">
        <v>8</v>
      </c>
      <c r="AA91" s="31"/>
      <c r="AB91" s="31"/>
      <c r="AC91" s="31"/>
      <c r="AD91" s="29">
        <f t="shared" si="21"/>
        <v>42234</v>
      </c>
      <c r="AE91" s="31">
        <v>8</v>
      </c>
      <c r="AF91" s="31"/>
      <c r="AG91" s="31"/>
      <c r="AH91" s="31"/>
      <c r="AI91" s="32" t="s">
        <v>19</v>
      </c>
      <c r="AJ91" s="35">
        <f>AI108</f>
        <v>0</v>
      </c>
    </row>
    <row r="92" spans="1:36" s="1" customFormat="1" x14ac:dyDescent="0.25">
      <c r="A92" s="29">
        <f t="shared" si="16"/>
        <v>42214</v>
      </c>
      <c r="B92" s="31"/>
      <c r="C92" s="31"/>
      <c r="D92" s="31"/>
      <c r="E92" s="31"/>
      <c r="F92" s="29">
        <f t="shared" si="18"/>
        <v>42225</v>
      </c>
      <c r="G92" s="31">
        <v>8</v>
      </c>
      <c r="H92" s="31"/>
      <c r="I92" s="31"/>
      <c r="J92" s="31"/>
      <c r="K92" s="29">
        <f t="shared" si="20"/>
        <v>42235</v>
      </c>
      <c r="L92" s="31"/>
      <c r="M92" s="31"/>
      <c r="N92" s="31"/>
      <c r="O92" s="31"/>
      <c r="P92" s="32" t="s">
        <v>20</v>
      </c>
      <c r="Q92" s="35">
        <f>VLOOKUP(Q81,'[1]EP LARA'!$A$8:$AH$75,29,FALSE)</f>
        <v>0</v>
      </c>
      <c r="R92" s="36"/>
      <c r="S92" s="5"/>
      <c r="T92" s="29">
        <f t="shared" si="17"/>
        <v>42214</v>
      </c>
      <c r="U92" s="31"/>
      <c r="V92" s="31"/>
      <c r="W92" s="31"/>
      <c r="X92" s="31"/>
      <c r="Y92" s="29">
        <f t="shared" si="19"/>
        <v>42225</v>
      </c>
      <c r="Z92" s="31">
        <v>8</v>
      </c>
      <c r="AA92" s="31"/>
      <c r="AB92" s="31"/>
      <c r="AC92" s="31"/>
      <c r="AD92" s="29">
        <f t="shared" si="21"/>
        <v>42235</v>
      </c>
      <c r="AE92" s="31"/>
      <c r="AF92" s="31"/>
      <c r="AG92" s="31"/>
      <c r="AH92" s="31"/>
      <c r="AI92" s="32" t="s">
        <v>20</v>
      </c>
      <c r="AJ92" s="35">
        <f>VLOOKUP(AJ81,'[1]EP LARA'!$A$8:$AH$75,29,FALSE)</f>
        <v>0</v>
      </c>
    </row>
    <row r="93" spans="1:36" s="1" customFormat="1" x14ac:dyDescent="0.25">
      <c r="A93" s="29">
        <f t="shared" si="16"/>
        <v>42215</v>
      </c>
      <c r="B93" s="31">
        <v>8</v>
      </c>
      <c r="C93" s="31"/>
      <c r="D93" s="31"/>
      <c r="E93" s="31"/>
      <c r="F93" s="29">
        <f t="shared" si="18"/>
        <v>42226</v>
      </c>
      <c r="G93" s="31">
        <v>8</v>
      </c>
      <c r="H93" s="31"/>
      <c r="I93" s="31"/>
      <c r="J93" s="31"/>
      <c r="K93" s="29">
        <f t="shared" si="20"/>
        <v>42236</v>
      </c>
      <c r="L93" s="31">
        <v>8</v>
      </c>
      <c r="M93" s="31"/>
      <c r="N93" s="31"/>
      <c r="O93" s="31"/>
      <c r="P93" s="32" t="s">
        <v>21</v>
      </c>
      <c r="Q93" s="35">
        <f>VLOOKUP(Q81,'[1]EP LARA'!$A$8:$AH$75,15,FALSE)</f>
        <v>0</v>
      </c>
      <c r="R93" s="37"/>
      <c r="S93" s="5"/>
      <c r="T93" s="29">
        <f t="shared" si="17"/>
        <v>42215</v>
      </c>
      <c r="U93" s="31">
        <v>8</v>
      </c>
      <c r="V93" s="31"/>
      <c r="W93" s="31"/>
      <c r="X93" s="31"/>
      <c r="Y93" s="29">
        <f t="shared" si="19"/>
        <v>42226</v>
      </c>
      <c r="Z93" s="31">
        <v>8</v>
      </c>
      <c r="AA93" s="31"/>
      <c r="AB93" s="31"/>
      <c r="AC93" s="31"/>
      <c r="AD93" s="29">
        <f t="shared" si="21"/>
        <v>42236</v>
      </c>
      <c r="AE93" s="31">
        <v>8</v>
      </c>
      <c r="AF93" s="31"/>
      <c r="AG93" s="31"/>
      <c r="AH93" s="31"/>
      <c r="AI93" s="32" t="s">
        <v>21</v>
      </c>
      <c r="AJ93" s="35">
        <f>VLOOKUP(AJ81,'[1]EP LARA'!$A$8:$AH$75,15,FALSE)</f>
        <v>0</v>
      </c>
    </row>
    <row r="94" spans="1:36" s="1" customFormat="1" x14ac:dyDescent="0.25">
      <c r="A94" s="29">
        <f t="shared" si="16"/>
        <v>42216</v>
      </c>
      <c r="B94" s="31">
        <v>8</v>
      </c>
      <c r="C94" s="31"/>
      <c r="D94" s="31"/>
      <c r="E94" s="31"/>
      <c r="P94" s="38"/>
      <c r="Q94" s="39"/>
      <c r="R94" s="40"/>
      <c r="S94" s="5"/>
      <c r="T94" s="29">
        <f t="shared" si="17"/>
        <v>42216</v>
      </c>
      <c r="U94" s="31">
        <v>8</v>
      </c>
      <c r="V94" s="31"/>
      <c r="W94" s="31"/>
      <c r="X94" s="31"/>
      <c r="AI94" s="38"/>
      <c r="AJ94" s="39"/>
    </row>
    <row r="95" spans="1:36" s="1" customFormat="1" ht="12.75" customHeight="1" x14ac:dyDescent="0.25">
      <c r="A95" s="37" t="s">
        <v>22</v>
      </c>
      <c r="B95" s="41">
        <f>COUNTIF(B84:O94,"A")</f>
        <v>0</v>
      </c>
      <c r="C95" s="37"/>
      <c r="D95" s="37" t="s">
        <v>23</v>
      </c>
      <c r="E95" s="41">
        <f>COUNTIF(B84:O94,"P")</f>
        <v>0</v>
      </c>
      <c r="F95" s="37"/>
      <c r="G95" s="37"/>
      <c r="H95" s="42" t="s">
        <v>24</v>
      </c>
      <c r="I95" s="42"/>
      <c r="J95" s="41">
        <f>COUNTIF(B84:O94,"CP")</f>
        <v>0</v>
      </c>
      <c r="K95" s="37"/>
      <c r="L95" s="43" t="s">
        <v>25</v>
      </c>
      <c r="M95" s="43"/>
      <c r="N95" s="44">
        <f>COUNTIF(B84:O94,"PEF")</f>
        <v>0</v>
      </c>
      <c r="O95" s="44"/>
      <c r="P95" s="18"/>
      <c r="Q95" s="37"/>
      <c r="R95" s="37"/>
      <c r="S95" s="5"/>
      <c r="T95" s="37" t="s">
        <v>22</v>
      </c>
      <c r="U95" s="41">
        <f>COUNTIF(U84:AH94,"A")</f>
        <v>0</v>
      </c>
      <c r="V95" s="37"/>
      <c r="W95" s="37" t="s">
        <v>23</v>
      </c>
      <c r="X95" s="41">
        <f>COUNTIF(U84:AH94,"P")</f>
        <v>0</v>
      </c>
      <c r="Y95" s="37"/>
      <c r="Z95" s="37"/>
      <c r="AA95" s="42" t="s">
        <v>24</v>
      </c>
      <c r="AB95" s="42"/>
      <c r="AC95" s="41">
        <f>COUNTIF(U84:AH94,"CP")</f>
        <v>0</v>
      </c>
      <c r="AD95" s="37"/>
      <c r="AE95" s="43" t="s">
        <v>25</v>
      </c>
      <c r="AF95" s="43"/>
      <c r="AG95" s="44">
        <f>COUNTIF(U84:AH94,"PEF")</f>
        <v>0</v>
      </c>
      <c r="AH95" s="44"/>
      <c r="AI95" s="18"/>
      <c r="AJ95" s="37"/>
    </row>
    <row r="96" spans="1:36" s="1" customFormat="1" x14ac:dyDescent="0.25">
      <c r="A96" s="45" t="s">
        <v>26</v>
      </c>
      <c r="B96" s="46"/>
      <c r="C96" s="46"/>
      <c r="D96" s="45" t="s">
        <v>27</v>
      </c>
      <c r="E96" s="46"/>
      <c r="F96" s="46"/>
      <c r="G96" s="46"/>
      <c r="H96" s="47" t="s">
        <v>28</v>
      </c>
      <c r="I96" s="47"/>
      <c r="K96" s="48" t="s">
        <v>29</v>
      </c>
      <c r="P96" s="32" t="s">
        <v>30</v>
      </c>
      <c r="Q96" s="49">
        <f>VLOOKUP(Q81,'[1]EP LARA'!$A$8:$AH$75,32,FALSE)</f>
        <v>0</v>
      </c>
      <c r="R96" s="39"/>
      <c r="S96" s="5"/>
      <c r="T96" s="45" t="s">
        <v>26</v>
      </c>
      <c r="U96" s="46"/>
      <c r="V96" s="46"/>
      <c r="W96" s="45" t="s">
        <v>27</v>
      </c>
      <c r="X96" s="46"/>
      <c r="Y96" s="46"/>
      <c r="Z96" s="46"/>
      <c r="AA96" s="47" t="s">
        <v>28</v>
      </c>
      <c r="AB96" s="47"/>
      <c r="AD96" s="48" t="s">
        <v>29</v>
      </c>
      <c r="AI96" s="32" t="s">
        <v>30</v>
      </c>
      <c r="AJ96" s="49">
        <f>VLOOKUP(AJ81,'[1]EP LARA'!$A$8:$AH$75,32,FALSE)</f>
        <v>0</v>
      </c>
    </row>
    <row r="97" spans="1:36" s="1" customFormat="1" x14ac:dyDescent="0.25">
      <c r="P97" s="32" t="s">
        <v>31</v>
      </c>
      <c r="Q97" s="49">
        <f>VLOOKUP(Q81,'[1]EP LARA'!$A$8:$AH$75,31,FALSE)</f>
        <v>0</v>
      </c>
      <c r="R97" s="39"/>
      <c r="S97" s="5"/>
      <c r="AI97" s="32" t="s">
        <v>31</v>
      </c>
      <c r="AJ97" s="49">
        <f>VLOOKUP(AJ81,'[1]EP LARA'!$A$8:$AH$75,31,FALSE)</f>
        <v>0</v>
      </c>
    </row>
    <row r="98" spans="1:36" s="1" customFormat="1" x14ac:dyDescent="0.25">
      <c r="A98" s="43" t="s">
        <v>32</v>
      </c>
      <c r="B98" s="43"/>
      <c r="C98" s="41">
        <f>COUNTIF(B84:O94,"AT")</f>
        <v>0</v>
      </c>
      <c r="D98" s="37"/>
      <c r="E98" s="37" t="s">
        <v>33</v>
      </c>
      <c r="F98" s="41">
        <f>COUNTIF(B84:O94,"M")</f>
        <v>0</v>
      </c>
      <c r="G98" s="37"/>
      <c r="H98" s="37" t="s">
        <v>34</v>
      </c>
      <c r="I98" s="41">
        <f>COUNTIF(B84:O94,"I")</f>
        <v>0</v>
      </c>
      <c r="J98" s="37"/>
      <c r="K98" s="37"/>
      <c r="L98" s="37" t="s">
        <v>35</v>
      </c>
      <c r="M98" s="41">
        <f>COUNTIF(B84:O94,"F")</f>
        <v>1</v>
      </c>
      <c r="N98" s="37"/>
      <c r="O98" s="37"/>
      <c r="P98" s="32" t="s">
        <v>36</v>
      </c>
      <c r="Q98" s="49">
        <f>VLOOKUP(Q81,'[1]EP LARA'!$A$8:$AH$75,33,FALSE)</f>
        <v>0</v>
      </c>
      <c r="R98" s="39"/>
      <c r="S98" s="5"/>
      <c r="T98" s="43" t="s">
        <v>32</v>
      </c>
      <c r="U98" s="43"/>
      <c r="V98" s="41">
        <f>COUNTIF(U84:AH94,"AT")</f>
        <v>0</v>
      </c>
      <c r="W98" s="37"/>
      <c r="X98" s="37" t="s">
        <v>33</v>
      </c>
      <c r="Y98" s="41">
        <f>COUNTIF(U84:AH94,"M")</f>
        <v>0</v>
      </c>
      <c r="Z98" s="37"/>
      <c r="AA98" s="37" t="s">
        <v>34</v>
      </c>
      <c r="AB98" s="41">
        <f>COUNTIF(U84:AH94,"I")</f>
        <v>0</v>
      </c>
      <c r="AC98" s="37"/>
      <c r="AD98" s="37"/>
      <c r="AE98" s="37" t="s">
        <v>35</v>
      </c>
      <c r="AF98" s="41">
        <f>COUNTIF(U84:AH94,"F")</f>
        <v>1</v>
      </c>
      <c r="AG98" s="37"/>
      <c r="AH98" s="37"/>
      <c r="AI98" s="32" t="s">
        <v>36</v>
      </c>
      <c r="AJ98" s="49">
        <f>VLOOKUP(AJ81,'[1]EP LARA'!$A$8:$AH$75,33,FALSE)</f>
        <v>0</v>
      </c>
    </row>
    <row r="99" spans="1:36" s="1" customFormat="1" ht="9" customHeight="1" x14ac:dyDescent="0.25">
      <c r="A99" s="50" t="s">
        <v>37</v>
      </c>
      <c r="B99" s="46"/>
      <c r="C99" s="46"/>
      <c r="D99" s="46"/>
      <c r="E99" s="45" t="s">
        <v>38</v>
      </c>
      <c r="F99" s="46"/>
      <c r="G99" s="46"/>
      <c r="H99" s="45" t="s">
        <v>39</v>
      </c>
      <c r="I99" s="46"/>
      <c r="J99" s="46"/>
      <c r="K99" s="46"/>
      <c r="L99" s="45" t="s">
        <v>40</v>
      </c>
      <c r="S99" s="5"/>
      <c r="T99" s="50" t="s">
        <v>37</v>
      </c>
      <c r="U99" s="46"/>
      <c r="V99" s="46"/>
      <c r="W99" s="46"/>
      <c r="X99" s="45" t="s">
        <v>38</v>
      </c>
      <c r="Y99" s="46"/>
      <c r="Z99" s="46"/>
      <c r="AA99" s="45" t="s">
        <v>39</v>
      </c>
      <c r="AB99" s="46"/>
      <c r="AC99" s="46"/>
      <c r="AD99" s="46"/>
      <c r="AE99" s="45" t="s">
        <v>40</v>
      </c>
    </row>
    <row r="100" spans="1:36" s="1" customFormat="1" x14ac:dyDescent="0.25">
      <c r="A100" s="12" t="s">
        <v>41</v>
      </c>
      <c r="B100" s="13"/>
      <c r="C100" s="13"/>
      <c r="D100" s="13"/>
      <c r="E100" s="13"/>
      <c r="F100" s="51">
        <f>'[1]EP LARA'!$C$5</f>
        <v>27</v>
      </c>
      <c r="G100" s="52"/>
      <c r="H100" s="52" t="s">
        <v>42</v>
      </c>
      <c r="I100" s="52"/>
      <c r="J100" s="52"/>
      <c r="K100" s="52"/>
      <c r="L100" s="10">
        <f>'[1]EP LARA'!$C$4</f>
        <v>216</v>
      </c>
      <c r="M100" s="10"/>
      <c r="N100" s="52"/>
      <c r="O100" s="52" t="s">
        <v>43</v>
      </c>
      <c r="P100" s="52"/>
      <c r="Q100" s="53">
        <f>'[1]EP LARA'!$C$2</f>
        <v>0</v>
      </c>
      <c r="R100" s="54"/>
      <c r="S100" s="5"/>
      <c r="T100" s="12" t="s">
        <v>41</v>
      </c>
      <c r="U100" s="13"/>
      <c r="V100" s="13"/>
      <c r="W100" s="13"/>
      <c r="X100" s="13"/>
      <c r="Y100" s="51">
        <f>'[1]EP LARA'!$C$5</f>
        <v>27</v>
      </c>
      <c r="Z100" s="52"/>
      <c r="AA100" s="52" t="s">
        <v>42</v>
      </c>
      <c r="AB100" s="52"/>
      <c r="AC100" s="52"/>
      <c r="AD100" s="52"/>
      <c r="AE100" s="10">
        <f>'[1]EP LARA'!$C$4</f>
        <v>216</v>
      </c>
      <c r="AF100" s="10"/>
      <c r="AG100" s="52"/>
      <c r="AH100" s="52" t="s">
        <v>43</v>
      </c>
      <c r="AI100" s="52"/>
      <c r="AJ100" s="53">
        <f>'[1]EP LARA'!$C$2</f>
        <v>0</v>
      </c>
    </row>
    <row r="101" spans="1:36" s="1" customFormat="1" ht="6" customHeight="1" x14ac:dyDescent="0.25">
      <c r="S101" s="5"/>
    </row>
    <row r="102" spans="1:36" s="1" customFormat="1" ht="12" customHeight="1" x14ac:dyDescent="0.25">
      <c r="A102" s="55" t="s">
        <v>44</v>
      </c>
      <c r="B102" s="56"/>
      <c r="C102" s="56"/>
      <c r="D102" s="56"/>
      <c r="E102" s="56"/>
      <c r="F102" s="56"/>
      <c r="G102" s="56"/>
      <c r="H102" s="57"/>
      <c r="K102" s="55" t="s">
        <v>45</v>
      </c>
      <c r="L102" s="56"/>
      <c r="M102" s="56"/>
      <c r="N102" s="56"/>
      <c r="O102" s="56"/>
      <c r="P102" s="56"/>
      <c r="Q102" s="57"/>
      <c r="R102" s="58"/>
      <c r="S102" s="5"/>
      <c r="T102" s="55" t="s">
        <v>44</v>
      </c>
      <c r="U102" s="56"/>
      <c r="V102" s="56"/>
      <c r="W102" s="56"/>
      <c r="X102" s="56"/>
      <c r="Y102" s="56"/>
      <c r="Z102" s="56"/>
      <c r="AA102" s="57"/>
      <c r="AD102" s="55" t="s">
        <v>45</v>
      </c>
      <c r="AE102" s="56"/>
      <c r="AF102" s="56"/>
      <c r="AG102" s="56"/>
      <c r="AH102" s="56"/>
      <c r="AI102" s="56"/>
      <c r="AJ102" s="57"/>
    </row>
    <row r="103" spans="1:36" s="1" customFormat="1" ht="4.5" customHeight="1" x14ac:dyDescent="0.25">
      <c r="A103" s="5"/>
      <c r="B103" s="58"/>
      <c r="C103" s="58"/>
      <c r="D103" s="58"/>
      <c r="E103" s="58"/>
      <c r="F103" s="58"/>
      <c r="G103" s="58"/>
      <c r="H103" s="59"/>
      <c r="K103" s="5"/>
      <c r="L103" s="58"/>
      <c r="M103" s="58"/>
      <c r="N103" s="58"/>
      <c r="O103" s="58"/>
      <c r="P103" s="58"/>
      <c r="Q103" s="59"/>
      <c r="R103" s="58"/>
      <c r="S103" s="5"/>
      <c r="T103" s="5"/>
      <c r="U103" s="58"/>
      <c r="V103" s="58"/>
      <c r="W103" s="58"/>
      <c r="X103" s="58"/>
      <c r="Y103" s="58"/>
      <c r="Z103" s="58"/>
      <c r="AA103" s="59"/>
      <c r="AD103" s="5"/>
      <c r="AE103" s="58"/>
      <c r="AF103" s="58"/>
      <c r="AG103" s="58"/>
      <c r="AH103" s="58"/>
      <c r="AI103" s="58"/>
      <c r="AJ103" s="59"/>
    </row>
    <row r="104" spans="1:36" s="1" customFormat="1" ht="12" customHeight="1" x14ac:dyDescent="0.25">
      <c r="A104" s="34">
        <f>VLOOKUP(Q81,'[1]EP LARA'!$A$8:$AH$75,19,FALSE)</f>
        <v>45</v>
      </c>
      <c r="B104" s="60" t="s">
        <v>46</v>
      </c>
      <c r="C104" s="61">
        <f>((Q100/L100)*(Q83+VLOOKUP(Q81,'[1]EP LARA'!$A$8:$AH$75,7,FALSE)))</f>
        <v>0</v>
      </c>
      <c r="D104" s="61"/>
      <c r="E104" s="60" t="s">
        <v>47</v>
      </c>
      <c r="F104" s="62">
        <f>MROUND(C104*A104,500)</f>
        <v>0</v>
      </c>
      <c r="G104" s="62"/>
      <c r="H104" s="63" t="str">
        <f>IF(F104&gt;0,"Fcfa","")</f>
        <v/>
      </c>
      <c r="K104" s="64" t="s">
        <v>48</v>
      </c>
      <c r="L104" s="65"/>
      <c r="M104" s="65"/>
      <c r="N104" s="65"/>
      <c r="O104" s="66" t="s">
        <v>47</v>
      </c>
      <c r="P104" s="36">
        <f>VLOOKUP(Q81,'[1]EP LARA'!$A$8:$AH$75,26,FALSE)</f>
        <v>0</v>
      </c>
      <c r="Q104" s="67" t="str">
        <f t="shared" ref="Q104:Q105" si="22">IF(P104&gt;0,"Fcfa","")</f>
        <v/>
      </c>
      <c r="R104" s="58"/>
      <c r="S104" s="5"/>
      <c r="T104" s="34">
        <f>VLOOKUP(AJ81,'[1]EP LARA'!$A$8:$AH$75,19,FALSE)</f>
        <v>100</v>
      </c>
      <c r="U104" s="60" t="s">
        <v>46</v>
      </c>
      <c r="V104" s="61">
        <f>((AJ100/AE100)*(AJ83+VLOOKUP(AJ81,'[1]EP LARA'!$A$8:$AH$75,7,FALSE)))</f>
        <v>0</v>
      </c>
      <c r="W104" s="61"/>
      <c r="X104" s="60" t="s">
        <v>47</v>
      </c>
      <c r="Y104" s="62">
        <f>MROUND(V104*T104,500)</f>
        <v>0</v>
      </c>
      <c r="Z104" s="62"/>
      <c r="AA104" s="63" t="str">
        <f>IF(Y104&gt;0,"Fcfa","")</f>
        <v/>
      </c>
      <c r="AD104" s="64" t="s">
        <v>48</v>
      </c>
      <c r="AE104" s="65"/>
      <c r="AF104" s="65"/>
      <c r="AG104" s="65"/>
      <c r="AH104" s="66" t="s">
        <v>47</v>
      </c>
      <c r="AI104" s="36">
        <f>VLOOKUP(AJ81,'[1]EP LARA'!$A$8:$AH$75,26,FALSE)</f>
        <v>0</v>
      </c>
      <c r="AJ104" s="67" t="str">
        <f t="shared" ref="AJ104:AJ105" si="23">IF(AI104&gt;0,"Fcfa","")</f>
        <v/>
      </c>
    </row>
    <row r="105" spans="1:36" s="1" customFormat="1" ht="12" customHeight="1" x14ac:dyDescent="0.25">
      <c r="A105" s="64" t="str">
        <f>IF(F105&gt;0,"Rattrapage prod","")</f>
        <v/>
      </c>
      <c r="B105" s="65"/>
      <c r="C105" s="65"/>
      <c r="D105" s="65"/>
      <c r="E105" s="60" t="str">
        <f>IF(F105&gt;0,"=","")</f>
        <v/>
      </c>
      <c r="F105" s="62">
        <f>VLOOKUP(Q81,'[1]EP LARA'!$A$8:$AH$75,5,FALSE)</f>
        <v>0</v>
      </c>
      <c r="G105" s="62"/>
      <c r="H105" s="68" t="str">
        <f>IF(F105&gt;0,"m3","")</f>
        <v/>
      </c>
      <c r="K105" s="64" t="s">
        <v>49</v>
      </c>
      <c r="L105" s="65"/>
      <c r="M105" s="65"/>
      <c r="N105" s="65"/>
      <c r="O105" s="66" t="s">
        <v>47</v>
      </c>
      <c r="P105" s="36">
        <f>VLOOKUP(Q81,'[1]EP LARA'!$A$8:$AH$75,17,FALSE)</f>
        <v>0</v>
      </c>
      <c r="Q105" s="67" t="str">
        <f t="shared" si="22"/>
        <v/>
      </c>
      <c r="R105" s="58"/>
      <c r="S105" s="5"/>
      <c r="T105" s="64" t="str">
        <f>IF(Y105&gt;0,"Rattrapage prod","")</f>
        <v/>
      </c>
      <c r="U105" s="65"/>
      <c r="V105" s="65"/>
      <c r="W105" s="65"/>
      <c r="X105" s="60" t="str">
        <f>IF(Y105&gt;0,"=","")</f>
        <v/>
      </c>
      <c r="Y105" s="62">
        <f>VLOOKUP(AJ81,'[1]EP LARA'!$A$8:$AH$75,5,FALSE)</f>
        <v>0</v>
      </c>
      <c r="Z105" s="62"/>
      <c r="AA105" s="68" t="str">
        <f>IF(Y105&gt;0,"m3","")</f>
        <v/>
      </c>
      <c r="AD105" s="64" t="s">
        <v>49</v>
      </c>
      <c r="AE105" s="65"/>
      <c r="AF105" s="65"/>
      <c r="AG105" s="65"/>
      <c r="AH105" s="66" t="s">
        <v>47</v>
      </c>
      <c r="AI105" s="36">
        <f>VLOOKUP(AJ81,'[1]EP LARA'!$A$8:$AH$75,17,FALSE)</f>
        <v>0</v>
      </c>
      <c r="AJ105" s="67" t="str">
        <f t="shared" si="23"/>
        <v/>
      </c>
    </row>
    <row r="106" spans="1:36" s="1" customFormat="1" ht="12" customHeight="1" x14ac:dyDescent="0.25">
      <c r="A106" s="64" t="str">
        <f>IF(F106&gt;0,"supp. prime","")</f>
        <v/>
      </c>
      <c r="B106" s="65"/>
      <c r="C106" s="65"/>
      <c r="D106" s="65"/>
      <c r="E106" s="60" t="str">
        <f>IF(F106&gt;0,"=","")</f>
        <v/>
      </c>
      <c r="F106" s="62">
        <f>VLOOKUP(Q81,'[1]EP LARA'!$A$8:$AH$75,21,FALSE)</f>
        <v>0</v>
      </c>
      <c r="G106" s="62"/>
      <c r="H106" s="68" t="str">
        <f>IF(F106&gt;0,"%","")</f>
        <v/>
      </c>
      <c r="K106" s="64" t="s">
        <v>50</v>
      </c>
      <c r="L106" s="65"/>
      <c r="M106" s="65"/>
      <c r="N106" s="65"/>
      <c r="O106" s="66" t="s">
        <v>47</v>
      </c>
      <c r="P106" s="36">
        <f>VLOOKUP(Q81,'[1]EP LARA'!$A$8:$AH$75,23,FALSE)</f>
        <v>0</v>
      </c>
      <c r="Q106" s="67" t="str">
        <f>IF(P106&gt;0,"Fcfa","")</f>
        <v/>
      </c>
      <c r="R106" s="58"/>
      <c r="S106" s="5"/>
      <c r="T106" s="64" t="str">
        <f>IF(Y106&gt;0,"supp. prime","")</f>
        <v/>
      </c>
      <c r="U106" s="65"/>
      <c r="V106" s="65"/>
      <c r="W106" s="65"/>
      <c r="X106" s="60" t="str">
        <f>IF(Y106&gt;0,"=","")</f>
        <v/>
      </c>
      <c r="Y106" s="62">
        <f>VLOOKUP(AJ81,'[1]EP LARA'!$A$8:$AH$75,21,FALSE)</f>
        <v>0</v>
      </c>
      <c r="Z106" s="62"/>
      <c r="AA106" s="68" t="str">
        <f>IF(Y106&gt;0,"%","")</f>
        <v/>
      </c>
      <c r="AD106" s="64" t="s">
        <v>50</v>
      </c>
      <c r="AE106" s="65"/>
      <c r="AF106" s="65"/>
      <c r="AG106" s="65"/>
      <c r="AH106" s="66" t="s">
        <v>47</v>
      </c>
      <c r="AI106" s="36">
        <f>VLOOKUP(AJ81,'[1]EP LARA'!$A$8:$AH$75,23,FALSE)</f>
        <v>0</v>
      </c>
      <c r="AJ106" s="67" t="str">
        <f>IF(AI106&gt;0,"Fcfa","")</f>
        <v/>
      </c>
    </row>
    <row r="107" spans="1:36" s="1" customFormat="1" ht="4.5" customHeight="1" x14ac:dyDescent="0.25">
      <c r="A107" s="34"/>
      <c r="B107" s="66"/>
      <c r="C107" s="66"/>
      <c r="D107" s="66"/>
      <c r="E107" s="60"/>
      <c r="F107" s="66"/>
      <c r="G107" s="66"/>
      <c r="H107" s="69"/>
      <c r="K107" s="70"/>
      <c r="L107" s="71"/>
      <c r="M107" s="71"/>
      <c r="N107" s="71"/>
      <c r="O107" s="58"/>
      <c r="P107" s="72"/>
      <c r="Q107" s="67"/>
      <c r="R107" s="58"/>
      <c r="S107" s="5"/>
      <c r="T107" s="34"/>
      <c r="U107" s="66"/>
      <c r="V107" s="66"/>
      <c r="W107" s="66"/>
      <c r="X107" s="60"/>
      <c r="Y107" s="66"/>
      <c r="Z107" s="66"/>
      <c r="AA107" s="69"/>
      <c r="AD107" s="70"/>
      <c r="AE107" s="71"/>
      <c r="AF107" s="71"/>
      <c r="AG107" s="71"/>
      <c r="AH107" s="58"/>
      <c r="AI107" s="72"/>
      <c r="AJ107" s="67"/>
    </row>
    <row r="108" spans="1:36" s="1" customFormat="1" ht="12" customHeight="1" x14ac:dyDescent="0.25">
      <c r="A108" s="73" t="s">
        <v>51</v>
      </c>
      <c r="B108" s="74"/>
      <c r="C108" s="74"/>
      <c r="D108" s="74"/>
      <c r="E108" s="75" t="s">
        <v>47</v>
      </c>
      <c r="F108" s="76">
        <f>VLOOKUP(Q81,'[1]EP LARA'!$A$8:$AH$75,20,FALSE)</f>
        <v>0</v>
      </c>
      <c r="G108" s="76"/>
      <c r="H108" s="77" t="str">
        <f>IF(F108&gt;0,"Fcfa","")</f>
        <v/>
      </c>
      <c r="K108" s="73" t="s">
        <v>51</v>
      </c>
      <c r="L108" s="74"/>
      <c r="M108" s="74"/>
      <c r="N108" s="74"/>
      <c r="O108" s="78" t="s">
        <v>47</v>
      </c>
      <c r="P108" s="79">
        <f>SUM(P104:P106)</f>
        <v>0</v>
      </c>
      <c r="Q108" s="80" t="str">
        <f>IF(P108&gt;0,"Fcfa","")</f>
        <v/>
      </c>
      <c r="R108" s="58"/>
      <c r="S108" s="5"/>
      <c r="T108" s="73" t="s">
        <v>51</v>
      </c>
      <c r="U108" s="74"/>
      <c r="V108" s="74"/>
      <c r="W108" s="74"/>
      <c r="X108" s="75" t="s">
        <v>47</v>
      </c>
      <c r="Y108" s="76">
        <f>VLOOKUP(AJ81,'[1]EP LARA'!$A$8:$AH$75,20,FALSE)</f>
        <v>0</v>
      </c>
      <c r="Z108" s="76"/>
      <c r="AA108" s="77" t="str">
        <f>IF(Y108&gt;0,"Fcfa","")</f>
        <v/>
      </c>
      <c r="AD108" s="73" t="s">
        <v>51</v>
      </c>
      <c r="AE108" s="74"/>
      <c r="AF108" s="74"/>
      <c r="AG108" s="74"/>
      <c r="AH108" s="78" t="s">
        <v>47</v>
      </c>
      <c r="AI108" s="79">
        <f>SUM(AI104:AI106)</f>
        <v>0</v>
      </c>
      <c r="AJ108" s="80" t="str">
        <f>IF(AI108&gt;0,"Fcfa","")</f>
        <v/>
      </c>
    </row>
    <row r="109" spans="1:36" s="1" customFormat="1" ht="6" customHeight="1" x14ac:dyDescent="0.25">
      <c r="S109" s="5"/>
    </row>
    <row r="110" spans="1:36" s="1" customFormat="1" x14ac:dyDescent="0.25">
      <c r="A110" s="81" t="s">
        <v>52</v>
      </c>
      <c r="B110" s="82"/>
      <c r="C110" s="82"/>
      <c r="D110" s="82"/>
      <c r="E110" s="83">
        <f>VLOOKUP(Q81,'[1]EP LARA'!$A$8:$AH$75,34,FALSE)</f>
        <v>0</v>
      </c>
      <c r="F110" s="83"/>
      <c r="G110" s="83"/>
      <c r="H110" s="83"/>
      <c r="I110" s="83"/>
      <c r="J110" s="83"/>
      <c r="K110" s="83"/>
      <c r="L110" s="83"/>
      <c r="M110" s="83"/>
      <c r="N110" s="83"/>
      <c r="O110" s="83"/>
      <c r="P110" s="83"/>
      <c r="Q110" s="84"/>
      <c r="R110" s="85"/>
      <c r="S110" s="5"/>
      <c r="T110" s="81" t="s">
        <v>52</v>
      </c>
      <c r="U110" s="82"/>
      <c r="V110" s="82"/>
      <c r="W110" s="82"/>
      <c r="X110" s="83">
        <f>VLOOKUP(AJ81,'[1]EP LARA'!$A$8:$AH$75,34,FALSE)</f>
        <v>0</v>
      </c>
      <c r="Y110" s="83"/>
      <c r="Z110" s="83"/>
      <c r="AA110" s="83"/>
      <c r="AB110" s="83"/>
      <c r="AC110" s="83"/>
      <c r="AD110" s="83"/>
      <c r="AE110" s="83"/>
      <c r="AF110" s="83"/>
      <c r="AG110" s="83"/>
      <c r="AH110" s="83"/>
      <c r="AI110" s="83"/>
      <c r="AJ110" s="84"/>
    </row>
    <row r="111" spans="1:36" s="1" customFormat="1" x14ac:dyDescent="0.25">
      <c r="A111" s="86"/>
      <c r="B111" s="87"/>
      <c r="C111" s="87"/>
      <c r="D111" s="87"/>
      <c r="E111" s="88" t="str">
        <f>IF(VLOOKUP(Q81,'[1]EP LARA'!$A$8:$AH$75,27,FALSE)&gt;0,"Prime de responsabilité sanctionné de "&amp;VLOOKUP(Q81,'[1]EP LARA'!$A$8:$AH$75,27,FALSE)&amp;"%","")</f>
        <v/>
      </c>
      <c r="F111" s="88"/>
      <c r="G111" s="88"/>
      <c r="H111" s="88"/>
      <c r="I111" s="88"/>
      <c r="J111" s="88"/>
      <c r="K111" s="88"/>
      <c r="L111" s="88"/>
      <c r="M111" s="88"/>
      <c r="N111" s="88"/>
      <c r="O111" s="88"/>
      <c r="P111" s="88"/>
      <c r="Q111" s="89"/>
      <c r="R111" s="90"/>
      <c r="S111" s="5"/>
      <c r="T111" s="86"/>
      <c r="U111" s="87"/>
      <c r="V111" s="87"/>
      <c r="W111" s="87"/>
      <c r="X111" s="88" t="str">
        <f>IF(VLOOKUP(AJ81,'[1]EP LARA'!$A$8:$AH$75,27,FALSE)&gt;0,"Prime de responsabilité sanctionné de "&amp;VLOOKUP(AJ81,'[1]EP LARA'!$A$8:$AH$75,27,FALSE)&amp;"%","")</f>
        <v/>
      </c>
      <c r="Y111" s="88"/>
      <c r="Z111" s="88"/>
      <c r="AA111" s="88"/>
      <c r="AB111" s="88"/>
      <c r="AC111" s="88"/>
      <c r="AD111" s="88"/>
      <c r="AE111" s="88"/>
      <c r="AF111" s="88"/>
      <c r="AG111" s="88"/>
      <c r="AH111" s="88"/>
      <c r="AI111" s="88"/>
      <c r="AJ111" s="89"/>
    </row>
    <row r="112" spans="1:36" s="1" customFormat="1" x14ac:dyDescent="0.25">
      <c r="A112" s="91"/>
      <c r="B112" s="92"/>
      <c r="C112" s="92"/>
      <c r="D112" s="92"/>
      <c r="E112" s="92"/>
      <c r="F112" s="92"/>
      <c r="G112" s="92"/>
      <c r="H112" s="92"/>
      <c r="I112" s="92"/>
      <c r="J112" s="92"/>
      <c r="K112" s="92"/>
      <c r="L112" s="92"/>
      <c r="M112" s="92"/>
      <c r="N112" s="92"/>
      <c r="O112" s="92"/>
      <c r="P112" s="92"/>
      <c r="Q112" s="93"/>
      <c r="R112" s="90"/>
      <c r="S112" s="5"/>
      <c r="T112" s="91"/>
      <c r="U112" s="92"/>
      <c r="V112" s="92"/>
      <c r="W112" s="92"/>
      <c r="X112" s="92"/>
      <c r="Y112" s="92"/>
      <c r="Z112" s="92"/>
      <c r="AA112" s="92"/>
      <c r="AB112" s="92"/>
      <c r="AC112" s="92"/>
      <c r="AD112" s="92"/>
      <c r="AE112" s="92"/>
      <c r="AF112" s="92"/>
      <c r="AG112" s="92"/>
      <c r="AH112" s="92"/>
      <c r="AI112" s="92"/>
      <c r="AJ112" s="93"/>
    </row>
    <row r="113" spans="1:36" s="1" customFormat="1" x14ac:dyDescent="0.25">
      <c r="A113" s="1" t="s">
        <v>53</v>
      </c>
      <c r="I113" s="1" t="s">
        <v>54</v>
      </c>
      <c r="Q113" s="94" t="s">
        <v>55</v>
      </c>
      <c r="R113" s="94"/>
      <c r="S113" s="5"/>
      <c r="T113" s="1" t="s">
        <v>53</v>
      </c>
      <c r="AB113" s="1" t="s">
        <v>54</v>
      </c>
      <c r="AJ113" s="94" t="s">
        <v>55</v>
      </c>
    </row>
  </sheetData>
  <mergeCells count="192">
    <mergeCell ref="A112:Q112"/>
    <mergeCell ref="T112:AJ112"/>
    <mergeCell ref="A110:D110"/>
    <mergeCell ref="E110:Q110"/>
    <mergeCell ref="T110:W110"/>
    <mergeCell ref="X110:AJ110"/>
    <mergeCell ref="A111:D111"/>
    <mergeCell ref="E111:Q111"/>
    <mergeCell ref="T111:W111"/>
    <mergeCell ref="X111:AJ111"/>
    <mergeCell ref="A108:D108"/>
    <mergeCell ref="F108:G108"/>
    <mergeCell ref="K108:N108"/>
    <mergeCell ref="T108:W108"/>
    <mergeCell ref="Y108:Z108"/>
    <mergeCell ref="AD108:AG108"/>
    <mergeCell ref="A106:D106"/>
    <mergeCell ref="F106:G106"/>
    <mergeCell ref="K106:N106"/>
    <mergeCell ref="T106:W106"/>
    <mergeCell ref="Y106:Z106"/>
    <mergeCell ref="AD106:AG106"/>
    <mergeCell ref="AD104:AG104"/>
    <mergeCell ref="A105:D105"/>
    <mergeCell ref="F105:G105"/>
    <mergeCell ref="K105:N105"/>
    <mergeCell ref="T105:W105"/>
    <mergeCell ref="Y105:Z105"/>
    <mergeCell ref="AD105:AG105"/>
    <mergeCell ref="AE100:AF100"/>
    <mergeCell ref="A102:H102"/>
    <mergeCell ref="K102:Q102"/>
    <mergeCell ref="T102:AA102"/>
    <mergeCell ref="AD102:AJ102"/>
    <mergeCell ref="C104:D104"/>
    <mergeCell ref="F104:G104"/>
    <mergeCell ref="K104:N104"/>
    <mergeCell ref="V104:W104"/>
    <mergeCell ref="Y104:Z104"/>
    <mergeCell ref="H96:I96"/>
    <mergeCell ref="AA96:AB96"/>
    <mergeCell ref="A98:B98"/>
    <mergeCell ref="T98:U98"/>
    <mergeCell ref="A100:E100"/>
    <mergeCell ref="L100:M100"/>
    <mergeCell ref="T100:X100"/>
    <mergeCell ref="AE81:AF81"/>
    <mergeCell ref="AG81:AI81"/>
    <mergeCell ref="H95:I95"/>
    <mergeCell ref="L95:M95"/>
    <mergeCell ref="N95:O95"/>
    <mergeCell ref="AA95:AB95"/>
    <mergeCell ref="AE95:AF95"/>
    <mergeCell ref="AG95:AH95"/>
    <mergeCell ref="A81:B81"/>
    <mergeCell ref="C81:I81"/>
    <mergeCell ref="L81:M81"/>
    <mergeCell ref="N81:P81"/>
    <mergeCell ref="T81:U81"/>
    <mergeCell ref="V81:AB81"/>
    <mergeCell ref="A74:Q74"/>
    <mergeCell ref="T74:AJ74"/>
    <mergeCell ref="A80:F80"/>
    <mergeCell ref="G80:Q80"/>
    <mergeCell ref="T80:Y80"/>
    <mergeCell ref="Z80:AJ80"/>
    <mergeCell ref="A72:D72"/>
    <mergeCell ref="E72:Q72"/>
    <mergeCell ref="T72:W72"/>
    <mergeCell ref="X72:AJ72"/>
    <mergeCell ref="A73:D73"/>
    <mergeCell ref="E73:Q73"/>
    <mergeCell ref="T73:W73"/>
    <mergeCell ref="X73:AJ73"/>
    <mergeCell ref="A70:D70"/>
    <mergeCell ref="F70:G70"/>
    <mergeCell ref="K70:N70"/>
    <mergeCell ref="T70:W70"/>
    <mergeCell ref="Y70:Z70"/>
    <mergeCell ref="AD70:AG70"/>
    <mergeCell ref="A68:D68"/>
    <mergeCell ref="F68:G68"/>
    <mergeCell ref="K68:N68"/>
    <mergeCell ref="T68:W68"/>
    <mergeCell ref="Y68:Z68"/>
    <mergeCell ref="AD68:AG68"/>
    <mergeCell ref="AD66:AG66"/>
    <mergeCell ref="A67:D67"/>
    <mergeCell ref="F67:G67"/>
    <mergeCell ref="K67:N67"/>
    <mergeCell ref="T67:W67"/>
    <mergeCell ref="Y67:Z67"/>
    <mergeCell ref="AD67:AG67"/>
    <mergeCell ref="AE62:AF62"/>
    <mergeCell ref="A64:H64"/>
    <mergeCell ref="K64:Q64"/>
    <mergeCell ref="T64:AA64"/>
    <mergeCell ref="AD64:AJ64"/>
    <mergeCell ref="C66:D66"/>
    <mergeCell ref="F66:G66"/>
    <mergeCell ref="K66:N66"/>
    <mergeCell ref="V66:W66"/>
    <mergeCell ref="Y66:Z66"/>
    <mergeCell ref="H58:I58"/>
    <mergeCell ref="AA58:AB58"/>
    <mergeCell ref="A60:B60"/>
    <mergeCell ref="T60:U60"/>
    <mergeCell ref="A62:E62"/>
    <mergeCell ref="L62:M62"/>
    <mergeCell ref="T62:X62"/>
    <mergeCell ref="AE43:AF43"/>
    <mergeCell ref="AG43:AI43"/>
    <mergeCell ref="H57:I57"/>
    <mergeCell ref="L57:M57"/>
    <mergeCell ref="N57:O57"/>
    <mergeCell ref="AA57:AB57"/>
    <mergeCell ref="AE57:AF57"/>
    <mergeCell ref="AG57:AH57"/>
    <mergeCell ref="A43:B43"/>
    <mergeCell ref="C43:I43"/>
    <mergeCell ref="L43:M43"/>
    <mergeCell ref="N43:P43"/>
    <mergeCell ref="T43:U43"/>
    <mergeCell ref="V43:AB43"/>
    <mergeCell ref="A36:Q36"/>
    <mergeCell ref="T36:AJ36"/>
    <mergeCell ref="A42:F42"/>
    <mergeCell ref="G42:Q42"/>
    <mergeCell ref="T42:Y42"/>
    <mergeCell ref="Z42:AJ42"/>
    <mergeCell ref="A34:D34"/>
    <mergeCell ref="E34:Q34"/>
    <mergeCell ref="T34:W34"/>
    <mergeCell ref="X34:AJ34"/>
    <mergeCell ref="A35:D35"/>
    <mergeCell ref="E35:Q35"/>
    <mergeCell ref="T35:W35"/>
    <mergeCell ref="X35:AJ35"/>
    <mergeCell ref="A32:D32"/>
    <mergeCell ref="F32:G32"/>
    <mergeCell ref="K32:N32"/>
    <mergeCell ref="T32:W32"/>
    <mergeCell ref="Y32:Z32"/>
    <mergeCell ref="AD32:AG32"/>
    <mergeCell ref="A30:D30"/>
    <mergeCell ref="F30:G30"/>
    <mergeCell ref="K30:N30"/>
    <mergeCell ref="T30:W30"/>
    <mergeCell ref="Y30:Z30"/>
    <mergeCell ref="AD30:AG30"/>
    <mergeCell ref="AD28:AG28"/>
    <mergeCell ref="A29:D29"/>
    <mergeCell ref="F29:G29"/>
    <mergeCell ref="K29:N29"/>
    <mergeCell ref="T29:W29"/>
    <mergeCell ref="Y29:Z29"/>
    <mergeCell ref="AD29:AG29"/>
    <mergeCell ref="AE24:AF24"/>
    <mergeCell ref="A26:H26"/>
    <mergeCell ref="K26:Q26"/>
    <mergeCell ref="T26:AA26"/>
    <mergeCell ref="AD26:AJ26"/>
    <mergeCell ref="C28:D28"/>
    <mergeCell ref="F28:G28"/>
    <mergeCell ref="K28:N28"/>
    <mergeCell ref="V28:W28"/>
    <mergeCell ref="Y28:Z28"/>
    <mergeCell ref="H20:I20"/>
    <mergeCell ref="AA20:AB20"/>
    <mergeCell ref="A22:B22"/>
    <mergeCell ref="T22:U22"/>
    <mergeCell ref="A24:E24"/>
    <mergeCell ref="L24:M24"/>
    <mergeCell ref="T24:X24"/>
    <mergeCell ref="AE5:AF5"/>
    <mergeCell ref="AG5:AI5"/>
    <mergeCell ref="H19:I19"/>
    <mergeCell ref="L19:M19"/>
    <mergeCell ref="N19:O19"/>
    <mergeCell ref="AA19:AB19"/>
    <mergeCell ref="AE19:AF19"/>
    <mergeCell ref="AG19:AH19"/>
    <mergeCell ref="A4:F4"/>
    <mergeCell ref="G4:Q4"/>
    <mergeCell ref="T4:Y4"/>
    <mergeCell ref="Z4:AJ4"/>
    <mergeCell ref="A5:B5"/>
    <mergeCell ref="C5:I5"/>
    <mergeCell ref="L5:M5"/>
    <mergeCell ref="N5:P5"/>
    <mergeCell ref="T5:U5"/>
    <mergeCell ref="V5:AB5"/>
  </mergeCells>
  <conditionalFormatting sqref="A8:A18 K8:K17 F18:O18 F8:F17">
    <cfRule type="expression" dxfId="71" priority="36">
      <formula>WEEKDAY(A8,2)=7</formula>
    </cfRule>
  </conditionalFormatting>
  <conditionalFormatting sqref="Q7">
    <cfRule type="cellIs" dxfId="69" priority="35" operator="notEqual">
      <formula>SUM(B8:B18)+SUM(G8:G17)+SUM(L8:L17)+(C22*8)+(F22*8)+(N19*8)+(M22*8)-Q10</formula>
    </cfRule>
  </conditionalFormatting>
  <conditionalFormatting sqref="Q8">
    <cfRule type="cellIs" dxfId="67" priority="34" operator="notEqual">
      <formula>SUM(C8:C18)+SUM(H8:H17)+SUM(M8:M17)</formula>
    </cfRule>
  </conditionalFormatting>
  <conditionalFormatting sqref="Q9">
    <cfRule type="cellIs" dxfId="65" priority="33" operator="notEqual">
      <formula>SUM(D8:D18)+SUM(I8:I17)+SUM(N8:N17)</formula>
    </cfRule>
  </conditionalFormatting>
  <conditionalFormatting sqref="Q11">
    <cfRule type="cellIs" dxfId="63" priority="32" operator="notEqual">
      <formula>SUM(E8:E18)+SUM(J8:J17)+SUM(O8:O17)</formula>
    </cfRule>
  </conditionalFormatting>
  <conditionalFormatting sqref="Q10">
    <cfRule type="cellIs" dxfId="61" priority="31" operator="notEqual">
      <formula>SUM(B8:B18)+SUM(G8:G17)+SUM(L8:L17)+(C22*8)+(F22*8)+(N19*8)+(M22*8)-IF(Q10&gt;1,Q7,"")</formula>
    </cfRule>
  </conditionalFormatting>
  <conditionalFormatting sqref="T8:T18 AD8:AD17 Y18:AH18 Y8:Y17">
    <cfRule type="expression" dxfId="59" priority="30">
      <formula>WEEKDAY(T8,2)=7</formula>
    </cfRule>
  </conditionalFormatting>
  <conditionalFormatting sqref="AJ7">
    <cfRule type="cellIs" dxfId="57" priority="29" operator="notEqual">
      <formula>SUM(U8:U18)+SUM(Z8:Z17)+SUM(AE8:AE17)+(V22*8)+(Y22*8)+(AG19*8)+(AF22*8)-AJ10</formula>
    </cfRule>
  </conditionalFormatting>
  <conditionalFormatting sqref="AJ8">
    <cfRule type="cellIs" dxfId="55" priority="28" operator="notEqual">
      <formula>SUM(V8:V18)+SUM(AA8:AA17)+SUM(AF8:AF17)</formula>
    </cfRule>
  </conditionalFormatting>
  <conditionalFormatting sqref="AJ9">
    <cfRule type="cellIs" dxfId="53" priority="27" operator="notEqual">
      <formula>SUM(W8:W18)+SUM(AB8:AB17)+SUM(AG8:AG17)</formula>
    </cfRule>
  </conditionalFormatting>
  <conditionalFormatting sqref="AJ11">
    <cfRule type="cellIs" dxfId="51" priority="26" operator="notEqual">
      <formula>SUM(X8:X18)+SUM(AC8:AC17)+SUM(AH8:AH17)</formula>
    </cfRule>
  </conditionalFormatting>
  <conditionalFormatting sqref="AJ10">
    <cfRule type="cellIs" dxfId="49" priority="25" operator="notEqual">
      <formula>SUM(U8:U18)+SUM(Z8:Z17)+SUM(AE8:AE17)+(V22*8)+(Y22*8)+(AG19*8)+(AF22*8)-IF(AJ10&gt;1,AJ7,"")</formula>
    </cfRule>
  </conditionalFormatting>
  <conditionalFormatting sqref="A46:A56 K46:K55 F56:O56 F46:F55">
    <cfRule type="expression" dxfId="47" priority="24">
      <formula>WEEKDAY(A46,2)=7</formula>
    </cfRule>
  </conditionalFormatting>
  <conditionalFormatting sqref="Q45">
    <cfRule type="cellIs" dxfId="45" priority="23" operator="notEqual">
      <formula>SUM(B46:B56)+SUM(G46:G55)+SUM(L46:L55)+(C60*8)+(F60*8)+(N57*8)+(M60*8)-Q48</formula>
    </cfRule>
  </conditionalFormatting>
  <conditionalFormatting sqref="Q46">
    <cfRule type="cellIs" dxfId="43" priority="22" operator="notEqual">
      <formula>SUM(C46:C56)+SUM(H46:H55)+SUM(M46:M55)</formula>
    </cfRule>
  </conditionalFormatting>
  <conditionalFormatting sqref="Q47">
    <cfRule type="cellIs" dxfId="41" priority="21" operator="notEqual">
      <formula>SUM(D46:D56)+SUM(I46:I55)+SUM(N46:N55)</formula>
    </cfRule>
  </conditionalFormatting>
  <conditionalFormatting sqref="Q49">
    <cfRule type="cellIs" dxfId="39" priority="20" operator="notEqual">
      <formula>SUM(E46:E56)+SUM(J46:J55)+SUM(O46:O55)</formula>
    </cfRule>
  </conditionalFormatting>
  <conditionalFormatting sqref="Q48">
    <cfRule type="cellIs" dxfId="37" priority="19" operator="notEqual">
      <formula>SUM(B46:B56)+SUM(G46:G55)+SUM(L46:L55)+(C60*8)+(F60*8)+(N57*8)+(M60*8)-IF(Q48&gt;1,Q45,"")</formula>
    </cfRule>
  </conditionalFormatting>
  <conditionalFormatting sqref="T46:T56 AD46:AD55 Y56:AH56 Y46:Y55">
    <cfRule type="expression" dxfId="35" priority="18">
      <formula>WEEKDAY(T46,2)=7</formula>
    </cfRule>
  </conditionalFormatting>
  <conditionalFormatting sqref="AJ45">
    <cfRule type="cellIs" dxfId="33" priority="17" operator="notEqual">
      <formula>SUM(U46:U56)+SUM(Z46:Z55)+SUM(AE46:AE55)+(V60*8)+(Y60*8)+(AG57*8)+(AF60*8)-AJ48</formula>
    </cfRule>
  </conditionalFormatting>
  <conditionalFormatting sqref="AJ46">
    <cfRule type="cellIs" dxfId="31" priority="16" operator="notEqual">
      <formula>SUM(V46:V56)+SUM(AA46:AA55)+SUM(AF46:AF55)</formula>
    </cfRule>
  </conditionalFormatting>
  <conditionalFormatting sqref="AJ47">
    <cfRule type="cellIs" dxfId="29" priority="15" operator="notEqual">
      <formula>SUM(W46:W56)+SUM(AB46:AB55)+SUM(AG46:AG55)</formula>
    </cfRule>
  </conditionalFormatting>
  <conditionalFormatting sqref="AJ49">
    <cfRule type="cellIs" dxfId="27" priority="14" operator="notEqual">
      <formula>SUM(X46:X56)+SUM(AC46:AC55)+SUM(AH46:AH55)</formula>
    </cfRule>
  </conditionalFormatting>
  <conditionalFormatting sqref="AJ48">
    <cfRule type="cellIs" dxfId="25" priority="13" operator="notEqual">
      <formula>SUM(U46:U56)+SUM(Z46:Z55)+SUM(AE46:AE55)+(V60*8)+(Y60*8)+(AG57*8)+(AF60*8)-IF(AJ48&gt;1,AJ45,"")</formula>
    </cfRule>
  </conditionalFormatting>
  <conditionalFormatting sqref="A84:A94 K84:K93 F94:O94 F84:F93">
    <cfRule type="expression" dxfId="23" priority="12">
      <formula>WEEKDAY(A84,2)=7</formula>
    </cfRule>
  </conditionalFormatting>
  <conditionalFormatting sqref="Q83">
    <cfRule type="cellIs" dxfId="21" priority="11" operator="notEqual">
      <formula>SUM(B84:B94)+SUM(G84:G93)+SUM(L84:L93)+(C98*8)+(F98*8)+(N95*8)+(M98*8)-Q86</formula>
    </cfRule>
  </conditionalFormatting>
  <conditionalFormatting sqref="Q84">
    <cfRule type="cellIs" dxfId="19" priority="10" operator="notEqual">
      <formula>SUM(C84:C94)+SUM(H84:H93)+SUM(M84:M93)</formula>
    </cfRule>
  </conditionalFormatting>
  <conditionalFormatting sqref="Q85">
    <cfRule type="cellIs" dxfId="17" priority="9" operator="notEqual">
      <formula>SUM(D84:D94)+SUM(I84:I93)+SUM(N84:N93)</formula>
    </cfRule>
  </conditionalFormatting>
  <conditionalFormatting sqref="Q87">
    <cfRule type="cellIs" dxfId="15" priority="8" operator="notEqual">
      <formula>SUM(E84:E94)+SUM(J84:J93)+SUM(O84:O93)</formula>
    </cfRule>
  </conditionalFormatting>
  <conditionalFormatting sqref="Q86">
    <cfRule type="cellIs" dxfId="13" priority="7" operator="notEqual">
      <formula>SUM(B84:B94)+SUM(G84:G93)+SUM(L84:L93)+(C98*8)+(F98*8)+(N95*8)+(M98*8)-IF(Q86&gt;1,Q83,"")</formula>
    </cfRule>
  </conditionalFormatting>
  <conditionalFormatting sqref="T84:T94 AD84:AD93 Y94:AH94 Y84:Y93">
    <cfRule type="expression" dxfId="11" priority="6">
      <formula>WEEKDAY(T84,2)=7</formula>
    </cfRule>
  </conditionalFormatting>
  <conditionalFormatting sqref="AJ83">
    <cfRule type="cellIs" dxfId="9" priority="5" operator="notEqual">
      <formula>SUM(U84:U94)+SUM(Z84:Z93)+SUM(AE84:AE93)+(V98*8)+(Y98*8)+(AG95*8)+(AF98*8)-AJ86</formula>
    </cfRule>
  </conditionalFormatting>
  <conditionalFormatting sqref="AJ84">
    <cfRule type="cellIs" dxfId="7" priority="4" operator="notEqual">
      <formula>SUM(V84:V94)+SUM(AA84:AA93)+SUM(AF84:AF93)</formula>
    </cfRule>
  </conditionalFormatting>
  <conditionalFormatting sqref="AJ85">
    <cfRule type="cellIs" dxfId="5" priority="3" operator="notEqual">
      <formula>SUM(W84:W94)+SUM(AB84:AB93)+SUM(AG84:AG93)</formula>
    </cfRule>
  </conditionalFormatting>
  <conditionalFormatting sqref="AJ87">
    <cfRule type="cellIs" dxfId="3" priority="2" operator="notEqual">
      <formula>SUM(X84:X94)+SUM(AC84:AC93)+SUM(AH84:AH93)</formula>
    </cfRule>
  </conditionalFormatting>
  <conditionalFormatting sqref="AJ86">
    <cfRule type="cellIs" dxfId="1" priority="1" operator="notEqual">
      <formula>SUM(U84:U94)+SUM(Z84:Z93)+SUM(AE84:AE93)+(V98*8)+(Y98*8)+(AG95*8)+(AF98*8)-IF(AJ86&gt;1,AJ83,"")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GONIN</dc:creator>
  <cp:lastModifiedBy>THOMAS GONIN</cp:lastModifiedBy>
  <dcterms:created xsi:type="dcterms:W3CDTF">2015-08-19T08:50:25Z</dcterms:created>
  <dcterms:modified xsi:type="dcterms:W3CDTF">2015-08-19T08:51:58Z</dcterms:modified>
</cp:coreProperties>
</file>