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liem\Desktop\"/>
    </mc:Choice>
  </mc:AlternateContent>
  <bookViews>
    <workbookView xWindow="0" yWindow="0" windowWidth="22365" windowHeight="10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5" i="1" l="1"/>
  <c r="G54" i="1" l="1"/>
  <c r="H54" i="1"/>
  <c r="I54" i="1"/>
  <c r="J54" i="1"/>
  <c r="K54" i="1"/>
  <c r="N54" i="1"/>
  <c r="O54" i="1"/>
  <c r="R54" i="1"/>
  <c r="S54" i="1"/>
  <c r="T54" i="1"/>
  <c r="U54" i="1"/>
  <c r="V54" i="1"/>
  <c r="F54" i="1"/>
  <c r="G59" i="1"/>
  <c r="H59" i="1"/>
  <c r="I59" i="1"/>
  <c r="J59" i="1"/>
  <c r="K59" i="1"/>
  <c r="M59" i="1"/>
  <c r="N59" i="1"/>
  <c r="O59" i="1"/>
  <c r="R59" i="1"/>
  <c r="S59" i="1"/>
  <c r="T59" i="1"/>
  <c r="U59" i="1"/>
  <c r="V59" i="1"/>
  <c r="G60" i="1"/>
  <c r="H60" i="1"/>
  <c r="I60" i="1"/>
  <c r="J60" i="1"/>
  <c r="K60" i="1"/>
  <c r="M60" i="1"/>
  <c r="N60" i="1"/>
  <c r="O60" i="1"/>
  <c r="R60" i="1"/>
  <c r="S60" i="1"/>
  <c r="T60" i="1"/>
  <c r="U60" i="1"/>
  <c r="V60" i="1"/>
  <c r="G61" i="1"/>
  <c r="H61" i="1"/>
  <c r="I61" i="1"/>
  <c r="J61" i="1"/>
  <c r="K61" i="1"/>
  <c r="M61" i="1"/>
  <c r="N61" i="1"/>
  <c r="O61" i="1"/>
  <c r="R61" i="1"/>
  <c r="S61" i="1"/>
  <c r="T61" i="1"/>
  <c r="U61" i="1"/>
  <c r="V61" i="1"/>
  <c r="G62" i="1"/>
  <c r="H62" i="1"/>
  <c r="I62" i="1"/>
  <c r="J62" i="1"/>
  <c r="K62" i="1"/>
  <c r="M62" i="1"/>
  <c r="N62" i="1"/>
  <c r="O62" i="1"/>
  <c r="R62" i="1"/>
  <c r="S62" i="1"/>
  <c r="T62" i="1"/>
  <c r="U62" i="1"/>
  <c r="V62" i="1"/>
  <c r="G63" i="1"/>
  <c r="H63" i="1"/>
  <c r="I63" i="1"/>
  <c r="J63" i="1"/>
  <c r="K63" i="1"/>
  <c r="M63" i="1"/>
  <c r="N63" i="1"/>
  <c r="O63" i="1"/>
  <c r="R63" i="1"/>
  <c r="S63" i="1"/>
  <c r="T63" i="1"/>
  <c r="U63" i="1"/>
  <c r="V63" i="1"/>
  <c r="G64" i="1"/>
  <c r="H64" i="1"/>
  <c r="I64" i="1"/>
  <c r="J64" i="1"/>
  <c r="K64" i="1"/>
  <c r="M64" i="1"/>
  <c r="N64" i="1"/>
  <c r="O64" i="1"/>
  <c r="R64" i="1"/>
  <c r="S64" i="1"/>
  <c r="T64" i="1"/>
  <c r="U64" i="1"/>
  <c r="V64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F65" i="1"/>
  <c r="F64" i="1"/>
  <c r="F63" i="1"/>
  <c r="F62" i="1"/>
  <c r="F61" i="1"/>
  <c r="F69" i="1" s="1"/>
  <c r="F60" i="1"/>
  <c r="F59" i="1"/>
  <c r="I52" i="1"/>
  <c r="J52" i="1"/>
  <c r="K52" i="1"/>
  <c r="N52" i="1"/>
  <c r="O52" i="1"/>
  <c r="R52" i="1"/>
  <c r="S52" i="1"/>
  <c r="T52" i="1"/>
  <c r="U52" i="1"/>
  <c r="V52" i="1"/>
  <c r="I53" i="1"/>
  <c r="J53" i="1"/>
  <c r="K53" i="1"/>
  <c r="N53" i="1"/>
  <c r="O53" i="1"/>
  <c r="R53" i="1"/>
  <c r="S53" i="1"/>
  <c r="T53" i="1"/>
  <c r="U53" i="1"/>
  <c r="V53" i="1"/>
  <c r="I55" i="1"/>
  <c r="J55" i="1"/>
  <c r="K55" i="1"/>
  <c r="N55" i="1"/>
  <c r="O55" i="1"/>
  <c r="R55" i="1"/>
  <c r="S55" i="1"/>
  <c r="T55" i="1"/>
  <c r="U55" i="1"/>
  <c r="V55" i="1"/>
  <c r="I56" i="1"/>
  <c r="J56" i="1"/>
  <c r="K56" i="1"/>
  <c r="N56" i="1"/>
  <c r="O56" i="1"/>
  <c r="R56" i="1"/>
  <c r="S56" i="1"/>
  <c r="T56" i="1"/>
  <c r="U56" i="1"/>
  <c r="V56" i="1"/>
  <c r="H53" i="1"/>
  <c r="H52" i="1"/>
  <c r="H55" i="1"/>
  <c r="H56" i="1"/>
  <c r="G52" i="1"/>
  <c r="F52" i="1"/>
  <c r="F56" i="1"/>
  <c r="F55" i="1"/>
  <c r="F53" i="1"/>
  <c r="G56" i="1"/>
  <c r="G55" i="1"/>
  <c r="G53" i="1"/>
  <c r="N72" i="1" l="1"/>
  <c r="F68" i="1"/>
  <c r="F72" i="1"/>
  <c r="U69" i="1"/>
  <c r="O71" i="1"/>
  <c r="F70" i="1"/>
  <c r="F67" i="1"/>
  <c r="F71" i="1"/>
  <c r="G70" i="1"/>
  <c r="S70" i="1"/>
  <c r="H70" i="1"/>
  <c r="T70" i="1"/>
  <c r="S71" i="1"/>
  <c r="S67" i="1"/>
  <c r="O69" i="1"/>
  <c r="N68" i="1"/>
  <c r="S69" i="1"/>
  <c r="O72" i="1"/>
  <c r="O68" i="1"/>
  <c r="G72" i="1"/>
  <c r="G68" i="1"/>
  <c r="G71" i="1"/>
  <c r="V72" i="1"/>
  <c r="V68" i="1"/>
  <c r="V71" i="1"/>
  <c r="V67" i="1"/>
  <c r="V70" i="1"/>
  <c r="V69" i="1"/>
  <c r="U72" i="1"/>
  <c r="U68" i="1"/>
  <c r="U71" i="1"/>
  <c r="U67" i="1"/>
  <c r="U70" i="1"/>
  <c r="T69" i="1"/>
  <c r="T72" i="1"/>
  <c r="T68" i="1"/>
  <c r="T71" i="1"/>
  <c r="T67" i="1"/>
  <c r="S72" i="1"/>
  <c r="S68" i="1"/>
  <c r="R68" i="1"/>
  <c r="R71" i="1"/>
  <c r="R67" i="1"/>
  <c r="R72" i="1"/>
  <c r="R70" i="1"/>
  <c r="R69" i="1"/>
  <c r="O67" i="1"/>
  <c r="O70" i="1"/>
  <c r="N70" i="1"/>
  <c r="N69" i="1"/>
  <c r="N71" i="1"/>
  <c r="N67" i="1"/>
  <c r="K69" i="1"/>
  <c r="K72" i="1"/>
  <c r="K68" i="1"/>
  <c r="K71" i="1"/>
  <c r="K67" i="1"/>
  <c r="K70" i="1"/>
  <c r="J69" i="1"/>
  <c r="J72" i="1"/>
  <c r="J68" i="1"/>
  <c r="J71" i="1"/>
  <c r="J67" i="1"/>
  <c r="J70" i="1"/>
  <c r="I69" i="1"/>
  <c r="I72" i="1"/>
  <c r="I68" i="1"/>
  <c r="I71" i="1"/>
  <c r="I67" i="1"/>
  <c r="I70" i="1"/>
  <c r="H69" i="1"/>
  <c r="H72" i="1"/>
  <c r="H68" i="1"/>
  <c r="H71" i="1"/>
  <c r="H67" i="1"/>
  <c r="G67" i="1"/>
  <c r="G69" i="1"/>
</calcChain>
</file>

<file path=xl/sharedStrings.xml><?xml version="1.0" encoding="utf-8"?>
<sst xmlns="http://schemas.openxmlformats.org/spreadsheetml/2006/main" count="114" uniqueCount="41">
  <si>
    <t>2. Le plan de cours et l'horaire ont été respectés.</t>
  </si>
  <si>
    <t>3. La présentation du cours s'est faite dans un ordre logique.</t>
  </si>
  <si>
    <t>4. Le matériel utilisé a facilité la bonne compréhension du contenu du cours.</t>
  </si>
  <si>
    <t>5. Le rythme du cours et le temps accordé aux activités d'apprentissage ont été adéquats.</t>
  </si>
  <si>
    <t>6. Les activités et le matériel d'apprentissage ont été utiles.</t>
  </si>
  <si>
    <t>a) Veuillez indiquer les activités ou le matériel d'apprentissage que vous avez trouvés les plus utiles.</t>
  </si>
  <si>
    <t>b) Veuillez indiquer les activités ou le matériel d'apprentissage que vous avez trouvés les moins utiles.</t>
  </si>
  <si>
    <t>7. Le cours vous a permis de renforcer et d'améliorer vos compétences dans votre deuxième langue officielle pour une utilisation en dehors de la classe.</t>
  </si>
  <si>
    <t xml:space="preserve">8. Dans l'ensemble, vous êtes satisfait(e) de ce cours. </t>
  </si>
  <si>
    <t>9. Auriez-vous d'autres commentaires ou suggestions pour améliorer ce cours?</t>
  </si>
  <si>
    <t>10. Quels autres cours trouveriez-vous utiles?</t>
  </si>
  <si>
    <t>11. L'enseignant(e) était bien préparé(e) et bien organisé(e) en classe.</t>
  </si>
  <si>
    <t>12. L'enseignant(e) connaissait la matière qui a été présentée.</t>
  </si>
  <si>
    <t>13. L'enseignant(e) a expliqué le matériel de cours et a répondu aux questions d'une manière claire et concise.</t>
  </si>
  <si>
    <t>14. L'enseignant(e) a créé un environnement d'apprentissage positif dans la salle de classe.</t>
  </si>
  <si>
    <t>15. L'environnement physique (p. ex., la température, l'éclairage, le mobilier) était approprié et la technologie (p. ex., l'équipement audiovisuel) fonctionnait efficacement.</t>
  </si>
  <si>
    <t>16. Avez-vous d'autres commentaires ou suggestions pour améliorer le programme de formation linguistique de BAC?</t>
  </si>
  <si>
    <t>Titre du cours ou de l'atelier</t>
  </si>
  <si>
    <t xml:space="preserve">Enseignant(e) </t>
  </si>
  <si>
    <t>Langue d'apprentissage</t>
  </si>
  <si>
    <t>Date</t>
  </si>
  <si>
    <t>Heure</t>
  </si>
  <si>
    <t>MOYENNE</t>
  </si>
  <si>
    <t>MODE</t>
  </si>
  <si>
    <t>MAXIMUM</t>
  </si>
  <si>
    <t>MINIMUM</t>
  </si>
  <si>
    <t>Anglais</t>
  </si>
  <si>
    <t>9:00 à 12:00</t>
  </si>
  <si>
    <t>1. Les objectifs ont été énoncés clairement au début du cours.</t>
  </si>
  <si>
    <t>Total 5</t>
  </si>
  <si>
    <t>Total 0</t>
  </si>
  <si>
    <t>Total 1</t>
  </si>
  <si>
    <t>Total 2</t>
  </si>
  <si>
    <t>Total 3</t>
  </si>
  <si>
    <t>Total 4</t>
  </si>
  <si>
    <t>TOTAL</t>
  </si>
  <si>
    <t>MÉDIANE</t>
  </si>
  <si>
    <t>Français</t>
  </si>
  <si>
    <t>N/A</t>
  </si>
  <si>
    <t>13:00 à 15:00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</si>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</sst>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left" vertical="top" wrapText="1"/>
    </xf>
    <xf numFmtId="164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14" fontId="0" fillId="0" borderId="0" xfId="0" applyNumberFormat="1"/>
    <xf numFmtId="2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W51" totalsRowShown="0" headerRowDxfId="0">
  <autoFilter ref="A1:W51"/>
  <tableColumns count="23">
    <tableColumn id="1" name="Titre du cours ou de l'atelier"/>
    <tableColumn id="2" name="Enseignant(e) "/>
    <tableColumn id="3" name="Langue d'apprentissage"/>
    <tableColumn id="4" name="Date"/>
    <tableColumn id="5" name="Heure"/>
    <tableColumn id="26" name="1. Les objectifs ont été énoncés clairement au début du cours."/>
    <tableColumn id="7" name="2. Le plan de cours et l'horaire ont été respectés."/>
    <tableColumn id="8" name="3. La présentation du cours s'est faite dans un ordre logique."/>
    <tableColumn id="9" name="4. Le matériel utilisé a facilité la bonne compréhension du contenu du cours."/>
    <tableColumn id="10" name="5. Le rythme du cours et le temps accordé aux activités d'apprentissage ont été adéquats."/>
    <tableColumn id="11" name="6. Les activités et le matériel d'apprentissage ont été utiles."/>
    <tableColumn id="12" name="a) Veuillez indiquer les activités ou le matériel d'apprentissage que vous avez trouvés les plus utiles."/>
    <tableColumn id="13" name="b) Veuillez indiquer les activités ou le matériel d'apprentissage que vous avez trouvés les moins utiles."/>
    <tableColumn id="14" name="7. Le cours vous a permis de renforcer et d'améliorer vos compétences dans votre deuxième langue officielle pour une utilisation en dehors de la classe."/>
    <tableColumn id="15" name="8. Dans l'ensemble, vous êtes satisfait(e) de ce cours. "/>
    <tableColumn id="16" name="9. Auriez-vous d'autres commentaires ou suggestions pour améliorer ce cours?"/>
    <tableColumn id="17" name="10. Quels autres cours trouveriez-vous utiles?"/>
    <tableColumn id="18" name="11. L'enseignant(e) était bien préparé(e) et bien organisé(e) en classe."/>
    <tableColumn id="19" name="12. L'enseignant(e) connaissait la matière qui a été présentée."/>
    <tableColumn id="20" name="13. L'enseignant(e) a expliqué le matériel de cours et a répondu aux questions d'une manière claire et concise."/>
    <tableColumn id="21" name="14. L'enseignant(e) a créé un environnement d'apprentissage positif dans la salle de classe."/>
    <tableColumn id="22" name="15. L'environnement physique (p. ex., la température, l'éclairage, le mobilier) était approprié et la technologie (p. ex., l'équipement audiovisuel) fonctionnait efficacement."/>
    <tableColumn id="23" name="16. Avez-vous d'autres commentaires ou suggestions pour améliorer le programme de formation linguistique de BAC?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tabSelected="1" topLeftCell="A31" zoomScale="70" zoomScaleNormal="70" workbookViewId="0">
      <selection activeCell="B54" sqref="B54"/>
    </sheetView>
  </sheetViews>
  <sheetFormatPr baseColWidth="10" defaultRowHeight="15" x14ac:dyDescent="0.25"/>
  <cols>
    <col min="1" max="1" width="47.28515625" bestFit="1" customWidth="1"/>
    <col min="2" max="2" width="17.140625" bestFit="1" customWidth="1"/>
    <col min="3" max="3" width="25.42578125" bestFit="1" customWidth="1"/>
    <col min="4" max="4" width="12.42578125" bestFit="1" customWidth="1"/>
    <col min="5" max="5" width="13.5703125" bestFit="1" customWidth="1"/>
    <col min="6" max="6" width="32" bestFit="1" customWidth="1"/>
    <col min="7" max="7" width="28.5703125" bestFit="1" customWidth="1"/>
    <col min="8" max="8" width="32" bestFit="1" customWidth="1"/>
    <col min="9" max="9" width="34.7109375" customWidth="1"/>
    <col min="10" max="10" width="42" customWidth="1"/>
    <col min="11" max="11" width="52.42578125" customWidth="1"/>
    <col min="12" max="12" width="61.42578125" customWidth="1"/>
    <col min="13" max="13" width="42" customWidth="1"/>
    <col min="14" max="14" width="68" customWidth="1"/>
    <col min="15" max="15" width="69.140625" customWidth="1"/>
    <col min="16" max="16" width="101.28515625" customWidth="1"/>
    <col min="17" max="17" width="38" customWidth="1"/>
    <col min="18" max="18" width="54.42578125" customWidth="1"/>
    <col min="19" max="19" width="32.85546875" customWidth="1"/>
    <col min="20" max="20" width="49" customWidth="1"/>
    <col min="21" max="21" width="43.7109375" customWidth="1"/>
    <col min="22" max="22" width="74.42578125" customWidth="1"/>
    <col min="23" max="23" width="62.28515625" customWidth="1"/>
    <col min="24" max="24" width="104.85546875" customWidth="1"/>
    <col min="25" max="25" width="79.5703125" customWidth="1"/>
  </cols>
  <sheetData>
    <row r="1" spans="1:23" s="1" customFormat="1" ht="27" customHeight="1" x14ac:dyDescent="0.25">
      <c r="A1" s="1" t="s">
        <v>17</v>
      </c>
      <c r="B1" s="1" t="s">
        <v>18</v>
      </c>
      <c r="C1" s="1" t="s">
        <v>19</v>
      </c>
      <c r="D1" s="2" t="s">
        <v>20</v>
      </c>
      <c r="E1" s="3" t="s">
        <v>21</v>
      </c>
      <c r="F1" s="1" t="s">
        <v>28</v>
      </c>
      <c r="G1" s="4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1" t="s">
        <v>5</v>
      </c>
      <c r="M1" s="1" t="s">
        <v>6</v>
      </c>
      <c r="N1" s="4" t="s">
        <v>7</v>
      </c>
      <c r="O1" s="4" t="s">
        <v>8</v>
      </c>
      <c r="P1" s="1" t="s">
        <v>9</v>
      </c>
      <c r="Q1" s="1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4" t="s">
        <v>15</v>
      </c>
      <c r="W1" s="1" t="s">
        <v>16</v>
      </c>
    </row>
    <row r="2" spans="1:23" x14ac:dyDescent="0.25">
      <c r="C2" t="s">
        <v>26</v>
      </c>
      <c r="D2" s="5">
        <v>42230</v>
      </c>
      <c r="E2" t="s">
        <v>27</v>
      </c>
      <c r="F2">
        <v>5</v>
      </c>
      <c r="G2">
        <v>5</v>
      </c>
      <c r="H2">
        <v>5</v>
      </c>
      <c r="I2">
        <v>5</v>
      </c>
      <c r="J2">
        <v>5</v>
      </c>
      <c r="K2">
        <v>5</v>
      </c>
      <c r="N2">
        <v>5</v>
      </c>
      <c r="O2">
        <v>5</v>
      </c>
      <c r="R2">
        <v>5</v>
      </c>
      <c r="S2">
        <v>5</v>
      </c>
      <c r="T2">
        <v>5</v>
      </c>
      <c r="U2">
        <v>5</v>
      </c>
      <c r="V2">
        <v>5</v>
      </c>
    </row>
    <row r="3" spans="1:23" x14ac:dyDescent="0.25">
      <c r="C3" t="s">
        <v>26</v>
      </c>
      <c r="D3" s="5">
        <v>42230</v>
      </c>
      <c r="E3" t="s">
        <v>27</v>
      </c>
      <c r="F3">
        <v>5</v>
      </c>
      <c r="G3">
        <v>5</v>
      </c>
      <c r="H3">
        <v>5</v>
      </c>
      <c r="I3">
        <v>5</v>
      </c>
      <c r="J3">
        <v>5</v>
      </c>
      <c r="K3">
        <v>5</v>
      </c>
      <c r="N3">
        <v>5</v>
      </c>
      <c r="O3">
        <v>5</v>
      </c>
      <c r="R3">
        <v>5</v>
      </c>
      <c r="S3">
        <v>5</v>
      </c>
      <c r="T3">
        <v>5</v>
      </c>
      <c r="U3">
        <v>5</v>
      </c>
      <c r="V3">
        <v>5</v>
      </c>
    </row>
    <row r="4" spans="1:23" x14ac:dyDescent="0.25">
      <c r="C4" t="s">
        <v>37</v>
      </c>
      <c r="D4" s="5">
        <v>42205</v>
      </c>
      <c r="E4" t="s">
        <v>27</v>
      </c>
      <c r="F4">
        <v>5</v>
      </c>
      <c r="G4">
        <v>5</v>
      </c>
      <c r="H4">
        <v>5</v>
      </c>
      <c r="I4">
        <v>5</v>
      </c>
      <c r="J4">
        <v>5</v>
      </c>
      <c r="K4">
        <v>5</v>
      </c>
      <c r="N4">
        <v>5</v>
      </c>
      <c r="O4">
        <v>5</v>
      </c>
      <c r="R4" t="s">
        <v>38</v>
      </c>
      <c r="S4" t="s">
        <v>38</v>
      </c>
      <c r="T4" t="s">
        <v>38</v>
      </c>
      <c r="U4" t="s">
        <v>38</v>
      </c>
      <c r="V4" t="s">
        <v>38</v>
      </c>
    </row>
    <row r="5" spans="1:23" x14ac:dyDescent="0.25">
      <c r="C5" t="s">
        <v>37</v>
      </c>
      <c r="D5" s="5">
        <v>42205</v>
      </c>
      <c r="E5" t="s">
        <v>27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N5">
        <v>5</v>
      </c>
      <c r="O5">
        <v>5</v>
      </c>
      <c r="R5">
        <v>5</v>
      </c>
      <c r="S5">
        <v>5</v>
      </c>
      <c r="T5">
        <v>5</v>
      </c>
      <c r="U5">
        <v>5</v>
      </c>
      <c r="V5">
        <v>5</v>
      </c>
    </row>
    <row r="6" spans="1:23" x14ac:dyDescent="0.25">
      <c r="C6" t="s">
        <v>37</v>
      </c>
      <c r="D6" s="5">
        <v>42205</v>
      </c>
      <c r="E6" t="s">
        <v>39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N6">
        <v>4</v>
      </c>
      <c r="O6">
        <v>4</v>
      </c>
      <c r="R6">
        <v>4</v>
      </c>
      <c r="S6">
        <v>4</v>
      </c>
      <c r="T6">
        <v>4</v>
      </c>
      <c r="U6">
        <v>4</v>
      </c>
      <c r="V6">
        <v>4</v>
      </c>
    </row>
    <row r="7" spans="1:23" x14ac:dyDescent="0.25">
      <c r="C7" t="s">
        <v>37</v>
      </c>
      <c r="D7" s="5">
        <v>42205</v>
      </c>
      <c r="E7" t="s">
        <v>39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N7">
        <v>5</v>
      </c>
      <c r="O7">
        <v>5</v>
      </c>
      <c r="R7" t="s">
        <v>38</v>
      </c>
      <c r="S7" t="s">
        <v>38</v>
      </c>
      <c r="T7" t="s">
        <v>38</v>
      </c>
      <c r="U7" t="s">
        <v>38</v>
      </c>
      <c r="V7" t="s">
        <v>38</v>
      </c>
    </row>
    <row r="8" spans="1:23" x14ac:dyDescent="0.25">
      <c r="C8" t="s">
        <v>37</v>
      </c>
      <c r="D8" s="5">
        <v>42206</v>
      </c>
      <c r="E8" s="5" t="s">
        <v>39</v>
      </c>
      <c r="F8">
        <v>5</v>
      </c>
      <c r="G8">
        <v>5</v>
      </c>
      <c r="H8">
        <v>5</v>
      </c>
      <c r="I8">
        <v>5</v>
      </c>
      <c r="J8">
        <v>5</v>
      </c>
      <c r="K8">
        <v>5</v>
      </c>
      <c r="N8">
        <v>5</v>
      </c>
      <c r="O8">
        <v>5</v>
      </c>
      <c r="R8" t="s">
        <v>38</v>
      </c>
      <c r="S8" t="s">
        <v>38</v>
      </c>
      <c r="T8" t="s">
        <v>38</v>
      </c>
      <c r="U8" t="s">
        <v>38</v>
      </c>
      <c r="V8" t="s">
        <v>38</v>
      </c>
    </row>
    <row r="9" spans="1:23" x14ac:dyDescent="0.25">
      <c r="C9" t="s">
        <v>37</v>
      </c>
      <c r="D9" s="5">
        <v>42206</v>
      </c>
      <c r="E9" s="6" t="s">
        <v>27</v>
      </c>
      <c r="F9">
        <v>5</v>
      </c>
      <c r="G9">
        <v>5</v>
      </c>
      <c r="H9">
        <v>5</v>
      </c>
      <c r="I9">
        <v>5</v>
      </c>
      <c r="J9">
        <v>5</v>
      </c>
      <c r="K9">
        <v>5</v>
      </c>
      <c r="N9">
        <v>5</v>
      </c>
      <c r="O9">
        <v>5</v>
      </c>
      <c r="R9" t="s">
        <v>38</v>
      </c>
      <c r="S9" t="s">
        <v>38</v>
      </c>
      <c r="T9" t="s">
        <v>38</v>
      </c>
      <c r="U9" t="s">
        <v>38</v>
      </c>
      <c r="V9" t="s">
        <v>38</v>
      </c>
    </row>
    <row r="10" spans="1:23" x14ac:dyDescent="0.25">
      <c r="C10" t="s">
        <v>37</v>
      </c>
      <c r="D10" s="5">
        <v>42206</v>
      </c>
      <c r="E10" s="6" t="s">
        <v>27</v>
      </c>
      <c r="F10">
        <v>5</v>
      </c>
      <c r="G10">
        <v>5</v>
      </c>
      <c r="H10">
        <v>5</v>
      </c>
      <c r="I10">
        <v>5</v>
      </c>
      <c r="J10">
        <v>5</v>
      </c>
      <c r="K10">
        <v>5</v>
      </c>
      <c r="N10">
        <v>5</v>
      </c>
      <c r="O10">
        <v>5</v>
      </c>
      <c r="R10">
        <v>5</v>
      </c>
      <c r="S10">
        <v>5</v>
      </c>
      <c r="T10">
        <v>5</v>
      </c>
      <c r="U10">
        <v>5</v>
      </c>
      <c r="V10">
        <v>5</v>
      </c>
    </row>
    <row r="11" spans="1:23" x14ac:dyDescent="0.25">
      <c r="C11" t="s">
        <v>37</v>
      </c>
      <c r="D11" s="5">
        <v>42207</v>
      </c>
      <c r="E11" s="6" t="s">
        <v>39</v>
      </c>
      <c r="F11">
        <v>4</v>
      </c>
      <c r="G11">
        <v>4</v>
      </c>
      <c r="H11">
        <v>4</v>
      </c>
      <c r="I11">
        <v>5</v>
      </c>
      <c r="J11">
        <v>4</v>
      </c>
      <c r="K11">
        <v>5</v>
      </c>
      <c r="N11">
        <v>4</v>
      </c>
      <c r="O11">
        <v>4</v>
      </c>
      <c r="R11">
        <v>5</v>
      </c>
      <c r="S11">
        <v>5</v>
      </c>
      <c r="T11">
        <v>5</v>
      </c>
      <c r="U11">
        <v>5</v>
      </c>
      <c r="V11">
        <v>5</v>
      </c>
    </row>
    <row r="12" spans="1:23" x14ac:dyDescent="0.25">
      <c r="C12" t="s">
        <v>37</v>
      </c>
      <c r="D12" s="5">
        <v>42207</v>
      </c>
      <c r="E12" s="6" t="s">
        <v>39</v>
      </c>
      <c r="F12">
        <v>5</v>
      </c>
      <c r="G12">
        <v>5</v>
      </c>
      <c r="H12">
        <v>5</v>
      </c>
      <c r="I12">
        <v>5</v>
      </c>
      <c r="J12">
        <v>4</v>
      </c>
      <c r="K12">
        <v>4</v>
      </c>
      <c r="N12">
        <v>5</v>
      </c>
      <c r="O12">
        <v>5</v>
      </c>
      <c r="R12" t="s">
        <v>38</v>
      </c>
      <c r="S12" t="s">
        <v>38</v>
      </c>
      <c r="T12" t="s">
        <v>38</v>
      </c>
      <c r="U12" t="s">
        <v>38</v>
      </c>
      <c r="V12" t="s">
        <v>38</v>
      </c>
    </row>
    <row r="13" spans="1:23" x14ac:dyDescent="0.25">
      <c r="C13" t="s">
        <v>37</v>
      </c>
      <c r="D13" s="5">
        <v>42207</v>
      </c>
      <c r="E13" s="6" t="s">
        <v>39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  <c r="N13">
        <v>5</v>
      </c>
      <c r="O13">
        <v>5</v>
      </c>
      <c r="R13" t="s">
        <v>38</v>
      </c>
      <c r="S13" t="s">
        <v>38</v>
      </c>
      <c r="T13" t="s">
        <v>38</v>
      </c>
      <c r="U13" t="s">
        <v>38</v>
      </c>
      <c r="V13" t="s">
        <v>38</v>
      </c>
    </row>
    <row r="14" spans="1:23" x14ac:dyDescent="0.25">
      <c r="C14" t="s">
        <v>37</v>
      </c>
      <c r="D14" s="5">
        <v>42207</v>
      </c>
      <c r="E14" s="6" t="s">
        <v>39</v>
      </c>
      <c r="F14">
        <v>5</v>
      </c>
      <c r="G14">
        <v>5</v>
      </c>
      <c r="H14">
        <v>5</v>
      </c>
      <c r="I14">
        <v>5</v>
      </c>
      <c r="J14">
        <v>5</v>
      </c>
      <c r="K14">
        <v>5</v>
      </c>
      <c r="N14">
        <v>5</v>
      </c>
      <c r="O14">
        <v>5</v>
      </c>
      <c r="R14">
        <v>5</v>
      </c>
      <c r="S14">
        <v>5</v>
      </c>
      <c r="T14">
        <v>5</v>
      </c>
      <c r="U14">
        <v>5</v>
      </c>
      <c r="V14">
        <v>5</v>
      </c>
    </row>
    <row r="15" spans="1:23" x14ac:dyDescent="0.25">
      <c r="C15" t="s">
        <v>37</v>
      </c>
      <c r="D15" s="5">
        <v>42207</v>
      </c>
      <c r="E15" s="6" t="s">
        <v>27</v>
      </c>
      <c r="F15">
        <v>5</v>
      </c>
      <c r="G15">
        <v>5</v>
      </c>
      <c r="H15">
        <v>5</v>
      </c>
      <c r="I15">
        <v>5</v>
      </c>
      <c r="J15">
        <v>5</v>
      </c>
      <c r="K15">
        <v>5</v>
      </c>
      <c r="N15">
        <v>5</v>
      </c>
      <c r="O15">
        <v>5</v>
      </c>
      <c r="R15">
        <v>5</v>
      </c>
      <c r="S15">
        <v>5</v>
      </c>
      <c r="T15">
        <v>5</v>
      </c>
      <c r="U15">
        <v>5</v>
      </c>
      <c r="V15">
        <v>3</v>
      </c>
    </row>
    <row r="16" spans="1:23" x14ac:dyDescent="0.25">
      <c r="C16" t="s">
        <v>37</v>
      </c>
      <c r="D16" s="5">
        <v>42208</v>
      </c>
      <c r="E16" t="s">
        <v>39</v>
      </c>
      <c r="F16">
        <v>5</v>
      </c>
      <c r="G16">
        <v>5</v>
      </c>
      <c r="H16">
        <v>5</v>
      </c>
      <c r="I16">
        <v>5</v>
      </c>
      <c r="J16">
        <v>5</v>
      </c>
      <c r="K16">
        <v>5</v>
      </c>
      <c r="N16">
        <v>5</v>
      </c>
      <c r="O16">
        <v>5</v>
      </c>
      <c r="R16">
        <v>5</v>
      </c>
      <c r="S16">
        <v>5</v>
      </c>
      <c r="T16">
        <v>5</v>
      </c>
      <c r="U16">
        <v>5</v>
      </c>
      <c r="V16">
        <v>5</v>
      </c>
    </row>
    <row r="17" spans="3:22" x14ac:dyDescent="0.25">
      <c r="C17" t="s">
        <v>37</v>
      </c>
      <c r="D17" s="5">
        <v>42208</v>
      </c>
      <c r="E17" t="s">
        <v>39</v>
      </c>
      <c r="F17">
        <v>5</v>
      </c>
      <c r="G17">
        <v>5</v>
      </c>
      <c r="H17">
        <v>5</v>
      </c>
      <c r="I17">
        <v>5</v>
      </c>
      <c r="J17">
        <v>5</v>
      </c>
      <c r="K17">
        <v>5</v>
      </c>
      <c r="N17">
        <v>5</v>
      </c>
      <c r="O17">
        <v>5</v>
      </c>
      <c r="R17">
        <v>5</v>
      </c>
      <c r="S17">
        <v>5</v>
      </c>
      <c r="T17">
        <v>5</v>
      </c>
      <c r="U17">
        <v>5</v>
      </c>
      <c r="V17">
        <v>2</v>
      </c>
    </row>
    <row r="18" spans="3:22" x14ac:dyDescent="0.25">
      <c r="C18" t="s">
        <v>37</v>
      </c>
      <c r="D18" s="5">
        <v>42208</v>
      </c>
      <c r="E18" t="s">
        <v>39</v>
      </c>
      <c r="F18">
        <v>5</v>
      </c>
      <c r="G18">
        <v>5</v>
      </c>
      <c r="H18">
        <v>5</v>
      </c>
      <c r="I18">
        <v>5</v>
      </c>
      <c r="J18">
        <v>5</v>
      </c>
      <c r="K18">
        <v>5</v>
      </c>
      <c r="N18">
        <v>5</v>
      </c>
      <c r="O18">
        <v>5</v>
      </c>
      <c r="R18">
        <v>5</v>
      </c>
      <c r="S18">
        <v>5</v>
      </c>
      <c r="T18">
        <v>5</v>
      </c>
      <c r="U18">
        <v>5</v>
      </c>
      <c r="V18">
        <v>5</v>
      </c>
    </row>
    <row r="19" spans="3:22" x14ac:dyDescent="0.25">
      <c r="C19" t="s">
        <v>37</v>
      </c>
      <c r="D19" s="5">
        <v>42208</v>
      </c>
      <c r="E19" t="s">
        <v>39</v>
      </c>
      <c r="F19">
        <v>5</v>
      </c>
      <c r="G19">
        <v>4</v>
      </c>
      <c r="H19">
        <v>4</v>
      </c>
      <c r="I19">
        <v>4</v>
      </c>
      <c r="J19">
        <v>4</v>
      </c>
      <c r="K19">
        <v>4</v>
      </c>
      <c r="N19">
        <v>5</v>
      </c>
      <c r="O19">
        <v>5</v>
      </c>
      <c r="R19">
        <v>5</v>
      </c>
      <c r="S19">
        <v>5</v>
      </c>
      <c r="T19">
        <v>5</v>
      </c>
      <c r="U19">
        <v>5</v>
      </c>
      <c r="V19" t="s">
        <v>38</v>
      </c>
    </row>
    <row r="20" spans="3:22" x14ac:dyDescent="0.25">
      <c r="C20" t="s">
        <v>37</v>
      </c>
      <c r="D20" s="5">
        <v>42208</v>
      </c>
      <c r="E20" t="s">
        <v>27</v>
      </c>
      <c r="F20">
        <v>5</v>
      </c>
      <c r="G20">
        <v>5</v>
      </c>
      <c r="H20">
        <v>5</v>
      </c>
      <c r="I20">
        <v>5</v>
      </c>
      <c r="J20">
        <v>5</v>
      </c>
      <c r="K20">
        <v>5</v>
      </c>
      <c r="N20">
        <v>5</v>
      </c>
      <c r="O20">
        <v>5</v>
      </c>
      <c r="R20">
        <v>5</v>
      </c>
      <c r="S20">
        <v>5</v>
      </c>
      <c r="T20">
        <v>5</v>
      </c>
      <c r="U20">
        <v>5</v>
      </c>
      <c r="V20">
        <v>5</v>
      </c>
    </row>
    <row r="21" spans="3:22" x14ac:dyDescent="0.25">
      <c r="C21" t="s">
        <v>37</v>
      </c>
      <c r="D21" s="5">
        <v>42209</v>
      </c>
      <c r="E21" t="s">
        <v>27</v>
      </c>
      <c r="F21">
        <v>5</v>
      </c>
      <c r="G21">
        <v>5</v>
      </c>
      <c r="H21">
        <v>5</v>
      </c>
      <c r="I21">
        <v>5</v>
      </c>
      <c r="J21">
        <v>5</v>
      </c>
      <c r="K21">
        <v>5</v>
      </c>
      <c r="N21">
        <v>5</v>
      </c>
      <c r="O21">
        <v>5</v>
      </c>
      <c r="R21" t="s">
        <v>38</v>
      </c>
      <c r="S21" t="s">
        <v>38</v>
      </c>
      <c r="T21" t="s">
        <v>38</v>
      </c>
      <c r="U21" t="s">
        <v>38</v>
      </c>
      <c r="V21" t="s">
        <v>38</v>
      </c>
    </row>
    <row r="22" spans="3:22" x14ac:dyDescent="0.25">
      <c r="C22" t="s">
        <v>37</v>
      </c>
      <c r="D22" s="5">
        <v>42209</v>
      </c>
      <c r="E22" t="s">
        <v>27</v>
      </c>
      <c r="F22">
        <v>5</v>
      </c>
      <c r="G22">
        <v>5</v>
      </c>
      <c r="H22">
        <v>5</v>
      </c>
      <c r="I22">
        <v>5</v>
      </c>
      <c r="J22">
        <v>5</v>
      </c>
      <c r="K22">
        <v>5</v>
      </c>
      <c r="N22">
        <v>5</v>
      </c>
      <c r="O22">
        <v>5</v>
      </c>
      <c r="R22">
        <v>5</v>
      </c>
      <c r="S22">
        <v>5</v>
      </c>
      <c r="T22">
        <v>5</v>
      </c>
      <c r="U22">
        <v>5</v>
      </c>
      <c r="V22">
        <v>5</v>
      </c>
    </row>
    <row r="23" spans="3:22" x14ac:dyDescent="0.25">
      <c r="D23" s="5"/>
    </row>
    <row r="24" spans="3:22" x14ac:dyDescent="0.25">
      <c r="D24" s="5"/>
    </row>
    <row r="25" spans="3:22" x14ac:dyDescent="0.25">
      <c r="D25" s="5"/>
    </row>
    <row r="26" spans="3:22" x14ac:dyDescent="0.25">
      <c r="D26" s="5"/>
    </row>
    <row r="27" spans="3:22" x14ac:dyDescent="0.25">
      <c r="D27" s="5"/>
    </row>
    <row r="28" spans="3:22" x14ac:dyDescent="0.25">
      <c r="D28" s="5"/>
    </row>
    <row r="29" spans="3:22" x14ac:dyDescent="0.25">
      <c r="D29" s="5"/>
    </row>
    <row r="30" spans="3:22" x14ac:dyDescent="0.25">
      <c r="D30" s="5"/>
    </row>
    <row r="31" spans="3:22" x14ac:dyDescent="0.25">
      <c r="D31" s="5"/>
    </row>
    <row r="32" spans="3:22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52" spans="5:22" x14ac:dyDescent="0.25">
      <c r="E52" t="s">
        <v>22</v>
      </c>
      <c r="F52">
        <f>AVERAGE(Tableau1[1. Les objectifs ont été énoncés clairement au début du cours.])</f>
        <v>4.9047619047619051</v>
      </c>
      <c r="G52">
        <f>AVERAGE(Tableau1[2. Le plan de cours et l''horaire ont été respectés.])</f>
        <v>4.8571428571428568</v>
      </c>
      <c r="H52">
        <f>AVERAGE(Tableau1[3. La présentation du cours s''est faite dans un ordre logique.])</f>
        <v>4.8571428571428568</v>
      </c>
      <c r="I52">
        <f>AVERAGE(Tableau1[4. Le matériel utilisé a facilité la bonne compréhension du contenu du cours.])</f>
        <v>4.9047619047619051</v>
      </c>
      <c r="J52">
        <f>AVERAGE(Tableau1[5. Le rythme du cours et le temps accordé aux activités d''apprentissage ont été adéquats.])</f>
        <v>4.8095238095238093</v>
      </c>
      <c r="K52">
        <f>AVERAGE(Tableau1[6. Les activités et le matériel d''apprentissage ont été utiles.])</f>
        <v>4.8571428571428568</v>
      </c>
      <c r="N52">
        <f>AVERAGE(Tableau1[7. Le cours vous a permis de renforcer et d''améliorer vos compétences dans votre deuxième langue officielle pour une utilisation en dehors de la classe.])</f>
        <v>4.9047619047619051</v>
      </c>
      <c r="O52">
        <f>AVERAGE(Tableau1[8. Dans l''ensemble, vous êtes satisfait(e) de ce cours. ])</f>
        <v>4.9047619047619051</v>
      </c>
      <c r="R52">
        <f>AVERAGE(Tableau1[11. L''enseignant(e) était bien préparé(e) et bien organisé(e) en classe.])</f>
        <v>4.9285714285714288</v>
      </c>
      <c r="S52">
        <f>AVERAGE(Tableau1[12. L''enseignant(e) connaissait la matière qui a été présentée.])</f>
        <v>4.9285714285714288</v>
      </c>
      <c r="T52">
        <f>AVERAGE(Tableau1[13. L''enseignant(e) a expliqué le matériel de cours et a répondu aux questions d''une manière claire et concise.])</f>
        <v>4.9285714285714288</v>
      </c>
      <c r="U52">
        <f>AVERAGE(Tableau1[14. L''enseignant(e) a créé un environnement d''apprentissage positif dans la salle de classe.])</f>
        <v>4.9285714285714288</v>
      </c>
      <c r="V52">
        <f>AVERAGE(Tableau1[15. L''environnement physique (p. ex., la température, l''éclairage, le mobilier) était approprié et la technologie (p. ex., l''équipement audiovisuel) fonctionnait efficacement.])</f>
        <v>4.5384615384615383</v>
      </c>
    </row>
    <row r="53" spans="5:22" x14ac:dyDescent="0.25">
      <c r="E53" t="s">
        <v>23</v>
      </c>
      <c r="F53">
        <f>MODE(Tableau1[1. Les objectifs ont été énoncés clairement au début du cours.])</f>
        <v>5</v>
      </c>
      <c r="G53">
        <f>MODE(Tableau1[2. Le plan de cours et l''horaire ont été respectés.])</f>
        <v>5</v>
      </c>
      <c r="H53">
        <f>MODE(Tableau1[3. La présentation du cours s''est faite dans un ordre logique.])</f>
        <v>5</v>
      </c>
      <c r="I53">
        <f>MODE(Tableau1[4. Le matériel utilisé a facilité la bonne compréhension du contenu du cours.])</f>
        <v>5</v>
      </c>
      <c r="J53">
        <f>MODE(Tableau1[5. Le rythme du cours et le temps accordé aux activités d''apprentissage ont été adéquats.])</f>
        <v>5</v>
      </c>
      <c r="K53">
        <f>MODE(Tableau1[6. Les activités et le matériel d''apprentissage ont été utiles.])</f>
        <v>5</v>
      </c>
      <c r="N53">
        <f>MODE(Tableau1[7. Le cours vous a permis de renforcer et d''améliorer vos compétences dans votre deuxième langue officielle pour une utilisation en dehors de la classe.])</f>
        <v>5</v>
      </c>
      <c r="O53">
        <f>MODE(Tableau1[8. Dans l''ensemble, vous êtes satisfait(e) de ce cours. ])</f>
        <v>5</v>
      </c>
      <c r="R53">
        <f>MODE(Tableau1[11. L''enseignant(e) était bien préparé(e) et bien organisé(e) en classe.])</f>
        <v>5</v>
      </c>
      <c r="S53">
        <f>MODE(Tableau1[12. L''enseignant(e) connaissait la matière qui a été présentée.])</f>
        <v>5</v>
      </c>
      <c r="T53">
        <f>MODE(Tableau1[13. L''enseignant(e) a expliqué le matériel de cours et a répondu aux questions d''une manière claire et concise.])</f>
        <v>5</v>
      </c>
      <c r="U53">
        <f>MODE(Tableau1[14. L''enseignant(e) a créé un environnement d''apprentissage positif dans la salle de classe.])</f>
        <v>5</v>
      </c>
      <c r="V53">
        <f>MODE(Tableau1[15. L''environnement physique (p. ex., la température, l''éclairage, le mobilier) était approprié et la technologie (p. ex., l''équipement audiovisuel) fonctionnait efficacement.])</f>
        <v>5</v>
      </c>
    </row>
    <row r="54" spans="5:22" x14ac:dyDescent="0.25">
      <c r="E54" t="s">
        <v>36</v>
      </c>
      <c r="F54">
        <f>MEDIAN(Tableau1[1. Les objectifs ont été énoncés clairement au début du cours.])</f>
        <v>5</v>
      </c>
      <c r="G54">
        <f>MEDIAN(Tableau1[2. Le plan de cours et l''horaire ont été respectés.])</f>
        <v>5</v>
      </c>
      <c r="H54">
        <f>MEDIAN(Tableau1[3. La présentation du cours s''est faite dans un ordre logique.])</f>
        <v>5</v>
      </c>
      <c r="I54">
        <f>MEDIAN(Tableau1[4. Le matériel utilisé a facilité la bonne compréhension du contenu du cours.])</f>
        <v>5</v>
      </c>
      <c r="J54">
        <f>MEDIAN(Tableau1[5. Le rythme du cours et le temps accordé aux activités d''apprentissage ont été adéquats.])</f>
        <v>5</v>
      </c>
      <c r="K54">
        <f>MEDIAN(Tableau1[6. Les activités et le matériel d''apprentissage ont été utiles.])</f>
        <v>5</v>
      </c>
      <c r="N54">
        <f>MEDIAN(Tableau1[7. Le cours vous a permis de renforcer et d''améliorer vos compétences dans votre deuxième langue officielle pour une utilisation en dehors de la classe.])</f>
        <v>5</v>
      </c>
      <c r="O54">
        <f>MEDIAN(Tableau1[8. Dans l''ensemble, vous êtes satisfait(e) de ce cours. ])</f>
        <v>5</v>
      </c>
      <c r="R54">
        <f>MEDIAN(Tableau1[11. L''enseignant(e) était bien préparé(e) et bien organisé(e) en classe.])</f>
        <v>5</v>
      </c>
      <c r="S54">
        <f>MEDIAN(Tableau1[12. L''enseignant(e) connaissait la matière qui a été présentée.])</f>
        <v>5</v>
      </c>
      <c r="T54">
        <f>MEDIAN(Tableau1[13. L''enseignant(e) a expliqué le matériel de cours et a répondu aux questions d''une manière claire et concise.])</f>
        <v>5</v>
      </c>
      <c r="U54">
        <f>MEDIAN(Tableau1[14. L''enseignant(e) a créé un environnement d''apprentissage positif dans la salle de classe.])</f>
        <v>5</v>
      </c>
      <c r="V54">
        <f>MEDIAN(Tableau1[15. L''environnement physique (p. ex., la température, l''éclairage, le mobilier) était approprié et la technologie (p. ex., l''équipement audiovisuel) fonctionnait efficacement.])</f>
        <v>5</v>
      </c>
    </row>
    <row r="55" spans="5:22" x14ac:dyDescent="0.25">
      <c r="E55" t="s">
        <v>24</v>
      </c>
      <c r="F55">
        <f>MAX(Tableau1[1. Les objectifs ont été énoncés clairement au début du cours.])</f>
        <v>5</v>
      </c>
      <c r="G55">
        <f>MAX(Tableau1[2. Le plan de cours et l''horaire ont été respectés.])</f>
        <v>5</v>
      </c>
      <c r="H55">
        <f>MAX(Tableau1[3. La présentation du cours s''est faite dans un ordre logique.])</f>
        <v>5</v>
      </c>
      <c r="I55">
        <f>MAX(Tableau1[4. Le matériel utilisé a facilité la bonne compréhension du contenu du cours.])</f>
        <v>5</v>
      </c>
      <c r="J55">
        <f>MAX(Tableau1[5. Le rythme du cours et le temps accordé aux activités d''apprentissage ont été adéquats.])</f>
        <v>5</v>
      </c>
      <c r="K55">
        <f>MAX(Tableau1[6. Les activités et le matériel d''apprentissage ont été utiles.])</f>
        <v>5</v>
      </c>
      <c r="N55">
        <f>MAX(Tableau1[7. Le cours vous a permis de renforcer et d''améliorer vos compétences dans votre deuxième langue officielle pour une utilisation en dehors de la classe.])</f>
        <v>5</v>
      </c>
      <c r="O55">
        <f>MAX(Tableau1[8. Dans l''ensemble, vous êtes satisfait(e) de ce cours. ])</f>
        <v>5</v>
      </c>
      <c r="R55">
        <f>MAX(Tableau1[11. L''enseignant(e) était bien préparé(e) et bien organisé(e) en classe.])</f>
        <v>5</v>
      </c>
      <c r="S55">
        <f>MAX(Tableau1[12. L''enseignant(e) connaissait la matière qui a été présentée.])</f>
        <v>5</v>
      </c>
      <c r="T55">
        <f>MAX(Tableau1[13. L''enseignant(e) a expliqué le matériel de cours et a répondu aux questions d''une manière claire et concise.])</f>
        <v>5</v>
      </c>
      <c r="U55">
        <f>MAX(Tableau1[14. L''enseignant(e) a créé un environnement d''apprentissage positif dans la salle de classe.])</f>
        <v>5</v>
      </c>
      <c r="V55">
        <f>MAX(Tableau1[15. L''environnement physique (p. ex., la température, l''éclairage, le mobilier) était approprié et la technologie (p. ex., l''équipement audiovisuel) fonctionnait efficacement.])</f>
        <v>5</v>
      </c>
    </row>
    <row r="56" spans="5:22" x14ac:dyDescent="0.25">
      <c r="E56" t="s">
        <v>25</v>
      </c>
      <c r="F56">
        <f>MIN(Tableau1[1. Les objectifs ont été énoncés clairement au début du cours.])</f>
        <v>4</v>
      </c>
      <c r="G56">
        <f>MIN(Tableau1[2. Le plan de cours et l''horaire ont été respectés.])</f>
        <v>4</v>
      </c>
      <c r="H56">
        <f>MIN(Tableau1[3. La présentation du cours s''est faite dans un ordre logique.])</f>
        <v>4</v>
      </c>
      <c r="I56">
        <f>MIN(Tableau1[4. Le matériel utilisé a facilité la bonne compréhension du contenu du cours.])</f>
        <v>4</v>
      </c>
      <c r="J56">
        <f>MIN(Tableau1[5. Le rythme du cours et le temps accordé aux activités d''apprentissage ont été adéquats.])</f>
        <v>4</v>
      </c>
      <c r="K56">
        <f>MIN(Tableau1[6. Les activités et le matériel d''apprentissage ont été utiles.])</f>
        <v>4</v>
      </c>
      <c r="N56">
        <f>MIN(Tableau1[7. Le cours vous a permis de renforcer et d''améliorer vos compétences dans votre deuxième langue officielle pour une utilisation en dehors de la classe.])</f>
        <v>4</v>
      </c>
      <c r="O56">
        <f>MIN(Tableau1[8. Dans l''ensemble, vous êtes satisfait(e) de ce cours. ])</f>
        <v>4</v>
      </c>
      <c r="R56">
        <f>MIN(Tableau1[11. L''enseignant(e) était bien préparé(e) et bien organisé(e) en classe.])</f>
        <v>4</v>
      </c>
      <c r="S56">
        <f>MIN(Tableau1[12. L''enseignant(e) connaissait la matière qui a été présentée.])</f>
        <v>4</v>
      </c>
      <c r="T56">
        <f>MIN(Tableau1[13. L''enseignant(e) a expliqué le matériel de cours et a répondu aux questions d''une manière claire et concise.])</f>
        <v>4</v>
      </c>
      <c r="U56">
        <f>MIN(Tableau1[14. L''enseignant(e) a créé un environnement d''apprentissage positif dans la salle de classe.])</f>
        <v>4</v>
      </c>
      <c r="V56">
        <f>MIN(Tableau1[15. L''environnement physique (p. ex., la température, l''éclairage, le mobilier) était approprié et la technologie (p. ex., l''équipement audiovisuel) fonctionnait efficacement.])</f>
        <v>2</v>
      </c>
    </row>
    <row r="59" spans="5:22" x14ac:dyDescent="0.25">
      <c r="E59" t="s">
        <v>30</v>
      </c>
      <c r="F59">
        <f>COUNTIF(Tableau1[1. Les objectifs ont été énoncés clairement au début du cours.],0)</f>
        <v>0</v>
      </c>
      <c r="G59">
        <f>COUNTIF(Tableau1[2. Le plan de cours et l''horaire ont été respectés.],0)</f>
        <v>0</v>
      </c>
      <c r="H59">
        <f>COUNTIF(Tableau1[3. La présentation du cours s''est faite dans un ordre logique.],0)</f>
        <v>0</v>
      </c>
      <c r="I59">
        <f>COUNTIF(Tableau1[4. Le matériel utilisé a facilité la bonne compréhension du contenu du cours.],0)</f>
        <v>0</v>
      </c>
      <c r="J59">
        <f>COUNTIF(Tableau1[5. Le rythme du cours et le temps accordé aux activités d''apprentissage ont été adéquats.],0)</f>
        <v>0</v>
      </c>
      <c r="K59">
        <f>COUNTIF(Tableau1[6. Les activités et le matériel d''apprentissage ont été utiles.],0)</f>
        <v>0</v>
      </c>
      <c r="M59">
        <f>COUNTIF(Tableau1[b) Veuillez indiquer les activités ou le matériel d''apprentissage que vous avez trouvés les moins utiles.],0)</f>
        <v>0</v>
      </c>
      <c r="N59">
        <f>COUNTIF(Tableau1[7. Le cours vous a permis de renforcer et d''améliorer vos compétences dans votre deuxième langue officielle pour une utilisation en dehors de la classe.],0)</f>
        <v>0</v>
      </c>
      <c r="O59">
        <f>COUNTIF(Tableau1[8. Dans l''ensemble, vous êtes satisfait(e) de ce cours. ],0)</f>
        <v>0</v>
      </c>
      <c r="R59">
        <f>COUNTIF(Tableau1[11. L''enseignant(e) était bien préparé(e) et bien organisé(e) en classe.],0)</f>
        <v>0</v>
      </c>
      <c r="S59">
        <f>COUNTIF(Tableau1[12. L''enseignant(e) connaissait la matière qui a été présentée.],0)</f>
        <v>0</v>
      </c>
      <c r="T59">
        <f>COUNTIF(Tableau1[13. L''enseignant(e) a expliqué le matériel de cours et a répondu aux questions d''une manière claire et concise.],0)</f>
        <v>0</v>
      </c>
      <c r="U59">
        <f>COUNTIF(Tableau1[14. L''enseignant(e) a créé un environnement d''apprentissage positif dans la salle de classe.],0)</f>
        <v>0</v>
      </c>
      <c r="V59">
        <f>COUNTIF(Tableau1[15. L''environnement physique (p. ex., la température, l''éclairage, le mobilier) était approprié et la technologie (p. ex., l''équipement audiovisuel) fonctionnait efficacement.],0)</f>
        <v>0</v>
      </c>
    </row>
    <row r="60" spans="5:22" x14ac:dyDescent="0.25">
      <c r="E60" t="s">
        <v>31</v>
      </c>
      <c r="F60">
        <f>COUNTIF(Tableau1[1. Les objectifs ont été énoncés clairement au début du cours.],1)</f>
        <v>0</v>
      </c>
      <c r="G60">
        <f>COUNTIF(Tableau1[2. Le plan de cours et l''horaire ont été respectés.],1)</f>
        <v>0</v>
      </c>
      <c r="H60">
        <f>COUNTIF(Tableau1[3. La présentation du cours s''est faite dans un ordre logique.],1)</f>
        <v>0</v>
      </c>
      <c r="I60">
        <f>COUNTIF(Tableau1[4. Le matériel utilisé a facilité la bonne compréhension du contenu du cours.],1)</f>
        <v>0</v>
      </c>
      <c r="J60">
        <f>COUNTIF(Tableau1[5. Le rythme du cours et le temps accordé aux activités d''apprentissage ont été adéquats.],1)</f>
        <v>0</v>
      </c>
      <c r="K60">
        <f>COUNTIF(Tableau1[6. Les activités et le matériel d''apprentissage ont été utiles.],1)</f>
        <v>0</v>
      </c>
      <c r="M60">
        <f>COUNTIF(Tableau1[b) Veuillez indiquer les activités ou le matériel d''apprentissage que vous avez trouvés les moins utiles.],1)</f>
        <v>0</v>
      </c>
      <c r="N60">
        <f>COUNTIF(Tableau1[7. Le cours vous a permis de renforcer et d''améliorer vos compétences dans votre deuxième langue officielle pour une utilisation en dehors de la classe.],1)</f>
        <v>0</v>
      </c>
      <c r="O60">
        <f>COUNTIF(Tableau1[8. Dans l''ensemble, vous êtes satisfait(e) de ce cours. ],1)</f>
        <v>0</v>
      </c>
      <c r="R60">
        <f>COUNTIF(Tableau1[11. L''enseignant(e) était bien préparé(e) et bien organisé(e) en classe.],1)</f>
        <v>0</v>
      </c>
      <c r="S60">
        <f>COUNTIF(Tableau1[12. L''enseignant(e) connaissait la matière qui a été présentée.],1)</f>
        <v>0</v>
      </c>
      <c r="T60">
        <f>COUNTIF(Tableau1[13. L''enseignant(e) a expliqué le matériel de cours et a répondu aux questions d''une manière claire et concise.],1)</f>
        <v>0</v>
      </c>
      <c r="U60">
        <f>COUNTIF(Tableau1[14. L''enseignant(e) a créé un environnement d''apprentissage positif dans la salle de classe.],1)</f>
        <v>0</v>
      </c>
      <c r="V60">
        <f>COUNTIF(Tableau1[15. L''environnement physique (p. ex., la température, l''éclairage, le mobilier) était approprié et la technologie (p. ex., l''équipement audiovisuel) fonctionnait efficacement.],1)</f>
        <v>0</v>
      </c>
    </row>
    <row r="61" spans="5:22" x14ac:dyDescent="0.25">
      <c r="E61" t="s">
        <v>32</v>
      </c>
      <c r="F61">
        <f>COUNTIF(Tableau1[1. Les objectifs ont été énoncés clairement au début du cours.],2)</f>
        <v>0</v>
      </c>
      <c r="G61">
        <f>COUNTIF(Tableau1[2. Le plan de cours et l''horaire ont été respectés.],2)</f>
        <v>0</v>
      </c>
      <c r="H61">
        <f>COUNTIF(Tableau1[3. La présentation du cours s''est faite dans un ordre logique.],2)</f>
        <v>0</v>
      </c>
      <c r="I61">
        <f>COUNTIF(Tableau1[4. Le matériel utilisé a facilité la bonne compréhension du contenu du cours.],2)</f>
        <v>0</v>
      </c>
      <c r="J61">
        <f>COUNTIF(Tableau1[5. Le rythme du cours et le temps accordé aux activités d''apprentissage ont été adéquats.],2)</f>
        <v>0</v>
      </c>
      <c r="K61">
        <f>COUNTIF(Tableau1[6. Les activités et le matériel d''apprentissage ont été utiles.],2)</f>
        <v>0</v>
      </c>
      <c r="M61">
        <f>COUNTIF(Tableau1[b) Veuillez indiquer les activités ou le matériel d''apprentissage que vous avez trouvés les moins utiles.],2)</f>
        <v>0</v>
      </c>
      <c r="N61">
        <f>COUNTIF(Tableau1[7. Le cours vous a permis de renforcer et d''améliorer vos compétences dans votre deuxième langue officielle pour une utilisation en dehors de la classe.],2)</f>
        <v>0</v>
      </c>
      <c r="O61">
        <f>COUNTIF(Tableau1[8. Dans l''ensemble, vous êtes satisfait(e) de ce cours. ],2)</f>
        <v>0</v>
      </c>
      <c r="R61">
        <f>COUNTIF(Tableau1[11. L''enseignant(e) était bien préparé(e) et bien organisé(e) en classe.],2)</f>
        <v>0</v>
      </c>
      <c r="S61">
        <f>COUNTIF(Tableau1[12. L''enseignant(e) connaissait la matière qui a été présentée.],2)</f>
        <v>0</v>
      </c>
      <c r="T61">
        <f>COUNTIF(Tableau1[13. L''enseignant(e) a expliqué le matériel de cours et a répondu aux questions d''une manière claire et concise.],2)</f>
        <v>0</v>
      </c>
      <c r="U61">
        <f>COUNTIF(Tableau1[14. L''enseignant(e) a créé un environnement d''apprentissage positif dans la salle de classe.],2)</f>
        <v>0</v>
      </c>
      <c r="V61">
        <f>COUNTIF(Tableau1[15. L''environnement physique (p. ex., la température, l''éclairage, le mobilier) était approprié et la technologie (p. ex., l''équipement audiovisuel) fonctionnait efficacement.],2)</f>
        <v>1</v>
      </c>
    </row>
    <row r="62" spans="5:22" x14ac:dyDescent="0.25">
      <c r="E62" t="s">
        <v>33</v>
      </c>
      <c r="F62">
        <f>COUNTIF(Tableau1[1. Les objectifs ont été énoncés clairement au début du cours.],3)</f>
        <v>0</v>
      </c>
      <c r="G62">
        <f>COUNTIF(Tableau1[2. Le plan de cours et l''horaire ont été respectés.],3)</f>
        <v>0</v>
      </c>
      <c r="H62">
        <f>COUNTIF(Tableau1[3. La présentation du cours s''est faite dans un ordre logique.],3)</f>
        <v>0</v>
      </c>
      <c r="I62">
        <f>COUNTIF(Tableau1[4. Le matériel utilisé a facilité la bonne compréhension du contenu du cours.],3)</f>
        <v>0</v>
      </c>
      <c r="J62">
        <f>COUNTIF(Tableau1[5. Le rythme du cours et le temps accordé aux activités d''apprentissage ont été adéquats.],3)</f>
        <v>0</v>
      </c>
      <c r="K62">
        <f>COUNTIF(Tableau1[6. Les activités et le matériel d''apprentissage ont été utiles.],3)</f>
        <v>0</v>
      </c>
      <c r="M62">
        <f>COUNTIF(Tableau1[b) Veuillez indiquer les activités ou le matériel d''apprentissage que vous avez trouvés les moins utiles.],3)</f>
        <v>0</v>
      </c>
      <c r="N62">
        <f>COUNTIF(Tableau1[7. Le cours vous a permis de renforcer et d''améliorer vos compétences dans votre deuxième langue officielle pour une utilisation en dehors de la classe.],3)</f>
        <v>0</v>
      </c>
      <c r="O62">
        <f>COUNTIF(Tableau1[8. Dans l''ensemble, vous êtes satisfait(e) de ce cours. ],3)</f>
        <v>0</v>
      </c>
      <c r="R62">
        <f>COUNTIF(Tableau1[11. L''enseignant(e) était bien préparé(e) et bien organisé(e) en classe.],3)</f>
        <v>0</v>
      </c>
      <c r="S62">
        <f>COUNTIF(Tableau1[12. L''enseignant(e) connaissait la matière qui a été présentée.],3)</f>
        <v>0</v>
      </c>
      <c r="T62">
        <f>COUNTIF(Tableau1[13. L''enseignant(e) a expliqué le matériel de cours et a répondu aux questions d''une manière claire et concise.],3)</f>
        <v>0</v>
      </c>
      <c r="U62">
        <f>COUNTIF(Tableau1[14. L''enseignant(e) a créé un environnement d''apprentissage positif dans la salle de classe.],3)</f>
        <v>0</v>
      </c>
      <c r="V62">
        <f>COUNTIF(Tableau1[15. L''environnement physique (p. ex., la température, l''éclairage, le mobilier) était approprié et la technologie (p. ex., l''équipement audiovisuel) fonctionnait efficacement.],3)</f>
        <v>1</v>
      </c>
    </row>
    <row r="63" spans="5:22" x14ac:dyDescent="0.25">
      <c r="E63" t="s">
        <v>34</v>
      </c>
      <c r="F63">
        <f>COUNTIF(Tableau1[1. Les objectifs ont été énoncés clairement au début du cours.],4)</f>
        <v>2</v>
      </c>
      <c r="G63">
        <f>COUNTIF(Tableau1[2. Le plan de cours et l''horaire ont été respectés.],4)</f>
        <v>3</v>
      </c>
      <c r="H63">
        <f>COUNTIF(Tableau1[3. La présentation du cours s''est faite dans un ordre logique.],4)</f>
        <v>3</v>
      </c>
      <c r="I63">
        <f>COUNTIF(Tableau1[4. Le matériel utilisé a facilité la bonne compréhension du contenu du cours.],4)</f>
        <v>2</v>
      </c>
      <c r="J63">
        <f>COUNTIF(Tableau1[5. Le rythme du cours et le temps accordé aux activités d''apprentissage ont été adéquats.],4)</f>
        <v>4</v>
      </c>
      <c r="K63">
        <f>COUNTIF(Tableau1[6. Les activités et le matériel d''apprentissage ont été utiles.],4)</f>
        <v>3</v>
      </c>
      <c r="M63">
        <f>COUNTIF(Tableau1[b) Veuillez indiquer les activités ou le matériel d''apprentissage que vous avez trouvés les moins utiles.],4)</f>
        <v>0</v>
      </c>
      <c r="N63">
        <f>COUNTIF(Tableau1[7. Le cours vous a permis de renforcer et d''améliorer vos compétences dans votre deuxième langue officielle pour une utilisation en dehors de la classe.],4)</f>
        <v>2</v>
      </c>
      <c r="O63">
        <f>COUNTIF(Tableau1[8. Dans l''ensemble, vous êtes satisfait(e) de ce cours. ],4)</f>
        <v>2</v>
      </c>
      <c r="R63">
        <f>COUNTIF(Tableau1[11. L''enseignant(e) était bien préparé(e) et bien organisé(e) en classe.],4)</f>
        <v>1</v>
      </c>
      <c r="S63">
        <f>COUNTIF(Tableau1[12. L''enseignant(e) connaissait la matière qui a été présentée.],4)</f>
        <v>1</v>
      </c>
      <c r="T63">
        <f>COUNTIF(Tableau1[13. L''enseignant(e) a expliqué le matériel de cours et a répondu aux questions d''une manière claire et concise.],4)</f>
        <v>1</v>
      </c>
      <c r="U63">
        <f>COUNTIF(Tableau1[14. L''enseignant(e) a créé un environnement d''apprentissage positif dans la salle de classe.],4)</f>
        <v>1</v>
      </c>
      <c r="V63">
        <f>COUNTIF(Tableau1[15. L''environnement physique (p. ex., la température, l''éclairage, le mobilier) était approprié et la technologie (p. ex., l''équipement audiovisuel) fonctionnait efficacement.],4)</f>
        <v>1</v>
      </c>
    </row>
    <row r="64" spans="5:22" x14ac:dyDescent="0.25">
      <c r="E64" t="s">
        <v>29</v>
      </c>
      <c r="F64">
        <f>COUNTIF(Tableau1[1. Les objectifs ont été énoncés clairement au début du cours.],5)</f>
        <v>19</v>
      </c>
      <c r="G64">
        <f>COUNTIF(Tableau1[2. Le plan de cours et l''horaire ont été respectés.],5)</f>
        <v>18</v>
      </c>
      <c r="H64">
        <f>COUNTIF(Tableau1[3. La présentation du cours s''est faite dans un ordre logique.],5)</f>
        <v>18</v>
      </c>
      <c r="I64">
        <f>COUNTIF(Tableau1[4. Le matériel utilisé a facilité la bonne compréhension du contenu du cours.],5)</f>
        <v>19</v>
      </c>
      <c r="J64">
        <f>COUNTIF(Tableau1[5. Le rythme du cours et le temps accordé aux activités d''apprentissage ont été adéquats.],5)</f>
        <v>17</v>
      </c>
      <c r="K64">
        <f>COUNTIF(Tableau1[6. Les activités et le matériel d''apprentissage ont été utiles.],5)</f>
        <v>18</v>
      </c>
      <c r="M64">
        <f>COUNTIF(Tableau1[b) Veuillez indiquer les activités ou le matériel d''apprentissage que vous avez trouvés les moins utiles.],5)</f>
        <v>0</v>
      </c>
      <c r="N64">
        <f>COUNTIF(Tableau1[7. Le cours vous a permis de renforcer et d''améliorer vos compétences dans votre deuxième langue officielle pour une utilisation en dehors de la classe.],5)</f>
        <v>19</v>
      </c>
      <c r="O64">
        <f>COUNTIF(Tableau1[8. Dans l''ensemble, vous êtes satisfait(e) de ce cours. ],5)</f>
        <v>19</v>
      </c>
      <c r="R64">
        <f>COUNTIF(Tableau1[11. L''enseignant(e) était bien préparé(e) et bien organisé(e) en classe.],5)</f>
        <v>13</v>
      </c>
      <c r="S64">
        <f>COUNTIF(Tableau1[12. L''enseignant(e) connaissait la matière qui a été présentée.],5)</f>
        <v>13</v>
      </c>
      <c r="T64">
        <f>COUNTIF(Tableau1[13. L''enseignant(e) a expliqué le matériel de cours et a répondu aux questions d''une manière claire et concise.],5)</f>
        <v>13</v>
      </c>
      <c r="U64">
        <f>COUNTIF(Tableau1[14. L''enseignant(e) a créé un environnement d''apprentissage positif dans la salle de classe.],5)</f>
        <v>13</v>
      </c>
      <c r="V64">
        <f>COUNTIF(Tableau1[15. L''environnement physique (p. ex., la température, l''éclairage, le mobilier) était approprié et la technologie (p. ex., l''équipement audiovisuel) fonctionnait efficacement.],5)</f>
        <v>10</v>
      </c>
    </row>
    <row r="65" spans="5:23" x14ac:dyDescent="0.25">
      <c r="E65" t="s">
        <v>35</v>
      </c>
      <c r="F65">
        <f>COUNTA(Tableau1[1. Les objectifs ont été énoncés clairement au début du cours.])</f>
        <v>21</v>
      </c>
      <c r="G65">
        <f>COUNTA(Tableau1[2. Le plan de cours et l''horaire ont été respectés.])</f>
        <v>21</v>
      </c>
      <c r="H65">
        <f>COUNTA(Tableau1[3. La présentation du cours s''est faite dans un ordre logique.])</f>
        <v>21</v>
      </c>
      <c r="I65">
        <f>COUNTA(Tableau1[4. Le matériel utilisé a facilité la bonne compréhension du contenu du cours.])</f>
        <v>21</v>
      </c>
      <c r="J65">
        <f>COUNTA(Tableau1[5. Le rythme du cours et le temps accordé aux activités d''apprentissage ont été adéquats.])</f>
        <v>21</v>
      </c>
      <c r="K65">
        <f>COUNTA(Tableau1[6. Les activités et le matériel d''apprentissage ont été utiles.])</f>
        <v>21</v>
      </c>
      <c r="L65">
        <f>COUNTA(Tableau1[a) Veuillez indiquer les activités ou le matériel d''apprentissage que vous avez trouvés les plus utiles.])</f>
        <v>0</v>
      </c>
      <c r="M65">
        <f>COUNTA(Tableau1[b) Veuillez indiquer les activités ou le matériel d''apprentissage que vous avez trouvés les moins utiles.])</f>
        <v>0</v>
      </c>
      <c r="N65">
        <f>COUNTA(Tableau1[7. Le cours vous a permis de renforcer et d''améliorer vos compétences dans votre deuxième langue officielle pour une utilisation en dehors de la classe.])</f>
        <v>21</v>
      </c>
      <c r="O65">
        <f>COUNTA(Tableau1[8. Dans l''ensemble, vous êtes satisfait(e) de ce cours. ])</f>
        <v>21</v>
      </c>
      <c r="P65">
        <f>COUNTA(Tableau1[9. Auriez-vous d''autres commentaires ou suggestions pour améliorer ce cours?])</f>
        <v>0</v>
      </c>
      <c r="Q65">
        <f>COUNTA(Tableau1[10. Quels autres cours trouveriez-vous utiles?])</f>
        <v>0</v>
      </c>
      <c r="R65">
        <f>COUNTA(Tableau1[11. L''enseignant(e) était bien préparé(e) et bien organisé(e) en classe.])</f>
        <v>21</v>
      </c>
      <c r="S65">
        <f>COUNTA(Tableau1[12. L''enseignant(e) connaissait la matière qui a été présentée.])</f>
        <v>21</v>
      </c>
      <c r="T65">
        <f>COUNTA(Tableau1[13. L''enseignant(e) a expliqué le matériel de cours et a répondu aux questions d''une manière claire et concise.])</f>
        <v>21</v>
      </c>
      <c r="U65">
        <f>COUNTA(Tableau1[14. L''enseignant(e) a créé un environnement d''apprentissage positif dans la salle de classe.])</f>
        <v>21</v>
      </c>
      <c r="V65">
        <f>COUNTA(Tableau1[15. L''environnement physique (p. ex., la température, l''éclairage, le mobilier) était approprié et la technologie (p. ex., l''équipement audiovisuel) fonctionnait efficacement.])</f>
        <v>21</v>
      </c>
      <c r="W65">
        <f>COUNTA(Tableau1[16. Avez-vous d''autres commentaires ou suggestions pour améliorer le programme de formation linguistique de BAC?])</f>
        <v>0</v>
      </c>
    </row>
    <row r="67" spans="5:23" x14ac:dyDescent="0.25">
      <c r="E67" s="7" t="s">
        <v>40</v>
      </c>
      <c r="F67">
        <f>(100*F59)/F65</f>
        <v>0</v>
      </c>
      <c r="G67">
        <f t="shared" ref="G67:K67" si="0">(100*G59)/G65</f>
        <v>0</v>
      </c>
      <c r="H67">
        <f t="shared" si="0"/>
        <v>0</v>
      </c>
      <c r="I67">
        <f t="shared" si="0"/>
        <v>0</v>
      </c>
      <c r="J67">
        <f t="shared" si="0"/>
        <v>0</v>
      </c>
      <c r="K67">
        <f t="shared" si="0"/>
        <v>0</v>
      </c>
      <c r="N67">
        <f t="shared" ref="N67:V67" si="1">(100*N59)/N65</f>
        <v>0</v>
      </c>
      <c r="O67">
        <f t="shared" si="1"/>
        <v>0</v>
      </c>
      <c r="R67">
        <f t="shared" si="1"/>
        <v>0</v>
      </c>
      <c r="S67">
        <f t="shared" si="1"/>
        <v>0</v>
      </c>
      <c r="T67">
        <f t="shared" si="1"/>
        <v>0</v>
      </c>
      <c r="U67">
        <f t="shared" si="1"/>
        <v>0</v>
      </c>
      <c r="V67">
        <f t="shared" si="1"/>
        <v>0</v>
      </c>
    </row>
    <row r="68" spans="5:23" x14ac:dyDescent="0.25">
      <c r="E68" s="7"/>
      <c r="F68">
        <f>(100*F60)/F65</f>
        <v>0</v>
      </c>
      <c r="G68">
        <f t="shared" ref="G68:K68" si="2">(100*G60)/G65</f>
        <v>0</v>
      </c>
      <c r="H68">
        <f t="shared" si="2"/>
        <v>0</v>
      </c>
      <c r="I68">
        <f t="shared" si="2"/>
        <v>0</v>
      </c>
      <c r="J68">
        <f t="shared" si="2"/>
        <v>0</v>
      </c>
      <c r="K68">
        <f t="shared" si="2"/>
        <v>0</v>
      </c>
      <c r="N68">
        <f t="shared" ref="N68:V68" si="3">(100*N60)/N65</f>
        <v>0</v>
      </c>
      <c r="O68">
        <f t="shared" si="3"/>
        <v>0</v>
      </c>
      <c r="R68">
        <f t="shared" si="3"/>
        <v>0</v>
      </c>
      <c r="S68">
        <f t="shared" si="3"/>
        <v>0</v>
      </c>
      <c r="T68">
        <f t="shared" si="3"/>
        <v>0</v>
      </c>
      <c r="U68">
        <f t="shared" si="3"/>
        <v>0</v>
      </c>
      <c r="V68">
        <f t="shared" si="3"/>
        <v>0</v>
      </c>
    </row>
    <row r="69" spans="5:23" x14ac:dyDescent="0.25">
      <c r="F69">
        <f>(100*F61)/F65</f>
        <v>0</v>
      </c>
      <c r="G69">
        <f t="shared" ref="G69:K69" si="4">(100*G61)/G65</f>
        <v>0</v>
      </c>
      <c r="H69">
        <f t="shared" si="4"/>
        <v>0</v>
      </c>
      <c r="I69">
        <f t="shared" si="4"/>
        <v>0</v>
      </c>
      <c r="J69">
        <f t="shared" si="4"/>
        <v>0</v>
      </c>
      <c r="K69">
        <f t="shared" si="4"/>
        <v>0</v>
      </c>
      <c r="N69">
        <f t="shared" ref="N69:V69" si="5">(100*N61)/N65</f>
        <v>0</v>
      </c>
      <c r="O69">
        <f t="shared" si="5"/>
        <v>0</v>
      </c>
      <c r="R69">
        <f t="shared" si="5"/>
        <v>0</v>
      </c>
      <c r="S69">
        <f t="shared" si="5"/>
        <v>0</v>
      </c>
      <c r="T69">
        <f t="shared" si="5"/>
        <v>0</v>
      </c>
      <c r="U69">
        <f t="shared" si="5"/>
        <v>0</v>
      </c>
      <c r="V69">
        <f t="shared" si="5"/>
        <v>4.7619047619047619</v>
      </c>
    </row>
    <row r="70" spans="5:23" x14ac:dyDescent="0.25">
      <c r="F70">
        <f>(100*F62)/F65</f>
        <v>0</v>
      </c>
      <c r="G70">
        <f t="shared" ref="G70:K70" si="6">(100*G62)/G65</f>
        <v>0</v>
      </c>
      <c r="H70">
        <f t="shared" si="6"/>
        <v>0</v>
      </c>
      <c r="I70">
        <f t="shared" si="6"/>
        <v>0</v>
      </c>
      <c r="J70">
        <f t="shared" si="6"/>
        <v>0</v>
      </c>
      <c r="K70">
        <f t="shared" si="6"/>
        <v>0</v>
      </c>
      <c r="N70">
        <f t="shared" ref="N70:V70" si="7">(100*N62)/N65</f>
        <v>0</v>
      </c>
      <c r="O70">
        <f t="shared" si="7"/>
        <v>0</v>
      </c>
      <c r="R70">
        <f t="shared" si="7"/>
        <v>0</v>
      </c>
      <c r="S70">
        <f t="shared" si="7"/>
        <v>0</v>
      </c>
      <c r="T70">
        <f t="shared" si="7"/>
        <v>0</v>
      </c>
      <c r="U70">
        <f t="shared" si="7"/>
        <v>0</v>
      </c>
      <c r="V70">
        <f t="shared" si="7"/>
        <v>4.7619047619047619</v>
      </c>
    </row>
    <row r="71" spans="5:23" x14ac:dyDescent="0.25">
      <c r="F71">
        <f>(100*F63)/F65</f>
        <v>9.5238095238095237</v>
      </c>
      <c r="G71">
        <f t="shared" ref="G71:K71" si="8">(100*G63)/G65</f>
        <v>14.285714285714286</v>
      </c>
      <c r="H71">
        <f t="shared" si="8"/>
        <v>14.285714285714286</v>
      </c>
      <c r="I71">
        <f t="shared" si="8"/>
        <v>9.5238095238095237</v>
      </c>
      <c r="J71">
        <f t="shared" si="8"/>
        <v>19.047619047619047</v>
      </c>
      <c r="K71">
        <f t="shared" si="8"/>
        <v>14.285714285714286</v>
      </c>
      <c r="N71">
        <f t="shared" ref="N71:V71" si="9">(100*N63)/N65</f>
        <v>9.5238095238095237</v>
      </c>
      <c r="O71">
        <f t="shared" si="9"/>
        <v>9.5238095238095237</v>
      </c>
      <c r="R71">
        <f t="shared" si="9"/>
        <v>4.7619047619047619</v>
      </c>
      <c r="S71">
        <f t="shared" si="9"/>
        <v>4.7619047619047619</v>
      </c>
      <c r="T71">
        <f t="shared" si="9"/>
        <v>4.7619047619047619</v>
      </c>
      <c r="U71">
        <f t="shared" si="9"/>
        <v>4.7619047619047619</v>
      </c>
      <c r="V71">
        <f t="shared" si="9"/>
        <v>4.7619047619047619</v>
      </c>
    </row>
    <row r="72" spans="5:23" x14ac:dyDescent="0.25">
      <c r="F72">
        <f>(100*F64)/F65</f>
        <v>90.476190476190482</v>
      </c>
      <c r="G72">
        <f t="shared" ref="G72:K72" si="10">(100*G64)/G65</f>
        <v>85.714285714285708</v>
      </c>
      <c r="H72">
        <f t="shared" si="10"/>
        <v>85.714285714285708</v>
      </c>
      <c r="I72">
        <f t="shared" si="10"/>
        <v>90.476190476190482</v>
      </c>
      <c r="J72">
        <f t="shared" si="10"/>
        <v>80.952380952380949</v>
      </c>
      <c r="K72">
        <f t="shared" si="10"/>
        <v>85.714285714285708</v>
      </c>
      <c r="N72">
        <f t="shared" ref="N72:V72" si="11">(100*N64)/N65</f>
        <v>90.476190476190482</v>
      </c>
      <c r="O72">
        <f t="shared" si="11"/>
        <v>90.476190476190482</v>
      </c>
      <c r="R72">
        <f t="shared" si="11"/>
        <v>61.904761904761905</v>
      </c>
      <c r="S72">
        <f t="shared" si="11"/>
        <v>61.904761904761905</v>
      </c>
      <c r="T72">
        <f t="shared" si="11"/>
        <v>61.904761904761905</v>
      </c>
      <c r="U72">
        <f t="shared" si="11"/>
        <v>61.904761904761905</v>
      </c>
      <c r="V72">
        <f t="shared" si="11"/>
        <v>47.61904761904762</v>
      </c>
    </row>
  </sheetData>
  <dataValidations count="2">
    <dataValidation type="list" allowBlank="1" showInputMessage="1" showErrorMessage="1" sqref="B2:B1048576">
      <mc:AlternateContent xmlns:x12ac="http://schemas.microsoft.com/office/spreadsheetml/2011/1/ac" xmlns:mc="http://schemas.openxmlformats.org/markup-compatibility/2006">
        <mc:Choice Requires="x12ac">
          <x12ac:list>"Jolly, Ruth-Anne","Mpunga, Chantal"</x12ac:list>
        </mc:Choice>
        <mc:Fallback>
          <formula1>"Jolly, Ruth-Anne,Mpunga, Chantal"</formula1>
        </mc:Fallback>
      </mc:AlternateContent>
    </dataValidation>
    <dataValidation type="list" allowBlank="1" showInputMessage="1" showErrorMessage="1" sqref="C2:C1048576">
      <formula1>"Anglais,Français"</formula1>
    </dataValidation>
  </dataValidation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BAC-LAC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Lelièvre, Maxime</dc:creator>
  <cp:lastModifiedBy>Lelièvre, Maxime</cp:lastModifiedBy>
  <dcterms:created xsi:type="dcterms:W3CDTF">2015-08-14T19:34:52Z</dcterms:created>
  <dcterms:modified xsi:type="dcterms:W3CDTF">2015-08-17T14:24:50Z</dcterms:modified>
</cp:coreProperties>
</file>