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7950"/>
  </bookViews>
  <sheets>
    <sheet name="Pilote" sheetId="1" r:id="rId1"/>
    <sheet name="Sheet1" sheetId="6" state="hidden" r:id="rId2"/>
  </sheets>
  <definedNames>
    <definedName name="solver_adj" localSheetId="0" hidden="1">Pilote!$E$6,Pilote!$E$10,Pilote!$E$12,Pilote!$F$43,Pilote!$G$43,Pilote!$H$43,Pilote!$I$43,Pilote!$J$43,Pilote!$K$43,Pilote!$L$43,Pilote!$M$43,Pilote!$N$43,Pilote!$O$43</definedName>
    <definedName name="solver_cvg" localSheetId="0" hidden="1">0.0001</definedName>
    <definedName name="solver_drv" localSheetId="0" hidden="1">2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Pilote!$E$6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Pilote!$H$18</definedName>
    <definedName name="solver_pre" localSheetId="0" hidden="1">0.000001</definedName>
    <definedName name="solver_rbv" localSheetId="0" hidden="1">2</definedName>
    <definedName name="solver_rel1" localSheetId="0" hidden="1">3</definedName>
    <definedName name="solver_rhs1" localSheetId="0" hidden="1">Pilote!$F$50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0.1</definedName>
    <definedName name="solver_ver" localSheetId="0" hidden="1">3</definedName>
  </definedNames>
  <calcPr calcId="145621" iterate="1"/>
</workbook>
</file>

<file path=xl/calcChain.xml><?xml version="1.0" encoding="utf-8"?>
<calcChain xmlns="http://schemas.openxmlformats.org/spreadsheetml/2006/main">
  <c r="E69" i="1" l="1"/>
  <c r="P11" i="1"/>
  <c r="O11" i="1"/>
  <c r="AM37" i="1" l="1"/>
  <c r="AM38" i="1"/>
  <c r="AM36" i="1"/>
  <c r="AM33" i="1"/>
  <c r="AM32" i="1"/>
  <c r="AP31" i="1"/>
  <c r="AV20" i="1"/>
  <c r="AV27" i="1"/>
  <c r="AM39" i="1" s="1"/>
  <c r="AV26" i="1"/>
  <c r="AV24" i="1"/>
  <c r="AV23" i="1"/>
  <c r="AM35" i="1" s="1"/>
  <c r="AV22" i="1"/>
  <c r="AM34" i="1" s="1"/>
  <c r="AV21" i="1"/>
  <c r="BB19" i="1"/>
  <c r="AS31" i="1" s="1"/>
  <c r="BA19" i="1"/>
  <c r="AR31" i="1" s="1"/>
  <c r="AZ19" i="1"/>
  <c r="AQ31" i="1" s="1"/>
  <c r="AY19" i="1"/>
  <c r="AX19" i="1"/>
  <c r="AO31" i="1" s="1"/>
  <c r="AW19" i="1"/>
  <c r="AN31" i="1" s="1"/>
  <c r="AU17" i="1"/>
  <c r="AL17" i="1" l="1"/>
  <c r="C56" i="1" l="1"/>
  <c r="F12" i="1"/>
  <c r="F24" i="1"/>
  <c r="G24" i="1" s="1"/>
  <c r="H24" i="1" s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S24" i="1" s="1"/>
  <c r="T24" i="1" s="1"/>
  <c r="U24" i="1" s="1"/>
  <c r="V24" i="1" s="1"/>
  <c r="W24" i="1" s="1"/>
  <c r="X24" i="1" s="1"/>
  <c r="Y24" i="1" s="1"/>
  <c r="Z24" i="1" s="1"/>
  <c r="AA24" i="1" s="1"/>
  <c r="AB24" i="1" s="1"/>
  <c r="AC24" i="1" s="1"/>
  <c r="AD24" i="1" s="1"/>
  <c r="AE24" i="1" s="1"/>
  <c r="AF24" i="1" s="1"/>
  <c r="AG24" i="1" s="1"/>
  <c r="F25" i="1"/>
  <c r="G25" i="1" s="1"/>
  <c r="H25" i="1" s="1"/>
  <c r="I25" i="1" s="1"/>
  <c r="J25" i="1" s="1"/>
  <c r="K25" i="1" s="1"/>
  <c r="L25" i="1" s="1"/>
  <c r="M25" i="1" s="1"/>
  <c r="N25" i="1" s="1"/>
  <c r="B56" i="1" l="1"/>
  <c r="BG4" i="1"/>
  <c r="AO4" i="1"/>
  <c r="AX4" i="1"/>
  <c r="O25" i="1"/>
  <c r="O37" i="1" s="1"/>
  <c r="H38" i="1"/>
  <c r="I37" i="1"/>
  <c r="M37" i="1"/>
  <c r="G37" i="1"/>
  <c r="K37" i="1"/>
  <c r="H37" i="1"/>
  <c r="L37" i="1"/>
  <c r="F37" i="1"/>
  <c r="J37" i="1"/>
  <c r="N37" i="1"/>
  <c r="BD4" i="1"/>
  <c r="P25" i="1" l="1"/>
  <c r="I38" i="1"/>
  <c r="AU4" i="1"/>
  <c r="Q25" i="1" l="1"/>
  <c r="P37" i="1"/>
  <c r="J38" i="1"/>
  <c r="H7" i="1"/>
  <c r="AH47" i="1"/>
  <c r="AH45" i="1"/>
  <c r="R25" i="1" l="1"/>
  <c r="Q37" i="1"/>
  <c r="K38" i="1"/>
  <c r="S25" i="1" l="1"/>
  <c r="R37" i="1"/>
  <c r="L38" i="1"/>
  <c r="G6" i="1"/>
  <c r="T25" i="1" l="1"/>
  <c r="S37" i="1"/>
  <c r="M38" i="1"/>
  <c r="E27" i="1"/>
  <c r="B55" i="1"/>
  <c r="G8" i="1"/>
  <c r="B42" i="1"/>
  <c r="L42" i="1" s="1"/>
  <c r="B41" i="1"/>
  <c r="L41" i="1" s="1"/>
  <c r="B40" i="1"/>
  <c r="B39" i="1"/>
  <c r="E30" i="1"/>
  <c r="G9" i="1"/>
  <c r="B57" i="1" s="1"/>
  <c r="C57" i="1" s="1"/>
  <c r="G10" i="1" l="1"/>
  <c r="I39" i="1"/>
  <c r="J39" i="1"/>
  <c r="K39" i="1"/>
  <c r="L39" i="1"/>
  <c r="I40" i="1"/>
  <c r="J40" i="1"/>
  <c r="K40" i="1"/>
  <c r="M40" i="1"/>
  <c r="I41" i="1"/>
  <c r="J41" i="1"/>
  <c r="K41" i="1"/>
  <c r="I42" i="1"/>
  <c r="J42" i="1"/>
  <c r="K42" i="1"/>
  <c r="L40" i="1"/>
  <c r="F39" i="1"/>
  <c r="G39" i="1"/>
  <c r="H39" i="1"/>
  <c r="H43" i="1" s="1"/>
  <c r="F41" i="1"/>
  <c r="G41" i="1"/>
  <c r="H41" i="1"/>
  <c r="F40" i="1"/>
  <c r="G40" i="1"/>
  <c r="H40" i="1"/>
  <c r="F59" i="1"/>
  <c r="F42" i="1"/>
  <c r="G42" i="1"/>
  <c r="H42" i="1"/>
  <c r="U25" i="1"/>
  <c r="T37" i="1"/>
  <c r="M42" i="1"/>
  <c r="M39" i="1"/>
  <c r="N38" i="1"/>
  <c r="M41" i="1"/>
  <c r="G7" i="1"/>
  <c r="E71" i="1"/>
  <c r="E79" i="1" s="1"/>
  <c r="G43" i="1" l="1"/>
  <c r="I43" i="1"/>
  <c r="K43" i="1"/>
  <c r="J43" i="1"/>
  <c r="M43" i="1"/>
  <c r="L43" i="1"/>
  <c r="L66" i="1" s="1"/>
  <c r="L69" i="1" s="1"/>
  <c r="L68" i="1" s="1"/>
  <c r="F43" i="1"/>
  <c r="I49" i="1"/>
  <c r="G66" i="1"/>
  <c r="G69" i="1" s="1"/>
  <c r="O38" i="1"/>
  <c r="N40" i="1"/>
  <c r="N41" i="1"/>
  <c r="N39" i="1"/>
  <c r="N42" i="1"/>
  <c r="V25" i="1"/>
  <c r="U37" i="1"/>
  <c r="M66" i="1"/>
  <c r="M69" i="1" s="1"/>
  <c r="G59" i="1"/>
  <c r="G26" i="1" s="1"/>
  <c r="N43" i="1" l="1"/>
  <c r="L46" i="1"/>
  <c r="L49" i="1"/>
  <c r="L48" i="1"/>
  <c r="L71" i="1"/>
  <c r="J66" i="1"/>
  <c r="J69" i="1" s="1"/>
  <c r="J48" i="1"/>
  <c r="J49" i="1"/>
  <c r="J46" i="1"/>
  <c r="K66" i="1"/>
  <c r="K69" i="1" s="1"/>
  <c r="K48" i="1"/>
  <c r="K49" i="1"/>
  <c r="K46" i="1"/>
  <c r="G49" i="1"/>
  <c r="H66" i="1"/>
  <c r="H69" i="1" s="1"/>
  <c r="H49" i="1"/>
  <c r="G71" i="1"/>
  <c r="G68" i="1"/>
  <c r="G31" i="1"/>
  <c r="G27" i="1"/>
  <c r="M71" i="1"/>
  <c r="M68" i="1"/>
  <c r="N66" i="1"/>
  <c r="N69" i="1" s="1"/>
  <c r="P38" i="1"/>
  <c r="O40" i="1"/>
  <c r="O39" i="1"/>
  <c r="O42" i="1"/>
  <c r="O41" i="1"/>
  <c r="W25" i="1"/>
  <c r="V37" i="1"/>
  <c r="M48" i="1"/>
  <c r="M49" i="1"/>
  <c r="M46" i="1"/>
  <c r="H59" i="1"/>
  <c r="F58" i="1"/>
  <c r="F60" i="1" s="1"/>
  <c r="O43" i="1" l="1"/>
  <c r="L50" i="1"/>
  <c r="L52" i="1" s="1"/>
  <c r="L67" i="1" s="1"/>
  <c r="L70" i="1" s="1"/>
  <c r="K68" i="1"/>
  <c r="K71" i="1"/>
  <c r="J68" i="1"/>
  <c r="J71" i="1"/>
  <c r="K50" i="1"/>
  <c r="K52" i="1" s="1"/>
  <c r="K67" i="1" s="1"/>
  <c r="J50" i="1"/>
  <c r="J52" i="1" s="1"/>
  <c r="J67" i="1" s="1"/>
  <c r="H68" i="1"/>
  <c r="H71" i="1"/>
  <c r="I59" i="1"/>
  <c r="I26" i="1" s="1"/>
  <c r="H26" i="1"/>
  <c r="N46" i="1"/>
  <c r="N49" i="1"/>
  <c r="N48" i="1"/>
  <c r="N71" i="1"/>
  <c r="N68" i="1"/>
  <c r="O66" i="1"/>
  <c r="O69" i="1" s="1"/>
  <c r="Q38" i="1"/>
  <c r="P42" i="1"/>
  <c r="P40" i="1"/>
  <c r="P41" i="1"/>
  <c r="P39" i="1"/>
  <c r="X25" i="1"/>
  <c r="W37" i="1"/>
  <c r="M50" i="1"/>
  <c r="M52" i="1" s="1"/>
  <c r="M67" i="1" s="1"/>
  <c r="M70" i="1" s="1"/>
  <c r="L73" i="1" l="1"/>
  <c r="J73" i="1"/>
  <c r="K70" i="1"/>
  <c r="K73" i="1"/>
  <c r="M73" i="1"/>
  <c r="J70" i="1"/>
  <c r="J59" i="1"/>
  <c r="J26" i="1" s="1"/>
  <c r="J27" i="1" s="1"/>
  <c r="H31" i="1"/>
  <c r="H27" i="1"/>
  <c r="I31" i="1"/>
  <c r="I27" i="1"/>
  <c r="N50" i="1"/>
  <c r="N52" i="1" s="1"/>
  <c r="N67" i="1" s="1"/>
  <c r="N70" i="1" s="1"/>
  <c r="O68" i="1"/>
  <c r="O71" i="1"/>
  <c r="P43" i="1"/>
  <c r="P66" i="1" s="1"/>
  <c r="P69" i="1" s="1"/>
  <c r="R38" i="1"/>
  <c r="Q41" i="1"/>
  <c r="Q42" i="1"/>
  <c r="Q40" i="1"/>
  <c r="Q39" i="1"/>
  <c r="O46" i="1"/>
  <c r="O48" i="1"/>
  <c r="O49" i="1"/>
  <c r="Y25" i="1"/>
  <c r="X37" i="1"/>
  <c r="F26" i="1"/>
  <c r="F62" i="1"/>
  <c r="F28" i="1"/>
  <c r="F61" i="1"/>
  <c r="F63" i="1" s="1"/>
  <c r="G58" i="1" s="1"/>
  <c r="G60" i="1" s="1"/>
  <c r="G28" i="1" s="1"/>
  <c r="K59" i="1" l="1"/>
  <c r="K26" i="1" s="1"/>
  <c r="K27" i="1" s="1"/>
  <c r="N73" i="1"/>
  <c r="J31" i="1"/>
  <c r="S38" i="1"/>
  <c r="R39" i="1"/>
  <c r="R42" i="1"/>
  <c r="R40" i="1"/>
  <c r="R41" i="1"/>
  <c r="P71" i="1"/>
  <c r="P68" i="1"/>
  <c r="O50" i="1"/>
  <c r="O52" i="1" s="1"/>
  <c r="O67" i="1" s="1"/>
  <c r="O70" i="1" s="1"/>
  <c r="Q43" i="1"/>
  <c r="Q66" i="1" s="1"/>
  <c r="Q69" i="1" s="1"/>
  <c r="P48" i="1"/>
  <c r="P46" i="1"/>
  <c r="P49" i="1"/>
  <c r="Z25" i="1"/>
  <c r="Y37" i="1"/>
  <c r="G62" i="1"/>
  <c r="G61" i="1"/>
  <c r="G63" i="1" s="1"/>
  <c r="H58" i="1" s="1"/>
  <c r="K31" i="1" l="1"/>
  <c r="L59" i="1"/>
  <c r="L26" i="1" s="1"/>
  <c r="L27" i="1" s="1"/>
  <c r="O73" i="1"/>
  <c r="R43" i="1"/>
  <c r="T38" i="1"/>
  <c r="S42" i="1"/>
  <c r="S41" i="1"/>
  <c r="S40" i="1"/>
  <c r="S39" i="1"/>
  <c r="Q68" i="1"/>
  <c r="Q71" i="1"/>
  <c r="Q49" i="1"/>
  <c r="Q48" i="1"/>
  <c r="Q46" i="1"/>
  <c r="P50" i="1"/>
  <c r="P52" i="1" s="1"/>
  <c r="P67" i="1" s="1"/>
  <c r="P70" i="1" s="1"/>
  <c r="AA25" i="1"/>
  <c r="Z37" i="1"/>
  <c r="H60" i="1"/>
  <c r="H28" i="1" s="1"/>
  <c r="L31" i="1" l="1"/>
  <c r="M59" i="1"/>
  <c r="M26" i="1" s="1"/>
  <c r="P73" i="1"/>
  <c r="S43" i="1"/>
  <c r="U38" i="1"/>
  <c r="T40" i="1"/>
  <c r="T39" i="1"/>
  <c r="T42" i="1"/>
  <c r="T41" i="1"/>
  <c r="R66" i="1"/>
  <c r="R69" i="1" s="1"/>
  <c r="R48" i="1"/>
  <c r="R49" i="1"/>
  <c r="R46" i="1"/>
  <c r="Q50" i="1"/>
  <c r="Q52" i="1" s="1"/>
  <c r="Q67" i="1" s="1"/>
  <c r="Q70" i="1" s="1"/>
  <c r="AB25" i="1"/>
  <c r="AA37" i="1"/>
  <c r="H62" i="1"/>
  <c r="H61" i="1"/>
  <c r="H63" i="1" s="1"/>
  <c r="I58" i="1" s="1"/>
  <c r="E8" i="1"/>
  <c r="N59" i="1" l="1"/>
  <c r="N26" i="1" s="1"/>
  <c r="N31" i="1" s="1"/>
  <c r="Q73" i="1"/>
  <c r="T43" i="1"/>
  <c r="T66" i="1" s="1"/>
  <c r="T69" i="1" s="1"/>
  <c r="T46" i="1"/>
  <c r="T48" i="1"/>
  <c r="T49" i="1"/>
  <c r="R68" i="1"/>
  <c r="R71" i="1"/>
  <c r="R50" i="1"/>
  <c r="R52" i="1" s="1"/>
  <c r="R67" i="1" s="1"/>
  <c r="V38" i="1"/>
  <c r="U42" i="1"/>
  <c r="U41" i="1"/>
  <c r="U39" i="1"/>
  <c r="U40" i="1"/>
  <c r="S48" i="1"/>
  <c r="S49" i="1"/>
  <c r="S66" i="1"/>
  <c r="S69" i="1" s="1"/>
  <c r="S46" i="1"/>
  <c r="M31" i="1"/>
  <c r="M27" i="1"/>
  <c r="AC25" i="1"/>
  <c r="AB37" i="1"/>
  <c r="I60" i="1"/>
  <c r="I28" i="1" s="1"/>
  <c r="E29" i="1"/>
  <c r="E7" i="1"/>
  <c r="F27" i="1"/>
  <c r="M11" i="1"/>
  <c r="F31" i="1"/>
  <c r="N27" i="1" l="1"/>
  <c r="O59" i="1"/>
  <c r="P59" i="1" s="1"/>
  <c r="P26" i="1" s="1"/>
  <c r="I48" i="1"/>
  <c r="R73" i="1"/>
  <c r="R70" i="1"/>
  <c r="S50" i="1"/>
  <c r="S52" i="1" s="1"/>
  <c r="S67" i="1" s="1"/>
  <c r="W38" i="1"/>
  <c r="V41" i="1"/>
  <c r="V40" i="1"/>
  <c r="V39" i="1"/>
  <c r="V42" i="1"/>
  <c r="S71" i="1"/>
  <c r="S68" i="1"/>
  <c r="U43" i="1"/>
  <c r="T71" i="1"/>
  <c r="T68" i="1"/>
  <c r="T50" i="1"/>
  <c r="T52" i="1" s="1"/>
  <c r="T67" i="1" s="1"/>
  <c r="G48" i="1"/>
  <c r="H48" i="1"/>
  <c r="F48" i="1"/>
  <c r="AD25" i="1"/>
  <c r="AC37" i="1"/>
  <c r="G46" i="1"/>
  <c r="I46" i="1"/>
  <c r="H46" i="1"/>
  <c r="F49" i="1"/>
  <c r="F46" i="1"/>
  <c r="I62" i="1"/>
  <c r="I61" i="1"/>
  <c r="I63" i="1" s="1"/>
  <c r="J58" i="1" s="1"/>
  <c r="F32" i="1"/>
  <c r="F66" i="1"/>
  <c r="F29" i="1"/>
  <c r="G29" i="1" s="1"/>
  <c r="H29" i="1" s="1"/>
  <c r="I29" i="1" s="1"/>
  <c r="J29" i="1" s="1"/>
  <c r="K29" i="1" s="1"/>
  <c r="L29" i="1" s="1"/>
  <c r="M29" i="1" s="1"/>
  <c r="O26" i="1" l="1"/>
  <c r="O31" i="1" s="1"/>
  <c r="N29" i="1"/>
  <c r="Q59" i="1"/>
  <c r="Q26" i="1" s="1"/>
  <c r="I50" i="1"/>
  <c r="I52" i="1" s="1"/>
  <c r="T73" i="1"/>
  <c r="S73" i="1"/>
  <c r="V43" i="1"/>
  <c r="V66" i="1" s="1"/>
  <c r="V69" i="1" s="1"/>
  <c r="S70" i="1"/>
  <c r="U66" i="1"/>
  <c r="U69" i="1" s="1"/>
  <c r="U48" i="1"/>
  <c r="U46" i="1"/>
  <c r="U49" i="1"/>
  <c r="V48" i="1"/>
  <c r="V49" i="1"/>
  <c r="V46" i="1"/>
  <c r="T70" i="1"/>
  <c r="X38" i="1"/>
  <c r="W41" i="1"/>
  <c r="W40" i="1"/>
  <c r="W39" i="1"/>
  <c r="W42" i="1"/>
  <c r="G32" i="1"/>
  <c r="H32" i="1" s="1"/>
  <c r="H50" i="1"/>
  <c r="H52" i="1" s="1"/>
  <c r="H67" i="1" s="1"/>
  <c r="G50" i="1"/>
  <c r="G52" i="1" s="1"/>
  <c r="G67" i="1" s="1"/>
  <c r="P31" i="1"/>
  <c r="P27" i="1"/>
  <c r="AE25" i="1"/>
  <c r="AD37" i="1"/>
  <c r="J60" i="1"/>
  <c r="J28" i="1" s="1"/>
  <c r="F33" i="1"/>
  <c r="F44" i="1" s="1"/>
  <c r="I66" i="1"/>
  <c r="I69" i="1" s="1"/>
  <c r="I71" i="1" s="1"/>
  <c r="F69" i="1"/>
  <c r="R59" i="1" l="1"/>
  <c r="S59" i="1" s="1"/>
  <c r="S26" i="1" s="1"/>
  <c r="O27" i="1"/>
  <c r="O29" i="1" s="1"/>
  <c r="P29" i="1" s="1"/>
  <c r="G70" i="1"/>
  <c r="H70" i="1"/>
  <c r="H73" i="1"/>
  <c r="F76" i="1"/>
  <c r="Y38" i="1"/>
  <c r="X40" i="1"/>
  <c r="X39" i="1"/>
  <c r="X41" i="1"/>
  <c r="X42" i="1"/>
  <c r="V71" i="1"/>
  <c r="V68" i="1"/>
  <c r="U50" i="1"/>
  <c r="U52" i="1" s="1"/>
  <c r="U67" i="1" s="1"/>
  <c r="W43" i="1"/>
  <c r="V50" i="1"/>
  <c r="V52" i="1" s="1"/>
  <c r="V67" i="1" s="1"/>
  <c r="U71" i="1"/>
  <c r="U68" i="1"/>
  <c r="G33" i="1"/>
  <c r="G44" i="1" s="1"/>
  <c r="I32" i="1"/>
  <c r="I33" i="1" s="1"/>
  <c r="I44" i="1" s="1"/>
  <c r="H33" i="1"/>
  <c r="H44" i="1" s="1"/>
  <c r="Q31" i="1"/>
  <c r="Q27" i="1"/>
  <c r="AF25" i="1"/>
  <c r="AE37" i="1"/>
  <c r="J62" i="1"/>
  <c r="J61" i="1"/>
  <c r="J63" i="1" s="1"/>
  <c r="K58" i="1" s="1"/>
  <c r="I67" i="1"/>
  <c r="F71" i="1"/>
  <c r="F50" i="1"/>
  <c r="N11" i="1" s="1"/>
  <c r="F68" i="1"/>
  <c r="I68" i="1"/>
  <c r="R26" i="1" l="1"/>
  <c r="R31" i="1" s="1"/>
  <c r="T59" i="1"/>
  <c r="T26" i="1" s="1"/>
  <c r="T27" i="1" s="1"/>
  <c r="U73" i="1"/>
  <c r="F52" i="1"/>
  <c r="F67" i="1" s="1"/>
  <c r="F73" i="1" s="1"/>
  <c r="V73" i="1"/>
  <c r="I73" i="1"/>
  <c r="Q29" i="1"/>
  <c r="V70" i="1"/>
  <c r="U70" i="1"/>
  <c r="X43" i="1"/>
  <c r="W46" i="1"/>
  <c r="W66" i="1"/>
  <c r="W69" i="1" s="1"/>
  <c r="W48" i="1"/>
  <c r="W49" i="1"/>
  <c r="Z38" i="1"/>
  <c r="Y40" i="1"/>
  <c r="Y39" i="1"/>
  <c r="Y42" i="1"/>
  <c r="Y41" i="1"/>
  <c r="J32" i="1"/>
  <c r="K32" i="1" s="1"/>
  <c r="K33" i="1" s="1"/>
  <c r="K44" i="1" s="1"/>
  <c r="S31" i="1"/>
  <c r="S27" i="1"/>
  <c r="AG25" i="1"/>
  <c r="AF37" i="1"/>
  <c r="K60" i="1"/>
  <c r="K28" i="1" s="1"/>
  <c r="I70" i="1"/>
  <c r="T31" i="1" l="1"/>
  <c r="U59" i="1"/>
  <c r="V59" i="1" s="1"/>
  <c r="R27" i="1"/>
  <c r="R29" i="1" s="1"/>
  <c r="S29" i="1" s="1"/>
  <c r="T29" i="1" s="1"/>
  <c r="F70" i="1"/>
  <c r="W50" i="1"/>
  <c r="W52" i="1" s="1"/>
  <c r="W67" i="1" s="1"/>
  <c r="W68" i="1"/>
  <c r="W71" i="1"/>
  <c r="AA38" i="1"/>
  <c r="Z41" i="1"/>
  <c r="Z40" i="1"/>
  <c r="Z39" i="1"/>
  <c r="Z42" i="1"/>
  <c r="X46" i="1"/>
  <c r="X48" i="1"/>
  <c r="X66" i="1"/>
  <c r="X69" i="1" s="1"/>
  <c r="X49" i="1"/>
  <c r="Y43" i="1"/>
  <c r="J33" i="1"/>
  <c r="J44" i="1" s="1"/>
  <c r="L32" i="1"/>
  <c r="L33" i="1" s="1"/>
  <c r="L44" i="1" s="1"/>
  <c r="AG37" i="1"/>
  <c r="K62" i="1"/>
  <c r="K61" i="1"/>
  <c r="K63" i="1" s="1"/>
  <c r="L58" i="1" s="1"/>
  <c r="U26" i="1" l="1"/>
  <c r="U31" i="1" s="1"/>
  <c r="W73" i="1"/>
  <c r="M32" i="1"/>
  <c r="M33" i="1" s="1"/>
  <c r="M44" i="1" s="1"/>
  <c r="F74" i="1"/>
  <c r="W70" i="1"/>
  <c r="X71" i="1"/>
  <c r="X68" i="1"/>
  <c r="Z43" i="1"/>
  <c r="AB38" i="1"/>
  <c r="AA41" i="1"/>
  <c r="AA40" i="1"/>
  <c r="AA39" i="1"/>
  <c r="AA42" i="1"/>
  <c r="Y46" i="1"/>
  <c r="Y49" i="1"/>
  <c r="Y66" i="1"/>
  <c r="Y69" i="1" s="1"/>
  <c r="Y48" i="1"/>
  <c r="X50" i="1"/>
  <c r="X52" i="1" s="1"/>
  <c r="X67" i="1" s="1"/>
  <c r="V26" i="1"/>
  <c r="W59" i="1"/>
  <c r="L60" i="1"/>
  <c r="L28" i="1" s="1"/>
  <c r="U27" i="1" l="1"/>
  <c r="U29" i="1" s="1"/>
  <c r="N32" i="1"/>
  <c r="N33" i="1" s="1"/>
  <c r="N44" i="1" s="1"/>
  <c r="F77" i="1"/>
  <c r="X73" i="1"/>
  <c r="F75" i="1"/>
  <c r="G73" i="1" s="1"/>
  <c r="AC38" i="1"/>
  <c r="AB40" i="1"/>
  <c r="AB39" i="1"/>
  <c r="AB42" i="1"/>
  <c r="AB41" i="1"/>
  <c r="Y68" i="1"/>
  <c r="Y71" i="1"/>
  <c r="AA43" i="1"/>
  <c r="Z48" i="1"/>
  <c r="Z66" i="1"/>
  <c r="Z69" i="1" s="1"/>
  <c r="Z49" i="1"/>
  <c r="Z46" i="1"/>
  <c r="X70" i="1"/>
  <c r="Y50" i="1"/>
  <c r="Y52" i="1" s="1"/>
  <c r="Y67" i="1" s="1"/>
  <c r="X59" i="1"/>
  <c r="Y59" i="1" s="1"/>
  <c r="Y26" i="1" s="1"/>
  <c r="W26" i="1"/>
  <c r="V31" i="1"/>
  <c r="V27" i="1"/>
  <c r="L62" i="1"/>
  <c r="L61" i="1"/>
  <c r="L63" i="1" s="1"/>
  <c r="M58" i="1" s="1"/>
  <c r="V29" i="1" l="1"/>
  <c r="O32" i="1"/>
  <c r="O33" i="1" s="1"/>
  <c r="O44" i="1" s="1"/>
  <c r="Y70" i="1"/>
  <c r="F78" i="1"/>
  <c r="G76" i="1" s="1"/>
  <c r="G74" i="1" s="1"/>
  <c r="F79" i="1"/>
  <c r="Y73" i="1"/>
  <c r="Z50" i="1"/>
  <c r="Z52" i="1" s="1"/>
  <c r="Z67" i="1" s="1"/>
  <c r="AB43" i="1"/>
  <c r="AA49" i="1"/>
  <c r="AA46" i="1"/>
  <c r="AA48" i="1"/>
  <c r="AA66" i="1"/>
  <c r="AA69" i="1" s="1"/>
  <c r="Z68" i="1"/>
  <c r="Z71" i="1"/>
  <c r="AD38" i="1"/>
  <c r="AC40" i="1"/>
  <c r="AC39" i="1"/>
  <c r="AC42" i="1"/>
  <c r="AC41" i="1"/>
  <c r="X26" i="1"/>
  <c r="Z59" i="1"/>
  <c r="W31" i="1"/>
  <c r="W27" i="1"/>
  <c r="Y31" i="1"/>
  <c r="Y27" i="1"/>
  <c r="M60" i="1"/>
  <c r="M28" i="1" s="1"/>
  <c r="W29" i="1" l="1"/>
  <c r="P32" i="1"/>
  <c r="P33" i="1" s="1"/>
  <c r="P44" i="1" s="1"/>
  <c r="G75" i="1"/>
  <c r="G77" i="1"/>
  <c r="Z73" i="1"/>
  <c r="Z70" i="1"/>
  <c r="AC43" i="1"/>
  <c r="AC46" i="1" s="1"/>
  <c r="AC49" i="1"/>
  <c r="AA71" i="1"/>
  <c r="AA68" i="1"/>
  <c r="AE38" i="1"/>
  <c r="AD40" i="1"/>
  <c r="AD39" i="1"/>
  <c r="AD42" i="1"/>
  <c r="AD41" i="1"/>
  <c r="AB66" i="1"/>
  <c r="AB48" i="1"/>
  <c r="AB49" i="1"/>
  <c r="AB46" i="1"/>
  <c r="AA50" i="1"/>
  <c r="AA52" i="1" s="1"/>
  <c r="AA67" i="1" s="1"/>
  <c r="X31" i="1"/>
  <c r="X27" i="1"/>
  <c r="AA59" i="1"/>
  <c r="Z26" i="1"/>
  <c r="M62" i="1"/>
  <c r="M61" i="1"/>
  <c r="M63" i="1" s="1"/>
  <c r="N58" i="1" s="1"/>
  <c r="X29" i="1" l="1"/>
  <c r="Y29" i="1" s="1"/>
  <c r="Q32" i="1"/>
  <c r="AA73" i="1"/>
  <c r="G78" i="1"/>
  <c r="H76" i="1" s="1"/>
  <c r="H74" i="1" s="1"/>
  <c r="G79" i="1"/>
  <c r="AA70" i="1"/>
  <c r="AC66" i="1"/>
  <c r="AC69" i="1" s="1"/>
  <c r="AC71" i="1" s="1"/>
  <c r="AC48" i="1"/>
  <c r="AC50" i="1" s="1"/>
  <c r="AC52" i="1" s="1"/>
  <c r="AC67" i="1" s="1"/>
  <c r="AB50" i="1"/>
  <c r="AB52" i="1" s="1"/>
  <c r="AB67" i="1" s="1"/>
  <c r="AF38" i="1"/>
  <c r="AE39" i="1"/>
  <c r="AE42" i="1"/>
  <c r="AE41" i="1"/>
  <c r="AE40" i="1"/>
  <c r="AD43" i="1"/>
  <c r="AB69" i="1"/>
  <c r="Z31" i="1"/>
  <c r="Z27" i="1"/>
  <c r="AA26" i="1"/>
  <c r="AB59" i="1"/>
  <c r="N60" i="1"/>
  <c r="N28" i="1" s="1"/>
  <c r="Z29" i="1" l="1"/>
  <c r="R32" i="1"/>
  <c r="Q33" i="1"/>
  <c r="Q44" i="1" s="1"/>
  <c r="H77" i="1"/>
  <c r="H75" i="1"/>
  <c r="AC68" i="1"/>
  <c r="AC73" i="1" s="1"/>
  <c r="AB68" i="1"/>
  <c r="AB71" i="1"/>
  <c r="AG38" i="1"/>
  <c r="AF39" i="1"/>
  <c r="AF41" i="1"/>
  <c r="AF42" i="1"/>
  <c r="AF40" i="1"/>
  <c r="AD46" i="1"/>
  <c r="AD49" i="1"/>
  <c r="AD48" i="1"/>
  <c r="AD66" i="1"/>
  <c r="AE43" i="1"/>
  <c r="AA31" i="1"/>
  <c r="AA27" i="1"/>
  <c r="AC59" i="1"/>
  <c r="AD59" i="1" s="1"/>
  <c r="AD26" i="1" s="1"/>
  <c r="AB26" i="1"/>
  <c r="N62" i="1"/>
  <c r="N61" i="1"/>
  <c r="N63" i="1" s="1"/>
  <c r="O58" i="1" s="1"/>
  <c r="AA29" i="1" l="1"/>
  <c r="R33" i="1"/>
  <c r="R44" i="1" s="1"/>
  <c r="S32" i="1"/>
  <c r="T32" i="1" s="1"/>
  <c r="T33" i="1" s="1"/>
  <c r="T44" i="1" s="1"/>
  <c r="AC70" i="1"/>
  <c r="H78" i="1"/>
  <c r="I76" i="1" s="1"/>
  <c r="I74" i="1" s="1"/>
  <c r="I77" i="1" s="1"/>
  <c r="H79" i="1"/>
  <c r="AB70" i="1"/>
  <c r="AB73" i="1"/>
  <c r="AG42" i="1"/>
  <c r="AH42" i="1" s="1"/>
  <c r="AG41" i="1"/>
  <c r="AH41" i="1" s="1"/>
  <c r="AG40" i="1"/>
  <c r="AH40" i="1" s="1"/>
  <c r="AG39" i="1"/>
  <c r="AE48" i="1"/>
  <c r="AE46" i="1"/>
  <c r="AE66" i="1"/>
  <c r="AE69" i="1" s="1"/>
  <c r="AE49" i="1"/>
  <c r="AD69" i="1"/>
  <c r="AD50" i="1"/>
  <c r="AF43" i="1"/>
  <c r="AD31" i="1"/>
  <c r="AD27" i="1"/>
  <c r="AB31" i="1"/>
  <c r="AB27" i="1"/>
  <c r="AC26" i="1"/>
  <c r="AE59" i="1"/>
  <c r="AE26" i="1" s="1"/>
  <c r="O60" i="1"/>
  <c r="O28" i="1" s="1"/>
  <c r="AB29" i="1" l="1"/>
  <c r="S33" i="1"/>
  <c r="S44" i="1" s="1"/>
  <c r="U32" i="1"/>
  <c r="I75" i="1"/>
  <c r="I78" i="1"/>
  <c r="J76" i="1" s="1"/>
  <c r="J74" i="1" s="1"/>
  <c r="J77" i="1" s="1"/>
  <c r="I79" i="1"/>
  <c r="AF59" i="1"/>
  <c r="AF26" i="1" s="1"/>
  <c r="AF31" i="1" s="1"/>
  <c r="AE50" i="1"/>
  <c r="AE52" i="1" s="1"/>
  <c r="AE67" i="1" s="1"/>
  <c r="AF48" i="1"/>
  <c r="AF66" i="1"/>
  <c r="AF49" i="1"/>
  <c r="AF46" i="1"/>
  <c r="AD52" i="1"/>
  <c r="AG43" i="1"/>
  <c r="AH43" i="1" s="1"/>
  <c r="AH39" i="1"/>
  <c r="AE68" i="1"/>
  <c r="AE71" i="1"/>
  <c r="AD68" i="1"/>
  <c r="AD71" i="1"/>
  <c r="AE31" i="1"/>
  <c r="AE27" i="1"/>
  <c r="AC31" i="1"/>
  <c r="AC27" i="1"/>
  <c r="O62" i="1"/>
  <c r="O61" i="1"/>
  <c r="O63" i="1" s="1"/>
  <c r="P58" i="1" s="1"/>
  <c r="AC29" i="1" l="1"/>
  <c r="AD29" i="1" s="1"/>
  <c r="AE29" i="1" s="1"/>
  <c r="AE73" i="1"/>
  <c r="U33" i="1"/>
  <c r="U44" i="1" s="1"/>
  <c r="V32" i="1"/>
  <c r="J78" i="1"/>
  <c r="K76" i="1" s="1"/>
  <c r="K74" i="1" s="1"/>
  <c r="K77" i="1" s="1"/>
  <c r="J79" i="1"/>
  <c r="J75" i="1"/>
  <c r="AE70" i="1"/>
  <c r="AF27" i="1"/>
  <c r="AG59" i="1"/>
  <c r="AG26" i="1" s="1"/>
  <c r="AG27" i="1" s="1"/>
  <c r="G16" i="1"/>
  <c r="F16" i="1" s="1"/>
  <c r="AI45" i="1"/>
  <c r="AI47" i="1"/>
  <c r="AG46" i="1"/>
  <c r="AG49" i="1"/>
  <c r="AH49" i="1" s="1"/>
  <c r="AI49" i="1" s="1"/>
  <c r="AG48" i="1"/>
  <c r="AH48" i="1" s="1"/>
  <c r="AI48" i="1" s="1"/>
  <c r="AG66" i="1"/>
  <c r="AG69" i="1" s="1"/>
  <c r="AD67" i="1"/>
  <c r="AD73" i="1" s="1"/>
  <c r="AF69" i="1"/>
  <c r="AF50" i="1"/>
  <c r="P60" i="1"/>
  <c r="P28" i="1" s="1"/>
  <c r="W32" i="1" l="1"/>
  <c r="V33" i="1"/>
  <c r="V44" i="1" s="1"/>
  <c r="K75" i="1"/>
  <c r="K78" i="1"/>
  <c r="L76" i="1" s="1"/>
  <c r="L74" i="1" s="1"/>
  <c r="L77" i="1" s="1"/>
  <c r="K79" i="1"/>
  <c r="AG31" i="1"/>
  <c r="AF29" i="1"/>
  <c r="AG29" i="1" s="1"/>
  <c r="AF52" i="1"/>
  <c r="AF71" i="1"/>
  <c r="AF68" i="1"/>
  <c r="AH69" i="1"/>
  <c r="AG68" i="1"/>
  <c r="AG71" i="1"/>
  <c r="AI71" i="1" s="1"/>
  <c r="AD70" i="1"/>
  <c r="AH66" i="1"/>
  <c r="AG50" i="1"/>
  <c r="AG52" i="1" s="1"/>
  <c r="AG67" i="1" s="1"/>
  <c r="AH46" i="1"/>
  <c r="AI46" i="1" s="1"/>
  <c r="P62" i="1"/>
  <c r="P61" i="1"/>
  <c r="P63" i="1" s="1"/>
  <c r="Q58" i="1" s="1"/>
  <c r="W33" i="1" l="1"/>
  <c r="W44" i="1" s="1"/>
  <c r="X32" i="1"/>
  <c r="L78" i="1"/>
  <c r="M76" i="1" s="1"/>
  <c r="M74" i="1" s="1"/>
  <c r="M77" i="1" s="1"/>
  <c r="L79" i="1"/>
  <c r="L75" i="1"/>
  <c r="AG73" i="1"/>
  <c r="AH50" i="1"/>
  <c r="AI50" i="1" s="1"/>
  <c r="AH68" i="1"/>
  <c r="G20" i="1" s="1"/>
  <c r="AG70" i="1"/>
  <c r="AH71" i="1"/>
  <c r="G18" i="1"/>
  <c r="AV19" i="1" s="1"/>
  <c r="G17" i="1"/>
  <c r="F17" i="1" s="1"/>
  <c r="AF67" i="1"/>
  <c r="AH67" i="1" s="1"/>
  <c r="AH52" i="1"/>
  <c r="Q60" i="1"/>
  <c r="Q28" i="1" s="1"/>
  <c r="Y32" i="1" l="1"/>
  <c r="X33" i="1"/>
  <c r="X44" i="1" s="1"/>
  <c r="M75" i="1"/>
  <c r="M78" i="1"/>
  <c r="N76" i="1" s="1"/>
  <c r="N74" i="1" s="1"/>
  <c r="N77" i="1" s="1"/>
  <c r="M79" i="1"/>
  <c r="AF73" i="1"/>
  <c r="AM6" i="1"/>
  <c r="H18" i="1"/>
  <c r="H12" i="1"/>
  <c r="F18" i="1"/>
  <c r="F20" i="1"/>
  <c r="BE6" i="1"/>
  <c r="G15" i="1"/>
  <c r="F15" i="1" s="1"/>
  <c r="AI52" i="1"/>
  <c r="AF70" i="1"/>
  <c r="Q62" i="1"/>
  <c r="Q61" i="1"/>
  <c r="Q63" i="1" s="1"/>
  <c r="R58" i="1" s="1"/>
  <c r="AH59" i="1"/>
  <c r="AI59" i="1" s="1"/>
  <c r="AM31" i="1" l="1"/>
  <c r="L11" i="1"/>
  <c r="Z32" i="1"/>
  <c r="Y33" i="1"/>
  <c r="Y44" i="1" s="1"/>
  <c r="N78" i="1"/>
  <c r="O76" i="1" s="1"/>
  <c r="O74" i="1" s="1"/>
  <c r="O77" i="1" s="1"/>
  <c r="N79" i="1"/>
  <c r="N75" i="1"/>
  <c r="AH70" i="1"/>
  <c r="R60" i="1"/>
  <c r="R28" i="1" s="1"/>
  <c r="B27" i="1"/>
  <c r="AH26" i="1"/>
  <c r="L34" i="1" s="1"/>
  <c r="Z33" i="1" l="1"/>
  <c r="Z44" i="1" s="1"/>
  <c r="AA32" i="1"/>
  <c r="O78" i="1"/>
  <c r="P76" i="1" s="1"/>
  <c r="P74" i="1" s="1"/>
  <c r="P77" i="1" s="1"/>
  <c r="O79" i="1"/>
  <c r="O75" i="1"/>
  <c r="G19" i="1"/>
  <c r="AV6" i="1"/>
  <c r="R62" i="1"/>
  <c r="R61" i="1"/>
  <c r="R63" i="1" s="1"/>
  <c r="S58" i="1" s="1"/>
  <c r="H9" i="1"/>
  <c r="AH29" i="1"/>
  <c r="AH27" i="1"/>
  <c r="AH31" i="1"/>
  <c r="H19" i="1" l="1"/>
  <c r="AM19" i="1"/>
  <c r="AB32" i="1"/>
  <c r="AB33" i="1" s="1"/>
  <c r="AB44" i="1" s="1"/>
  <c r="AA33" i="1"/>
  <c r="AA44" i="1" s="1"/>
  <c r="P78" i="1"/>
  <c r="Q76" i="1" s="1"/>
  <c r="Q74" i="1" s="1"/>
  <c r="Q77" i="1" s="1"/>
  <c r="P79" i="1"/>
  <c r="P75" i="1"/>
  <c r="F19" i="1"/>
  <c r="S60" i="1"/>
  <c r="S28" i="1" s="1"/>
  <c r="AC32" i="1" l="1"/>
  <c r="Q75" i="1"/>
  <c r="Q78" i="1"/>
  <c r="R76" i="1" s="1"/>
  <c r="R74" i="1" s="1"/>
  <c r="R77" i="1" s="1"/>
  <c r="Q79" i="1"/>
  <c r="S62" i="1"/>
  <c r="S61" i="1"/>
  <c r="S63" i="1" s="1"/>
  <c r="T58" i="1" s="1"/>
  <c r="AC33" i="1" l="1"/>
  <c r="AC44" i="1" s="1"/>
  <c r="AD32" i="1"/>
  <c r="R78" i="1"/>
  <c r="S76" i="1" s="1"/>
  <c r="S74" i="1" s="1"/>
  <c r="S77" i="1" s="1"/>
  <c r="R79" i="1"/>
  <c r="R75" i="1"/>
  <c r="T60" i="1"/>
  <c r="T28" i="1" s="1"/>
  <c r="AE32" i="1" l="1"/>
  <c r="AE33" i="1" s="1"/>
  <c r="AE44" i="1" s="1"/>
  <c r="AD33" i="1"/>
  <c r="AD44" i="1" s="1"/>
  <c r="S75" i="1"/>
  <c r="S78" i="1"/>
  <c r="T76" i="1" s="1"/>
  <c r="T74" i="1" s="1"/>
  <c r="T77" i="1" s="1"/>
  <c r="S79" i="1"/>
  <c r="T62" i="1"/>
  <c r="T61" i="1"/>
  <c r="T63" i="1" s="1"/>
  <c r="U58" i="1" s="1"/>
  <c r="AF32" i="1" l="1"/>
  <c r="T78" i="1"/>
  <c r="U76" i="1" s="1"/>
  <c r="U74" i="1" s="1"/>
  <c r="U77" i="1" s="1"/>
  <c r="T79" i="1"/>
  <c r="T75" i="1"/>
  <c r="U60" i="1"/>
  <c r="U28" i="1" s="1"/>
  <c r="AG32" i="1" l="1"/>
  <c r="AF33" i="1"/>
  <c r="AF44" i="1" s="1"/>
  <c r="U75" i="1"/>
  <c r="U78" i="1"/>
  <c r="V76" i="1" s="1"/>
  <c r="V74" i="1" s="1"/>
  <c r="V77" i="1" s="1"/>
  <c r="U79" i="1"/>
  <c r="U62" i="1"/>
  <c r="U61" i="1"/>
  <c r="U63" i="1" s="1"/>
  <c r="V58" i="1" s="1"/>
  <c r="AG33" i="1" l="1"/>
  <c r="AH32" i="1"/>
  <c r="V78" i="1"/>
  <c r="W76" i="1" s="1"/>
  <c r="W74" i="1" s="1"/>
  <c r="W77" i="1" s="1"/>
  <c r="V79" i="1"/>
  <c r="V75" i="1"/>
  <c r="V60" i="1"/>
  <c r="V28" i="1" s="1"/>
  <c r="AG44" i="1" l="1"/>
  <c r="AH33" i="1"/>
  <c r="W75" i="1"/>
  <c r="W78" i="1"/>
  <c r="X76" i="1" s="1"/>
  <c r="X74" i="1" s="1"/>
  <c r="X77" i="1" s="1"/>
  <c r="W79" i="1"/>
  <c r="V62" i="1"/>
  <c r="V61" i="1"/>
  <c r="V63" i="1" s="1"/>
  <c r="W58" i="1" s="1"/>
  <c r="F34" i="1" l="1"/>
  <c r="AH34" i="1" s="1"/>
  <c r="AH44" i="1"/>
  <c r="X78" i="1"/>
  <c r="Y76" i="1" s="1"/>
  <c r="Y74" i="1" s="1"/>
  <c r="Y75" i="1" s="1"/>
  <c r="X79" i="1"/>
  <c r="X75" i="1"/>
  <c r="W60" i="1"/>
  <c r="W28" i="1" s="1"/>
  <c r="Y77" i="1" l="1"/>
  <c r="W62" i="1"/>
  <c r="W61" i="1"/>
  <c r="Y78" i="1" l="1"/>
  <c r="Z76" i="1" s="1"/>
  <c r="Z74" i="1" s="1"/>
  <c r="Y79" i="1"/>
  <c r="W63" i="1"/>
  <c r="X58" i="1" s="1"/>
  <c r="Z77" i="1" l="1"/>
  <c r="Z75" i="1"/>
  <c r="X60" i="1"/>
  <c r="X28" i="1" s="1"/>
  <c r="Z78" i="1" l="1"/>
  <c r="AA76" i="1" s="1"/>
  <c r="AA74" i="1" s="1"/>
  <c r="Z79" i="1"/>
  <c r="X62" i="1"/>
  <c r="X61" i="1"/>
  <c r="AA77" i="1" l="1"/>
  <c r="AA75" i="1"/>
  <c r="X63" i="1"/>
  <c r="Y58" i="1" s="1"/>
  <c r="AA78" i="1" l="1"/>
  <c r="AB76" i="1" s="1"/>
  <c r="AB74" i="1" s="1"/>
  <c r="AA79" i="1"/>
  <c r="Y60" i="1"/>
  <c r="Y28" i="1" s="1"/>
  <c r="AB77" i="1" l="1"/>
  <c r="AB75" i="1"/>
  <c r="Y62" i="1"/>
  <c r="Y61" i="1"/>
  <c r="AB78" i="1" l="1"/>
  <c r="AC76" i="1" s="1"/>
  <c r="AC74" i="1" s="1"/>
  <c r="AB79" i="1"/>
  <c r="Y63" i="1"/>
  <c r="Z58" i="1" s="1"/>
  <c r="AC77" i="1" l="1"/>
  <c r="AC75" i="1"/>
  <c r="Z60" i="1"/>
  <c r="Z28" i="1" s="1"/>
  <c r="AC78" i="1" l="1"/>
  <c r="AD76" i="1" s="1"/>
  <c r="AD74" i="1" s="1"/>
  <c r="AC79" i="1"/>
  <c r="Z62" i="1"/>
  <c r="Z61" i="1"/>
  <c r="AD77" i="1" l="1"/>
  <c r="AD75" i="1"/>
  <c r="Z63" i="1"/>
  <c r="AA58" i="1" s="1"/>
  <c r="AD78" i="1" l="1"/>
  <c r="AE76" i="1" s="1"/>
  <c r="AE74" i="1" s="1"/>
  <c r="AD79" i="1"/>
  <c r="AA60" i="1"/>
  <c r="AA28" i="1" s="1"/>
  <c r="AE77" i="1" l="1"/>
  <c r="AE75" i="1"/>
  <c r="AA62" i="1"/>
  <c r="AA61" i="1"/>
  <c r="AE78" i="1" l="1"/>
  <c r="AF76" i="1" s="1"/>
  <c r="AF74" i="1" s="1"/>
  <c r="AE79" i="1"/>
  <c r="AA63" i="1"/>
  <c r="AB58" i="1" s="1"/>
  <c r="AF77" i="1" l="1"/>
  <c r="AF75" i="1"/>
  <c r="AB60" i="1"/>
  <c r="AB28" i="1" s="1"/>
  <c r="AF78" i="1" l="1"/>
  <c r="AG76" i="1" s="1"/>
  <c r="AG74" i="1" s="1"/>
  <c r="AF79" i="1"/>
  <c r="AB62" i="1"/>
  <c r="AB61" i="1"/>
  <c r="AB63" i="1" s="1"/>
  <c r="AC58" i="1" s="1"/>
  <c r="AG77" i="1" l="1"/>
  <c r="AG75" i="1"/>
  <c r="AC60" i="1"/>
  <c r="AC28" i="1" s="1"/>
  <c r="AG78" i="1" l="1"/>
  <c r="AG79" i="1"/>
  <c r="AC62" i="1"/>
  <c r="AC61" i="1"/>
  <c r="AC63" i="1" s="1"/>
  <c r="AD58" i="1" s="1"/>
  <c r="AI79" i="1" l="1"/>
  <c r="I18" i="1" s="1"/>
  <c r="AH79" i="1"/>
  <c r="AD60" i="1"/>
  <c r="AD28" i="1" s="1"/>
  <c r="AD62" i="1" l="1"/>
  <c r="AD61" i="1"/>
  <c r="AD63" i="1" s="1"/>
  <c r="AE58" i="1" s="1"/>
  <c r="AE60" i="1" l="1"/>
  <c r="AE28" i="1" s="1"/>
  <c r="AE62" i="1" l="1"/>
  <c r="AE61" i="1"/>
  <c r="AE63" i="1" s="1"/>
  <c r="AF58" i="1" s="1"/>
  <c r="AF60" i="1" l="1"/>
  <c r="AF28" i="1" s="1"/>
  <c r="AF62" i="1" l="1"/>
  <c r="AF61" i="1"/>
  <c r="AF63" i="1" s="1"/>
  <c r="AG58" i="1" s="1"/>
  <c r="AG60" i="1" l="1"/>
  <c r="AG28" i="1" s="1"/>
  <c r="AH58" i="1"/>
  <c r="AG62" i="1" l="1"/>
  <c r="AG61" i="1"/>
  <c r="AH28" i="1"/>
  <c r="G14" i="1" s="1"/>
  <c r="F14" i="1" s="1"/>
  <c r="AH60" i="1"/>
  <c r="AH61" i="1" l="1"/>
  <c r="AG63" i="1"/>
  <c r="AH63" i="1" s="1"/>
</calcChain>
</file>

<file path=xl/comments1.xml><?xml version="1.0" encoding="utf-8"?>
<comments xmlns="http://schemas.openxmlformats.org/spreadsheetml/2006/main">
  <authors>
    <author>Karim Antonopoulos</author>
  </authors>
  <commentList>
    <comment ref="E6" authorId="0">
      <text>
        <r>
          <rPr>
            <sz val="9"/>
            <color indexed="81"/>
            <rFont val="Tahoma"/>
            <family val="2"/>
          </rPr>
          <t xml:space="preserve">Attention: si l'investissement initial est modifier dans cette case, la production ne sera pas correlé.
Pour correler l'investissement à la production, il faut laisser EUR 135,000 en E6 et jouer avec les variations en F6
</t>
        </r>
      </text>
    </comment>
    <comment ref="F6" authorId="0">
      <text>
        <r>
          <rPr>
            <sz val="9"/>
            <color indexed="81"/>
            <rFont val="Tahoma"/>
            <family val="2"/>
          </rPr>
          <t>hypothèse: correlation entre l'investissement et la vente des éditions.
Une variation positive ou négative influencera les ventes de façon proportionnelle</t>
        </r>
      </text>
    </comment>
    <comment ref="C7" authorId="0">
      <text>
        <r>
          <rPr>
            <sz val="9"/>
            <color indexed="81"/>
            <rFont val="Tahoma"/>
            <family val="2"/>
          </rPr>
          <t xml:space="preserve">frais plateforme crowd (TTC)
</t>
        </r>
      </text>
    </comment>
    <comment ref="D7" authorId="0">
      <text>
        <r>
          <rPr>
            <sz val="9"/>
            <color indexed="81"/>
            <rFont val="Tahoma"/>
            <family val="2"/>
          </rPr>
          <t>frais PSP</t>
        </r>
      </text>
    </comment>
    <comment ref="H18" authorId="0">
      <text>
        <r>
          <rPr>
            <b/>
            <sz val="9"/>
            <color indexed="81"/>
            <rFont val="Tahoma"/>
            <family val="2"/>
          </rPr>
          <t>TRI Net Investisseur
[Vision P&amp;L]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8" authorId="0">
      <text>
        <r>
          <rPr>
            <b/>
            <sz val="9"/>
            <color indexed="81"/>
            <rFont val="Tahoma"/>
            <family val="2"/>
          </rPr>
          <t>TRI Net Investisseur
[Vision Liquidité]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9" authorId="0">
      <text>
        <r>
          <rPr>
            <b/>
            <sz val="9"/>
            <color indexed="81"/>
            <rFont val="Tahoma"/>
            <family val="2"/>
          </rPr>
          <t>du CA</t>
        </r>
      </text>
    </comment>
    <comment ref="A32" authorId="0">
      <text>
        <r>
          <rPr>
            <b/>
            <sz val="9"/>
            <color indexed="81"/>
            <rFont val="Tahoma"/>
            <family val="2"/>
          </rPr>
          <t>Frais de collecte (service providers ?)</t>
        </r>
      </text>
    </comment>
    <comment ref="F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G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H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I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J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K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L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M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N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O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P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Q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R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S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T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U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V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W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X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Y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Z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AA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AB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AC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AD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AE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AF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AG38" authorId="0">
      <text>
        <r>
          <rPr>
            <sz val="9"/>
            <color indexed="81"/>
            <rFont val="Tahoma"/>
            <family val="2"/>
          </rPr>
          <t xml:space="preserve">Hypothèse: Variation sur CA impacte également la main d'oeuvre et autres charges
</t>
        </r>
      </text>
    </comment>
    <comment ref="F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G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H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I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J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K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L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M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N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O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P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Q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R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S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T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U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V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W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X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Y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Z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AA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AB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AC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AD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AE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AF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AG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AH44" authorId="0">
      <text>
        <r>
          <rPr>
            <b/>
            <sz val="9"/>
            <color indexed="81"/>
            <rFont val="Tahoma"/>
            <family val="2"/>
          </rPr>
          <t>OK</t>
        </r>
        <r>
          <rPr>
            <sz val="9"/>
            <color indexed="81"/>
            <rFont val="Tahoma"/>
            <family val="2"/>
          </rPr>
          <t xml:space="preserve"> = génére le CA minimum pour payer les redevances
</t>
        </r>
        <r>
          <rPr>
            <b/>
            <sz val="9"/>
            <color indexed="81"/>
            <rFont val="Tahoma"/>
            <family val="2"/>
          </rPr>
          <t xml:space="preserve">KO = </t>
        </r>
        <r>
          <rPr>
            <sz val="9"/>
            <color indexed="81"/>
            <rFont val="Tahoma"/>
            <family val="2"/>
          </rPr>
          <t>ne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génére pas le CA minimum pour payer les redevances</t>
        </r>
      </text>
    </comment>
    <comment ref="A46" authorId="0">
      <text>
        <r>
          <rPr>
            <b/>
            <sz val="9"/>
            <color indexed="81"/>
            <rFont val="Tahoma"/>
            <family val="2"/>
          </rPr>
          <t>Correlé au CA</t>
        </r>
      </text>
    </comment>
    <comment ref="A49" authorId="0">
      <text>
        <r>
          <rPr>
            <b/>
            <sz val="9"/>
            <color indexed="81"/>
            <rFont val="Tahoma"/>
            <family val="2"/>
          </rPr>
          <t>Correlé au CA</t>
        </r>
      </text>
    </comment>
    <comment ref="AI71" authorId="0">
      <text>
        <r>
          <rPr>
            <sz val="9"/>
            <color indexed="81"/>
            <rFont val="Tahoma"/>
            <family val="2"/>
          </rPr>
          <t xml:space="preserve">IRR corrigé (sans la prise en compte des frais de gestion, qui ne devrait pas lui revenir selon ma comprehension
</t>
        </r>
      </text>
    </comment>
    <comment ref="AI79" authorId="0">
      <text>
        <r>
          <rPr>
            <sz val="9"/>
            <color indexed="81"/>
            <rFont val="Tahoma"/>
            <family val="2"/>
          </rPr>
          <t xml:space="preserve">IRR corrigé (sans la prise en compte des frais de gestion, qui ne devrait pas lui revenir selon ma comprehension
</t>
        </r>
      </text>
    </comment>
  </commentList>
</comments>
</file>

<file path=xl/sharedStrings.xml><?xml version="1.0" encoding="utf-8"?>
<sst xmlns="http://schemas.openxmlformats.org/spreadsheetml/2006/main" count="97" uniqueCount="79">
  <si>
    <t>Année</t>
  </si>
  <si>
    <t>TOTAL</t>
  </si>
  <si>
    <t>2. Prévisionnel du projet (hypothèse marché)</t>
  </si>
  <si>
    <t>Vente édition</t>
  </si>
  <si>
    <t>Qté</t>
  </si>
  <si>
    <t>PU</t>
  </si>
  <si>
    <t>Livret</t>
  </si>
  <si>
    <t>Total</t>
  </si>
  <si>
    <t>Investissement net</t>
  </si>
  <si>
    <t>Frais collecte</t>
  </si>
  <si>
    <t>Directe ed. 1</t>
  </si>
  <si>
    <t>Invest. Chargé</t>
  </si>
  <si>
    <t>Directe ed. 2</t>
  </si>
  <si>
    <t>Indirecte ed. 1</t>
  </si>
  <si>
    <t>Redevances cibles</t>
  </si>
  <si>
    <t>Indirecte ed. 2</t>
  </si>
  <si>
    <t>Cash flow invest.</t>
  </si>
  <si>
    <t>Total Vente</t>
  </si>
  <si>
    <t>3. Rémunération</t>
  </si>
  <si>
    <t>Cash flow cumulé</t>
  </si>
  <si>
    <t>Matériel</t>
  </si>
  <si>
    <t>Taux partage de CA</t>
  </si>
  <si>
    <t>Part profit</t>
  </si>
  <si>
    <t>Main d'œuvre</t>
  </si>
  <si>
    <t>Résultat avant redevances</t>
  </si>
  <si>
    <t>Informatique</t>
  </si>
  <si>
    <r>
      <t>Autres charges</t>
    </r>
    <r>
      <rPr>
        <sz val="11"/>
        <color theme="1"/>
        <rFont val="Calibri"/>
        <family val="2"/>
        <scheme val="minor"/>
      </rPr>
      <t xml:space="preserve"> (frais de collecte)</t>
    </r>
  </si>
  <si>
    <t>Bus. Dév.</t>
  </si>
  <si>
    <t>CA minimum</t>
  </si>
  <si>
    <t>Autres (taxes)</t>
  </si>
  <si>
    <t>Multiple</t>
  </si>
  <si>
    <t>CA/ Invest.</t>
  </si>
  <si>
    <t>Marge/ Invest.</t>
  </si>
  <si>
    <t>Total charges</t>
  </si>
  <si>
    <t>4. Prévisionnel entrepreneur pour vérifier la couverture des redevances</t>
  </si>
  <si>
    <t>Résultat</t>
  </si>
  <si>
    <t xml:space="preserve">CA </t>
  </si>
  <si>
    <t>3. Calcul rémunération pour investisseur sur TRI Cible</t>
  </si>
  <si>
    <t>Investissement</t>
  </si>
  <si>
    <t>Capital</t>
  </si>
  <si>
    <t>Rémun.</t>
  </si>
  <si>
    <t>CRD</t>
  </si>
  <si>
    <t>Redevances</t>
  </si>
  <si>
    <t>Durée</t>
  </si>
  <si>
    <t>Cash flow porteur</t>
  </si>
  <si>
    <t>1. Prévisionnel investisseur pour calibrage redevances sur TRI Cible</t>
  </si>
  <si>
    <t>Frais de gestion</t>
  </si>
  <si>
    <t>Variation</t>
  </si>
  <si>
    <t>Valeur initiale</t>
  </si>
  <si>
    <t>Ratios</t>
  </si>
  <si>
    <t>Résultat Net [Investisseur]</t>
  </si>
  <si>
    <t>Résultat brut [Plateforme]</t>
  </si>
  <si>
    <t>Résultat Net [Porteur]</t>
  </si>
  <si>
    <t>Post variation</t>
  </si>
  <si>
    <t>Scénario</t>
  </si>
  <si>
    <t>0. Données</t>
  </si>
  <si>
    <t>CA global</t>
  </si>
  <si>
    <t>Veuillez Insérer les données souhaitées dans les cases coloriées de cette couleur.</t>
  </si>
  <si>
    <r>
      <t>Coût Invest. [</t>
    </r>
    <r>
      <rPr>
        <b/>
        <sz val="10"/>
        <color rgb="FFFF0000"/>
        <rFont val="Calibri"/>
        <family val="2"/>
      </rPr>
      <t>CF à générer</t>
    </r>
    <r>
      <rPr>
        <b/>
        <sz val="10"/>
        <color theme="1"/>
        <rFont val="Calibri"/>
        <family val="2"/>
        <scheme val="minor"/>
      </rPr>
      <t>]</t>
    </r>
  </si>
  <si>
    <t>CF généré</t>
  </si>
  <si>
    <t>TRI cible (Brut)</t>
  </si>
  <si>
    <t>Variation du CA initial</t>
  </si>
  <si>
    <t>Redevances (% CA)</t>
  </si>
  <si>
    <t>Total Redevances [Investisseur]</t>
  </si>
  <si>
    <t>Trimestrielle</t>
  </si>
  <si>
    <t>Périodicité des distributions</t>
  </si>
  <si>
    <t>Durée (Nombre Période)</t>
  </si>
  <si>
    <t>Redevance prériodique</t>
  </si>
  <si>
    <t>Annuelle</t>
  </si>
  <si>
    <t>Taux de profit annuel</t>
  </si>
  <si>
    <t>Cash flow porteur cumulé (avant redevances)</t>
  </si>
  <si>
    <t>Totale redevances dûes</t>
  </si>
  <si>
    <t>Disponible</t>
  </si>
  <si>
    <t>Redevance payable</t>
  </si>
  <si>
    <t>Redevance restant</t>
  </si>
  <si>
    <t>Cash flow investisseur Vs. P&amp;L</t>
  </si>
  <si>
    <t>Cash flow investisseur Vs. Liquidité</t>
  </si>
  <si>
    <t>IRR [P&amp;L] Investisseur</t>
  </si>
  <si>
    <t>Période d'investissement (en années)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</si>
</sst>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#,##0\ &quot;€&quot;;[Red]\-#,##0\ &quot;€&quot;"/>
    <numFmt numFmtId="165" formatCode="_-* #,##0.00\ &quot;€&quot;_-;\-* #,##0.00\ &quot;€&quot;_-;_-* &quot;-&quot;??\ &quot;€&quot;_-;_-@_-"/>
    <numFmt numFmtId="166" formatCode="_-* #,##0\ &quot;€&quot;_-;\-* #,##0\ &quot;€&quot;_-;_-* &quot;-&quot;??\ &quot;€&quot;_-;_-@_-"/>
    <numFmt numFmtId="167" formatCode="0.0%"/>
    <numFmt numFmtId="168" formatCode="\+\ 0.00%;[Red]\-\ 0.00%;\+\ 0.00%"/>
    <numFmt numFmtId="169" formatCode="#,##0\ &quot;an&quot;"/>
    <numFmt numFmtId="170" formatCode="_-* #,##0_-;\-* #,##0_-;_-* &quot;-&quot;??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0.499984740745262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sz val="10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rgb="FF00B050"/>
      <name val="Calibri"/>
      <family val="2"/>
      <scheme val="minor"/>
    </font>
    <font>
      <sz val="9"/>
      <color indexed="81"/>
      <name val="Tahoma"/>
      <family val="2"/>
    </font>
    <font>
      <sz val="11"/>
      <color theme="2" tint="-9.9978637043366805E-2"/>
      <name val="Calibri"/>
      <family val="2"/>
      <scheme val="minor"/>
    </font>
    <font>
      <b/>
      <sz val="10"/>
      <color theme="0"/>
      <name val="Lucida Calligraphy"/>
      <family val="4"/>
    </font>
    <font>
      <sz val="10"/>
      <color rgb="FF00B050"/>
      <name val="Calibri"/>
      <family val="2"/>
      <scheme val="minor"/>
    </font>
    <font>
      <b/>
      <sz val="10"/>
      <color rgb="FFFF0000"/>
      <name val="Calibri"/>
      <family val="2"/>
    </font>
    <font>
      <b/>
      <sz val="10"/>
      <color theme="0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0"/>
      <color theme="2" tint="-9.9978637043366805E-2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2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b/>
      <sz val="10"/>
      <color theme="3" tint="-0.24997711111789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29">
    <xf numFmtId="0" fontId="0" fillId="0" borderId="0" xfId="0"/>
    <xf numFmtId="0" fontId="3" fillId="0" borderId="0" xfId="0" applyFont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0" fontId="3" fillId="3" borderId="0" xfId="0" applyFont="1" applyFill="1" applyAlignment="1">
      <alignment horizontal="center"/>
    </xf>
    <xf numFmtId="166" fontId="0" fillId="3" borderId="0" xfId="1" applyNumberFormat="1" applyFont="1" applyFill="1"/>
    <xf numFmtId="166" fontId="4" fillId="0" borderId="0" xfId="1" applyNumberFormat="1" applyFont="1"/>
    <xf numFmtId="0" fontId="5" fillId="0" borderId="0" xfId="0" applyFont="1" applyAlignment="1">
      <alignment horizontal="center"/>
    </xf>
    <xf numFmtId="166" fontId="6" fillId="0" borderId="0" xfId="1" applyNumberFormat="1" applyFont="1"/>
    <xf numFmtId="0" fontId="6" fillId="0" borderId="0" xfId="0" applyFont="1"/>
    <xf numFmtId="9" fontId="6" fillId="0" borderId="0" xfId="0" applyNumberFormat="1" applyFont="1"/>
    <xf numFmtId="0" fontId="4" fillId="0" borderId="0" xfId="0" applyFont="1"/>
    <xf numFmtId="166" fontId="0" fillId="0" borderId="0" xfId="1" applyNumberFormat="1" applyFont="1"/>
    <xf numFmtId="166" fontId="3" fillId="0" borderId="0" xfId="0" applyNumberFormat="1" applyFont="1" applyAlignment="1">
      <alignment horizontal="center"/>
    </xf>
    <xf numFmtId="10" fontId="7" fillId="0" borderId="0" xfId="0" applyNumberFormat="1" applyFont="1" applyAlignment="1">
      <alignment horizontal="right"/>
    </xf>
    <xf numFmtId="166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166" fontId="3" fillId="0" borderId="0" xfId="1" applyNumberFormat="1" applyFont="1"/>
    <xf numFmtId="166" fontId="0" fillId="0" borderId="0" xfId="0" applyNumberFormat="1"/>
    <xf numFmtId="0" fontId="3" fillId="4" borderId="0" xfId="0" applyFont="1" applyFill="1"/>
    <xf numFmtId="166" fontId="3" fillId="4" borderId="0" xfId="0" applyNumberFormat="1" applyFont="1" applyFill="1"/>
    <xf numFmtId="166" fontId="3" fillId="4" borderId="0" xfId="0" applyNumberFormat="1" applyFont="1" applyFill="1" applyAlignment="1">
      <alignment horizontal="center"/>
    </xf>
    <xf numFmtId="0" fontId="9" fillId="0" borderId="0" xfId="0" applyFont="1"/>
    <xf numFmtId="166" fontId="9" fillId="0" borderId="0" xfId="0" applyNumberFormat="1" applyFont="1"/>
    <xf numFmtId="0" fontId="3" fillId="0" borderId="0" xfId="0" applyFont="1" applyAlignment="1">
      <alignment horizontal="center"/>
    </xf>
    <xf numFmtId="9" fontId="10" fillId="0" borderId="0" xfId="0" applyNumberFormat="1" applyFont="1" applyAlignment="1">
      <alignment horizontal="right"/>
    </xf>
    <xf numFmtId="167" fontId="0" fillId="0" borderId="0" xfId="2" applyNumberFormat="1" applyFont="1"/>
    <xf numFmtId="166" fontId="10" fillId="0" borderId="0" xfId="1" applyNumberFormat="1" applyFont="1" applyAlignment="1">
      <alignment horizontal="right"/>
    </xf>
    <xf numFmtId="166" fontId="7" fillId="0" borderId="0" xfId="0" applyNumberFormat="1" applyFont="1" applyAlignment="1">
      <alignment horizontal="right"/>
    </xf>
    <xf numFmtId="2" fontId="7" fillId="0" borderId="0" xfId="0" applyNumberFormat="1" applyFont="1" applyAlignment="1">
      <alignment horizontal="left"/>
    </xf>
    <xf numFmtId="167" fontId="5" fillId="0" borderId="0" xfId="2" applyNumberFormat="1" applyFont="1"/>
    <xf numFmtId="166" fontId="3" fillId="4" borderId="0" xfId="1" applyNumberFormat="1" applyFont="1" applyFill="1"/>
    <xf numFmtId="167" fontId="11" fillId="0" borderId="0" xfId="2" applyNumberFormat="1" applyFont="1"/>
    <xf numFmtId="0" fontId="8" fillId="0" borderId="0" xfId="0" applyFont="1"/>
    <xf numFmtId="164" fontId="0" fillId="0" borderId="0" xfId="0" applyNumberFormat="1"/>
    <xf numFmtId="166" fontId="3" fillId="0" borderId="0" xfId="0" applyNumberFormat="1" applyFont="1"/>
    <xf numFmtId="9" fontId="7" fillId="0" borderId="0" xfId="0" applyNumberFormat="1" applyFont="1"/>
    <xf numFmtId="9" fontId="12" fillId="0" borderId="0" xfId="0" applyNumberFormat="1" applyFont="1"/>
    <xf numFmtId="0" fontId="13" fillId="0" borderId="0" xfId="0" applyFont="1" applyAlignment="1">
      <alignment horizontal="center"/>
    </xf>
    <xf numFmtId="9" fontId="6" fillId="0" borderId="0" xfId="0" applyNumberFormat="1" applyFont="1" applyFill="1"/>
    <xf numFmtId="166" fontId="0" fillId="0" borderId="0" xfId="1" applyNumberFormat="1" applyFont="1" applyFill="1"/>
    <xf numFmtId="2" fontId="7" fillId="0" borderId="0" xfId="0" applyNumberFormat="1" applyFont="1" applyFill="1" applyAlignment="1">
      <alignment horizontal="left"/>
    </xf>
    <xf numFmtId="0" fontId="3" fillId="0" borderId="0" xfId="0" applyFont="1" applyFill="1"/>
    <xf numFmtId="0" fontId="9" fillId="0" borderId="0" xfId="0" applyFont="1" applyFill="1" applyAlignment="1">
      <alignment horizontal="left" indent="1"/>
    </xf>
    <xf numFmtId="166" fontId="12" fillId="0" borderId="0" xfId="0" applyNumberFormat="1" applyFont="1"/>
    <xf numFmtId="0" fontId="3" fillId="0" borderId="0" xfId="0" applyFont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166" fontId="6" fillId="0" borderId="0" xfId="0" applyNumberFormat="1" applyFont="1" applyAlignment="1">
      <alignment horizontal="right" indent="1"/>
    </xf>
    <xf numFmtId="166" fontId="13" fillId="0" borderId="0" xfId="0" applyNumberFormat="1" applyFont="1" applyFill="1" applyAlignment="1">
      <alignment horizontal="right" indent="1"/>
    </xf>
    <xf numFmtId="166" fontId="6" fillId="0" borderId="0" xfId="0" applyNumberFormat="1" applyFont="1" applyFill="1" applyAlignment="1">
      <alignment horizontal="right" indent="1"/>
    </xf>
    <xf numFmtId="0" fontId="0" fillId="0" borderId="0" xfId="0" applyFill="1"/>
    <xf numFmtId="9" fontId="4" fillId="0" borderId="0" xfId="2" applyFont="1" applyFill="1"/>
    <xf numFmtId="166" fontId="7" fillId="0" borderId="1" xfId="1" applyNumberFormat="1" applyFont="1" applyBorder="1" applyAlignment="1">
      <alignment horizontal="center"/>
    </xf>
    <xf numFmtId="168" fontId="16" fillId="0" borderId="1" xfId="3" applyNumberFormat="1" applyFont="1" applyFill="1" applyBorder="1" applyAlignment="1">
      <alignment horizontal="center"/>
    </xf>
    <xf numFmtId="166" fontId="6" fillId="0" borderId="1" xfId="0" applyNumberFormat="1" applyFont="1" applyFill="1" applyBorder="1" applyAlignment="1">
      <alignment horizontal="right" indent="1"/>
    </xf>
    <xf numFmtId="0" fontId="0" fillId="0" borderId="0" xfId="0" applyAlignment="1">
      <alignment horizontal="center" vertical="center"/>
    </xf>
    <xf numFmtId="14" fontId="18" fillId="0" borderId="0" xfId="0" applyNumberFormat="1" applyFont="1" applyAlignment="1">
      <alignment horizontal="center"/>
    </xf>
    <xf numFmtId="0" fontId="3" fillId="5" borderId="0" xfId="0" applyFont="1" applyFill="1"/>
    <xf numFmtId="166" fontId="6" fillId="0" borderId="0" xfId="0" applyNumberFormat="1" applyFont="1" applyFill="1" applyBorder="1" applyAlignment="1">
      <alignment horizontal="right" indent="1"/>
    </xf>
    <xf numFmtId="168" fontId="16" fillId="0" borderId="0" xfId="3" applyNumberFormat="1" applyFont="1" applyFill="1" applyBorder="1" applyAlignment="1">
      <alignment horizontal="center"/>
    </xf>
    <xf numFmtId="10" fontId="6" fillId="0" borderId="0" xfId="0" applyNumberFormat="1" applyFont="1" applyAlignment="1">
      <alignment horizontal="right" indent="1"/>
    </xf>
    <xf numFmtId="0" fontId="0" fillId="0" borderId="0" xfId="0" applyAlignment="1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9" fontId="5" fillId="0" borderId="0" xfId="2" applyFont="1" applyAlignment="1">
      <alignment horizontal="left" indent="1"/>
    </xf>
    <xf numFmtId="9" fontId="0" fillId="0" borderId="0" xfId="2" applyFont="1" applyFill="1" applyAlignment="1">
      <alignment horizontal="left" indent="1"/>
    </xf>
    <xf numFmtId="0" fontId="13" fillId="0" borderId="0" xfId="0" applyFont="1" applyAlignment="1">
      <alignment horizontal="left" indent="1"/>
    </xf>
    <xf numFmtId="168" fontId="16" fillId="6" borderId="1" xfId="3" applyNumberFormat="1" applyFont="1" applyFill="1" applyBorder="1" applyAlignment="1">
      <alignment horizontal="center"/>
    </xf>
    <xf numFmtId="9" fontId="6" fillId="6" borderId="1" xfId="2" applyFont="1" applyFill="1" applyBorder="1" applyAlignment="1">
      <alignment horizontal="right" indent="1"/>
    </xf>
    <xf numFmtId="0" fontId="2" fillId="0" borderId="0" xfId="0" applyFont="1" applyFill="1" applyAlignment="1">
      <alignment horizontal="center"/>
    </xf>
    <xf numFmtId="166" fontId="3" fillId="0" borderId="0" xfId="0" applyNumberFormat="1" applyFont="1" applyAlignment="1">
      <alignment horizontal="right"/>
    </xf>
    <xf numFmtId="169" fontId="6" fillId="0" borderId="0" xfId="4" applyNumberFormat="1" applyFont="1" applyFill="1" applyBorder="1" applyAlignment="1">
      <alignment horizontal="center"/>
    </xf>
    <xf numFmtId="166" fontId="6" fillId="0" borderId="0" xfId="1" applyNumberFormat="1" applyFont="1" applyFill="1" applyAlignment="1">
      <alignment horizontal="center"/>
    </xf>
    <xf numFmtId="9" fontId="14" fillId="0" borderId="0" xfId="2" applyFont="1" applyFill="1" applyAlignment="1">
      <alignment horizontal="center"/>
    </xf>
    <xf numFmtId="10" fontId="7" fillId="0" borderId="0" xfId="0" applyNumberFormat="1" applyFont="1" applyAlignment="1">
      <alignment horizontal="center"/>
    </xf>
    <xf numFmtId="10" fontId="5" fillId="0" borderId="0" xfId="2" applyNumberFormat="1" applyFont="1"/>
    <xf numFmtId="0" fontId="8" fillId="0" borderId="0" xfId="0" applyFont="1" applyAlignment="1">
      <alignment horizontal="right"/>
    </xf>
    <xf numFmtId="166" fontId="13" fillId="0" borderId="0" xfId="0" applyNumberFormat="1" applyFont="1"/>
    <xf numFmtId="166" fontId="10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9" fontId="6" fillId="0" borderId="0" xfId="0" applyNumberFormat="1" applyFont="1" applyFill="1" applyAlignment="1">
      <alignment horizontal="center"/>
    </xf>
    <xf numFmtId="10" fontId="23" fillId="0" borderId="0" xfId="2" applyNumberFormat="1" applyFont="1"/>
    <xf numFmtId="9" fontId="13" fillId="0" borderId="0" xfId="0" applyNumberFormat="1" applyFont="1"/>
    <xf numFmtId="10" fontId="24" fillId="0" borderId="0" xfId="0" applyNumberFormat="1" applyFont="1"/>
    <xf numFmtId="0" fontId="3" fillId="0" borderId="0" xfId="0" applyFont="1" applyFill="1" applyAlignment="1"/>
    <xf numFmtId="9" fontId="0" fillId="0" borderId="0" xfId="0" applyNumberFormat="1" applyFill="1"/>
    <xf numFmtId="169" fontId="6" fillId="0" borderId="0" xfId="4" applyNumberFormat="1" applyFont="1" applyFill="1" applyBorder="1" applyAlignment="1">
      <alignment horizontal="left" indent="1"/>
    </xf>
    <xf numFmtId="170" fontId="24" fillId="0" borderId="0" xfId="4" applyNumberFormat="1" applyFont="1" applyAlignment="1">
      <alignment horizontal="right"/>
    </xf>
    <xf numFmtId="9" fontId="6" fillId="0" borderId="0" xfId="2" applyFont="1" applyFill="1" applyBorder="1" applyAlignment="1">
      <alignment horizontal="right" indent="1"/>
    </xf>
    <xf numFmtId="9" fontId="8" fillId="0" borderId="0" xfId="2" applyFont="1" applyAlignment="1">
      <alignment horizontal="center"/>
    </xf>
    <xf numFmtId="0" fontId="2" fillId="2" borderId="0" xfId="0" applyFont="1" applyFill="1" applyAlignment="1">
      <alignment horizontal="center"/>
    </xf>
    <xf numFmtId="1" fontId="6" fillId="6" borderId="1" xfId="4" applyNumberFormat="1" applyFont="1" applyFill="1" applyBorder="1" applyAlignment="1">
      <alignment horizontal="center" vertical="center"/>
    </xf>
    <xf numFmtId="1" fontId="26" fillId="0" borderId="0" xfId="0" applyNumberFormat="1" applyFont="1" applyAlignment="1">
      <alignment horizontal="center" vertical="center" wrapText="1"/>
    </xf>
    <xf numFmtId="10" fontId="26" fillId="0" borderId="0" xfId="2" applyNumberFormat="1" applyFont="1" applyFill="1" applyAlignment="1">
      <alignment horizontal="center"/>
    </xf>
    <xf numFmtId="10" fontId="7" fillId="0" borderId="0" xfId="2" applyNumberFormat="1" applyFont="1"/>
    <xf numFmtId="166" fontId="4" fillId="8" borderId="0" xfId="1" applyNumberFormat="1" applyFont="1" applyFill="1"/>
    <xf numFmtId="43" fontId="0" fillId="0" borderId="0" xfId="4" applyFont="1"/>
    <xf numFmtId="169" fontId="6" fillId="6" borderId="1" xfId="4" applyNumberFormat="1" applyFont="1" applyFill="1" applyBorder="1" applyAlignment="1">
      <alignment horizontal="center"/>
    </xf>
    <xf numFmtId="168" fontId="20" fillId="6" borderId="2" xfId="3" applyNumberFormat="1" applyFont="1" applyFill="1" applyBorder="1" applyAlignment="1">
      <alignment horizontal="center"/>
    </xf>
    <xf numFmtId="166" fontId="6" fillId="0" borderId="0" xfId="1" applyNumberFormat="1" applyFont="1" applyFill="1" applyBorder="1" applyAlignment="1">
      <alignment horizontal="right" indent="1"/>
    </xf>
    <xf numFmtId="10" fontId="22" fillId="7" borderId="1" xfId="0" applyNumberFormat="1" applyFont="1" applyFill="1" applyBorder="1" applyAlignment="1">
      <alignment horizontal="right" indent="1"/>
    </xf>
    <xf numFmtId="169" fontId="26" fillId="0" borderId="3" xfId="4" applyNumberFormat="1" applyFont="1" applyFill="1" applyBorder="1" applyAlignment="1">
      <alignment horizontal="center"/>
    </xf>
    <xf numFmtId="1" fontId="6" fillId="0" borderId="0" xfId="4" applyNumberFormat="1" applyFont="1" applyFill="1" applyBorder="1" applyAlignment="1">
      <alignment horizontal="center"/>
    </xf>
    <xf numFmtId="170" fontId="24" fillId="0" borderId="0" xfId="4" applyNumberFormat="1" applyFont="1"/>
    <xf numFmtId="170" fontId="27" fillId="0" borderId="0" xfId="4" applyNumberFormat="1" applyFont="1"/>
    <xf numFmtId="170" fontId="27" fillId="9" borderId="0" xfId="4" applyNumberFormat="1" applyFont="1" applyFill="1"/>
    <xf numFmtId="10" fontId="27" fillId="0" borderId="0" xfId="2" applyNumberFormat="1" applyFont="1"/>
    <xf numFmtId="170" fontId="28" fillId="0" borderId="0" xfId="4" applyNumberFormat="1" applyFont="1"/>
    <xf numFmtId="0" fontId="3" fillId="8" borderId="0" xfId="0" applyFont="1" applyFill="1" applyAlignment="1">
      <alignment horizontal="center"/>
    </xf>
    <xf numFmtId="10" fontId="24" fillId="0" borderId="0" xfId="2" applyNumberFormat="1" applyFont="1"/>
    <xf numFmtId="10" fontId="27" fillId="0" borderId="0" xfId="2" applyNumberFormat="1" applyFont="1" applyFill="1"/>
    <xf numFmtId="170" fontId="27" fillId="0" borderId="0" xfId="4" applyNumberFormat="1" applyFont="1" applyFill="1"/>
    <xf numFmtId="10" fontId="27" fillId="10" borderId="0" xfId="2" applyNumberFormat="1" applyFont="1" applyFill="1"/>
    <xf numFmtId="10" fontId="27" fillId="3" borderId="0" xfId="2" applyNumberFormat="1" applyFont="1" applyFill="1"/>
    <xf numFmtId="170" fontId="27" fillId="10" borderId="0" xfId="4" applyNumberFormat="1" applyFont="1" applyFill="1"/>
    <xf numFmtId="0" fontId="3" fillId="3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25" fillId="2" borderId="0" xfId="0" applyFont="1" applyFill="1" applyAlignment="1">
      <alignment horizontal="center" vertical="center" textRotation="90"/>
    </xf>
    <xf numFmtId="0" fontId="19" fillId="2" borderId="0" xfId="0" applyFont="1" applyFill="1" applyAlignment="1">
      <alignment horizontal="center" vertical="center"/>
    </xf>
    <xf numFmtId="0" fontId="6" fillId="6" borderId="0" xfId="0" quotePrefix="1" applyFont="1" applyFill="1" applyAlignment="1">
      <alignment horizontal="left" vertical="center" wrapText="1"/>
    </xf>
  </cellXfs>
  <cellStyles count="5">
    <cellStyle name="Comma" xfId="4" builtinId="3"/>
    <cellStyle name="Currency" xfId="1" builtinId="4"/>
    <cellStyle name="Normal" xfId="0" builtinId="0"/>
    <cellStyle name="Normal 2" xfId="3"/>
    <cellStyle name="Percent" xfId="2" builtinId="5"/>
  </cellStyles>
  <dxfs count="26">
    <dxf>
      <font>
        <color rgb="FF00B050"/>
      </font>
    </dxf>
    <dxf>
      <font>
        <color rgb="FFFF0000"/>
      </font>
    </dxf>
    <dxf>
      <numFmt numFmtId="172" formatCode="#,##0\ &quot;ans&quot;"/>
    </dxf>
    <dxf>
      <font>
        <color rgb="FF00B050"/>
      </font>
    </dxf>
    <dxf>
      <font>
        <color rgb="FFFF0000"/>
      </font>
    </dxf>
    <dxf>
      <numFmt numFmtId="172" formatCode="#,##0\ &quot;ans&quot;"/>
    </dxf>
    <dxf>
      <font>
        <color rgb="FF00B050"/>
      </font>
    </dxf>
    <dxf>
      <font>
        <color rgb="FFFF0000"/>
      </font>
    </dxf>
    <dxf>
      <numFmt numFmtId="172" formatCode="#,##0\ &quot;ans&quot;"/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  <fill>
        <patternFill>
          <bgColor theme="9"/>
        </patternFill>
      </fill>
    </dxf>
    <dxf>
      <font>
        <b/>
        <i val="0"/>
        <color rgb="FF00B050"/>
      </font>
      <fill>
        <patternFill>
          <bgColor theme="6" tint="0.39994506668294322"/>
        </patternFill>
      </fill>
    </dxf>
    <dxf>
      <numFmt numFmtId="172" formatCode="#,##0\ &quot;ans&quot;"/>
    </dxf>
    <dxf>
      <numFmt numFmtId="172" formatCode="#,##0\ &quot;ans&quot;"/>
    </dxf>
    <dxf>
      <numFmt numFmtId="172" formatCode="#,##0\ &quot;ans&quot;"/>
    </dxf>
    <dxf>
      <numFmt numFmtId="172" formatCode="#,##0\ &quot;ans&quot;"/>
    </dxf>
    <dxf>
      <font>
        <color rgb="FF00B050"/>
      </font>
    </dxf>
    <dxf>
      <font>
        <color rgb="FFFF0000"/>
      </font>
    </dxf>
    <dxf>
      <numFmt numFmtId="172" formatCode="#,##0\ &quot;ans&quot;"/>
    </dxf>
    <dxf>
      <numFmt numFmtId="172" formatCode="#,##0\ &quot;ans&quot;"/>
    </dxf>
    <dxf>
      <font>
        <b/>
        <i val="0"/>
        <color rgb="FFFF0000"/>
      </font>
      <fill>
        <patternFill>
          <bgColor theme="9"/>
        </patternFill>
      </fill>
    </dxf>
    <dxf>
      <font>
        <b/>
        <i val="0"/>
        <color rgb="FF00B050"/>
      </font>
      <fill>
        <patternFill>
          <bgColor theme="6" tint="0.39994506668294322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33CC3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161"/>
  <sheetViews>
    <sheetView showGridLines="0" tabSelected="1" topLeftCell="B1" zoomScaleNormal="100" workbookViewId="0">
      <selection activeCell="B11" sqref="B11"/>
    </sheetView>
  </sheetViews>
  <sheetFormatPr defaultColWidth="11.42578125" defaultRowHeight="15" outlineLevelRow="2" outlineLevelCol="1" x14ac:dyDescent="0.25"/>
  <cols>
    <col min="1" max="1" width="25.140625" style="1" customWidth="1"/>
    <col min="2" max="2" width="11.85546875" style="1" customWidth="1"/>
    <col min="3" max="3" width="9.5703125" style="1" customWidth="1" outlineLevel="1"/>
    <col min="4" max="4" width="7.5703125" style="1" customWidth="1" outlineLevel="1"/>
    <col min="5" max="5" width="12.85546875" customWidth="1"/>
    <col min="6" max="6" width="11" bestFit="1" customWidth="1"/>
    <col min="7" max="7" width="12.7109375" bestFit="1" customWidth="1"/>
    <col min="8" max="8" width="11" bestFit="1" customWidth="1"/>
    <col min="9" max="9" width="13.5703125" customWidth="1" outlineLevel="1"/>
    <col min="10" max="14" width="11" customWidth="1" outlineLevel="1"/>
    <col min="15" max="15" width="12" customWidth="1" outlineLevel="1"/>
    <col min="16" max="16" width="12" style="1" customWidth="1" outlineLevel="1"/>
    <col min="17" max="33" width="12" customWidth="1" outlineLevel="1"/>
    <col min="34" max="34" width="12" bestFit="1" customWidth="1"/>
    <col min="35" max="35" width="7.85546875" bestFit="1" customWidth="1"/>
    <col min="36" max="36" width="4.5703125" customWidth="1"/>
    <col min="38" max="38" width="3.85546875" bestFit="1" customWidth="1"/>
    <col min="39" max="39" width="8.42578125" customWidth="1"/>
    <col min="40" max="40" width="9" bestFit="1" customWidth="1"/>
    <col min="41" max="43" width="10.5703125" bestFit="1" customWidth="1"/>
    <col min="44" max="45" width="11.5703125" bestFit="1" customWidth="1"/>
    <col min="47" max="47" width="3.85546875" bestFit="1" customWidth="1"/>
    <col min="48" max="48" width="8.5703125" bestFit="1" customWidth="1"/>
    <col min="49" max="54" width="9" bestFit="1" customWidth="1"/>
    <col min="56" max="56" width="3.85546875" bestFit="1" customWidth="1"/>
    <col min="57" max="57" width="7.5703125" bestFit="1" customWidth="1"/>
    <col min="58" max="63" width="8" bestFit="1" customWidth="1"/>
  </cols>
  <sheetData>
    <row r="1" spans="1:63" x14ac:dyDescent="0.25">
      <c r="A1" s="47"/>
      <c r="B1" s="47"/>
      <c r="C1" s="47"/>
      <c r="D1" s="47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</row>
    <row r="3" spans="1:63" x14ac:dyDescent="0.25">
      <c r="A3" s="4" t="s">
        <v>55</v>
      </c>
      <c r="B3" s="4"/>
      <c r="C3" s="4"/>
      <c r="D3" s="4"/>
      <c r="E3" s="7"/>
      <c r="F3" s="5"/>
      <c r="G3" s="5"/>
      <c r="H3" s="5"/>
      <c r="I3" s="5"/>
      <c r="J3" s="5"/>
      <c r="K3" s="5"/>
      <c r="L3" s="5"/>
      <c r="M3" s="5"/>
      <c r="N3" s="5"/>
      <c r="O3" s="5"/>
      <c r="P3" s="4"/>
      <c r="U3" s="93"/>
      <c r="V3" s="93"/>
      <c r="W3" s="93"/>
      <c r="X3" s="93"/>
      <c r="Y3" s="93"/>
      <c r="Z3" s="93"/>
      <c r="AA3" s="93"/>
    </row>
    <row r="4" spans="1:63" s="53" customFormat="1" x14ac:dyDescent="0.25">
      <c r="A4" s="128" t="s">
        <v>57</v>
      </c>
      <c r="B4" s="128"/>
      <c r="C4" s="44"/>
      <c r="D4" s="44"/>
      <c r="E4" s="42"/>
      <c r="F4" s="127" t="s">
        <v>54</v>
      </c>
      <c r="G4" s="127"/>
      <c r="H4" s="127"/>
      <c r="P4" s="44"/>
      <c r="AL4" s="124" t="s">
        <v>77</v>
      </c>
      <c r="AM4" s="124"/>
      <c r="AN4" s="94" t="s">
        <v>43</v>
      </c>
      <c r="AO4" s="95">
        <f>+$F$12</f>
        <v>5</v>
      </c>
      <c r="AU4" s="124" t="str">
        <f>+A19</f>
        <v>Résultat Net [Porteur]</v>
      </c>
      <c r="AV4" s="124"/>
      <c r="AW4" s="94" t="s">
        <v>43</v>
      </c>
      <c r="AX4" s="95">
        <f>+$F$12</f>
        <v>5</v>
      </c>
      <c r="BD4" s="124" t="str">
        <f>+A20</f>
        <v>Résultat brut [Plateforme]</v>
      </c>
      <c r="BE4" s="124"/>
      <c r="BF4" s="94" t="s">
        <v>43</v>
      </c>
      <c r="BG4" s="95">
        <f>+$F$12</f>
        <v>5</v>
      </c>
    </row>
    <row r="5" spans="1:63" s="1" customFormat="1" x14ac:dyDescent="0.25">
      <c r="A5" s="128"/>
      <c r="B5" s="128"/>
      <c r="C5" s="44"/>
      <c r="D5" s="44"/>
      <c r="E5" s="48" t="s">
        <v>48</v>
      </c>
      <c r="F5" s="48" t="s">
        <v>47</v>
      </c>
      <c r="G5" s="49" t="s">
        <v>53</v>
      </c>
      <c r="H5" s="49" t="s">
        <v>49</v>
      </c>
      <c r="I5" s="53"/>
      <c r="K5" s="53"/>
      <c r="L5" s="53"/>
      <c r="M5" s="53"/>
      <c r="N5" s="53"/>
      <c r="O5" s="53"/>
      <c r="P5" s="44"/>
      <c r="AL5" s="124"/>
      <c r="AM5" s="124"/>
      <c r="AN5" s="125" t="s">
        <v>61</v>
      </c>
      <c r="AO5" s="125"/>
      <c r="AP5" s="125"/>
      <c r="AQ5" s="125"/>
      <c r="AR5" s="125"/>
      <c r="AS5" s="125"/>
      <c r="AU5" s="124"/>
      <c r="AV5" s="124"/>
      <c r="AW5" s="125" t="s">
        <v>61</v>
      </c>
      <c r="AX5" s="125"/>
      <c r="AY5" s="125"/>
      <c r="AZ5" s="125"/>
      <c r="BA5" s="125"/>
      <c r="BB5" s="125"/>
      <c r="BD5" s="124"/>
      <c r="BE5" s="124"/>
      <c r="BF5" s="125" t="s">
        <v>61</v>
      </c>
      <c r="BG5" s="125"/>
      <c r="BH5" s="125"/>
      <c r="BI5" s="125"/>
      <c r="BJ5" s="125"/>
      <c r="BK5" s="125"/>
    </row>
    <row r="6" spans="1:63" ht="15" customHeight="1" x14ac:dyDescent="0.25">
      <c r="A6" s="70" t="s">
        <v>8</v>
      </c>
      <c r="E6" s="108">
        <v>135000</v>
      </c>
      <c r="F6" s="107">
        <v>0</v>
      </c>
      <c r="G6" s="50">
        <f>+E6*(1+F6)</f>
        <v>135000</v>
      </c>
      <c r="H6" s="10"/>
      <c r="J6" s="1"/>
      <c r="K6" s="40"/>
      <c r="L6" s="40"/>
      <c r="M6" s="40"/>
      <c r="N6" s="48"/>
      <c r="O6" s="11"/>
      <c r="AH6" s="20"/>
      <c r="AL6" s="117">
        <v>1</v>
      </c>
      <c r="AM6" s="92">
        <f>+AI71</f>
        <v>0.27051635384559636</v>
      </c>
      <c r="AN6" s="97">
        <v>-0.2</v>
      </c>
      <c r="AO6" s="97">
        <v>-0.1</v>
      </c>
      <c r="AP6" s="97">
        <v>0</v>
      </c>
      <c r="AQ6" s="97">
        <v>0.1</v>
      </c>
      <c r="AR6" s="97">
        <v>0.2</v>
      </c>
      <c r="AS6" s="97">
        <v>0.3</v>
      </c>
      <c r="AU6" s="117">
        <v>2</v>
      </c>
      <c r="AV6" s="96">
        <f>+AH70</f>
        <v>252600</v>
      </c>
      <c r="AW6" s="97">
        <v>-0.2</v>
      </c>
      <c r="AX6" s="97">
        <v>-0.1</v>
      </c>
      <c r="AY6" s="97">
        <v>0</v>
      </c>
      <c r="AZ6" s="97">
        <v>0.1</v>
      </c>
      <c r="BA6" s="97">
        <v>0.2</v>
      </c>
      <c r="BB6" s="97">
        <v>0.3</v>
      </c>
      <c r="BD6" s="117">
        <v>3</v>
      </c>
      <c r="BE6" s="96">
        <f>+G20</f>
        <v>27900</v>
      </c>
      <c r="BF6" s="97">
        <v>-0.2</v>
      </c>
      <c r="BG6" s="97">
        <v>-0.1</v>
      </c>
      <c r="BH6" s="97">
        <v>0</v>
      </c>
      <c r="BI6" s="97">
        <v>0.1</v>
      </c>
      <c r="BJ6" s="97">
        <v>0.2</v>
      </c>
      <c r="BK6" s="97">
        <v>0.3</v>
      </c>
    </row>
    <row r="7" spans="1:63" x14ac:dyDescent="0.25">
      <c r="A7" s="71" t="s">
        <v>9</v>
      </c>
      <c r="C7" s="41">
        <v>0.08</v>
      </c>
      <c r="D7" s="12">
        <v>0.02</v>
      </c>
      <c r="E7" s="87">
        <f>E8-E6</f>
        <v>13500</v>
      </c>
      <c r="F7" s="88"/>
      <c r="G7" s="87">
        <f>G8-G6</f>
        <v>13500</v>
      </c>
      <c r="H7" s="82">
        <f>+C7+D7</f>
        <v>0.1</v>
      </c>
      <c r="O7" s="11"/>
      <c r="AL7" s="126" t="s">
        <v>62</v>
      </c>
      <c r="AM7" s="97">
        <v>0.1</v>
      </c>
      <c r="AN7" s="115">
        <f t="dataTable" ref="AN7:AS14" dt2D="1" dtr="1" r1="F38" r2="E69" ca="1"/>
        <v>-0.13743112199008464</v>
      </c>
      <c r="AO7" s="115">
        <v>-0.13356266580522055</v>
      </c>
      <c r="AP7" s="115">
        <v>-0.1296436633914709</v>
      </c>
      <c r="AQ7" s="115">
        <v>-0.12567336373031135</v>
      </c>
      <c r="AR7" s="115">
        <v>-0.12165101580321791</v>
      </c>
      <c r="AS7" s="115">
        <v>-0.11757585518062116</v>
      </c>
      <c r="AU7" s="126" t="s">
        <v>62</v>
      </c>
      <c r="AV7" s="97">
        <v>0.02</v>
      </c>
      <c r="AW7" s="116">
        <f t="dataTable" ref="AW7:BB14" dt2D="1" dtr="1" r1="F38" r2="E69"/>
        <v>559046.40000000002</v>
      </c>
      <c r="AX7" s="116">
        <v>546943.19999999995</v>
      </c>
      <c r="AY7" s="116">
        <v>534840</v>
      </c>
      <c r="AZ7" s="116">
        <v>522736.8</v>
      </c>
      <c r="BA7" s="116">
        <v>510633.6</v>
      </c>
      <c r="BB7" s="116">
        <v>498530.4</v>
      </c>
      <c r="BD7" s="126" t="s">
        <v>62</v>
      </c>
      <c r="BE7" s="97">
        <v>0.02</v>
      </c>
      <c r="BF7" s="116">
        <f t="dataTable" ref="BF7:BK14" dt2D="1" dtr="1" r1="F38" r2="E69" ca="1"/>
        <v>14421.6</v>
      </c>
      <c r="BG7" s="116">
        <v>14440.8</v>
      </c>
      <c r="BH7" s="116">
        <v>14460</v>
      </c>
      <c r="BI7" s="116">
        <v>14479.2</v>
      </c>
      <c r="BJ7" s="116">
        <v>14498.4</v>
      </c>
      <c r="BK7" s="116">
        <v>14517.6</v>
      </c>
    </row>
    <row r="8" spans="1:63" x14ac:dyDescent="0.25">
      <c r="A8" s="70" t="s">
        <v>11</v>
      </c>
      <c r="E8" s="10">
        <f>E6*(1+C7+D7)</f>
        <v>148500</v>
      </c>
      <c r="F8" s="11"/>
      <c r="G8" s="10">
        <f>G6*(1+C7+D7)</f>
        <v>148500</v>
      </c>
      <c r="I8" s="11"/>
      <c r="O8" s="11"/>
      <c r="AL8" s="126"/>
      <c r="AM8" s="97">
        <v>0.15</v>
      </c>
      <c r="AN8" s="115">
        <v>-2.2767320275306705E-2</v>
      </c>
      <c r="AO8" s="115">
        <v>-1.651799976825714E-2</v>
      </c>
      <c r="AP8" s="115">
        <v>-1.0159274935722353E-2</v>
      </c>
      <c r="AQ8" s="115">
        <v>-3.6891549825668335E-3</v>
      </c>
      <c r="AR8" s="115">
        <v>2.894380688667297E-3</v>
      </c>
      <c r="AS8" s="115">
        <v>9.5933288335800192E-3</v>
      </c>
      <c r="AU8" s="126"/>
      <c r="AV8" s="97">
        <v>0.05</v>
      </c>
      <c r="AW8" s="116">
        <v>530016</v>
      </c>
      <c r="AX8" s="116">
        <v>517308</v>
      </c>
      <c r="AY8" s="116">
        <v>504600</v>
      </c>
      <c r="AZ8" s="116">
        <v>491892</v>
      </c>
      <c r="BA8" s="116">
        <v>479184</v>
      </c>
      <c r="BB8" s="116">
        <v>466476</v>
      </c>
      <c r="BD8" s="126"/>
      <c r="BE8" s="97">
        <v>0.05</v>
      </c>
      <c r="BF8" s="116">
        <v>15804</v>
      </c>
      <c r="BG8" s="116">
        <v>15852</v>
      </c>
      <c r="BH8" s="116">
        <v>15900</v>
      </c>
      <c r="BI8" s="116">
        <v>15948</v>
      </c>
      <c r="BJ8" s="116">
        <v>15996</v>
      </c>
      <c r="BK8" s="116">
        <v>16044</v>
      </c>
    </row>
    <row r="9" spans="1:63" ht="15" customHeight="1" x14ac:dyDescent="0.25">
      <c r="A9" s="73" t="s">
        <v>60</v>
      </c>
      <c r="B9" s="42"/>
      <c r="C9" s="42"/>
      <c r="E9" s="76">
        <v>0.1</v>
      </c>
      <c r="F9" s="75">
        <v>0</v>
      </c>
      <c r="G9" s="63">
        <f>+E9*(1+F9)</f>
        <v>0.1</v>
      </c>
      <c r="H9" s="82" t="str">
        <f>IF(IRR(E27:AG27)=G9,"OK","ko")</f>
        <v>OK</v>
      </c>
      <c r="J9" s="53"/>
      <c r="K9" s="53"/>
      <c r="O9" s="17"/>
      <c r="AL9" s="126"/>
      <c r="AM9" s="97">
        <v>0.2</v>
      </c>
      <c r="AN9" s="115">
        <v>7.4221614003181474E-2</v>
      </c>
      <c r="AO9" s="115">
        <v>8.307981193065643E-2</v>
      </c>
      <c r="AP9" s="115">
        <v>9.2127254605293293E-2</v>
      </c>
      <c r="AQ9" s="115">
        <v>0.10136782526969909</v>
      </c>
      <c r="AR9" s="115">
        <v>0.11080535054206847</v>
      </c>
      <c r="AS9" s="115">
        <v>0.12044363617897033</v>
      </c>
      <c r="AU9" s="126"/>
      <c r="AV9" s="97">
        <v>0.1</v>
      </c>
      <c r="AW9" s="116">
        <v>481632</v>
      </c>
      <c r="AX9" s="116">
        <v>467916</v>
      </c>
      <c r="AY9" s="116">
        <v>454200</v>
      </c>
      <c r="AZ9" s="116">
        <v>440484</v>
      </c>
      <c r="BA9" s="116">
        <v>426768</v>
      </c>
      <c r="BB9" s="116">
        <v>413052</v>
      </c>
      <c r="BD9" s="126"/>
      <c r="BE9" s="97">
        <v>0.1</v>
      </c>
      <c r="BF9" s="116">
        <v>18108</v>
      </c>
      <c r="BG9" s="116">
        <v>18204</v>
      </c>
      <c r="BH9" s="116">
        <v>18300</v>
      </c>
      <c r="BI9" s="116">
        <v>18396</v>
      </c>
      <c r="BJ9" s="116">
        <v>18492</v>
      </c>
      <c r="BK9" s="116">
        <v>18588</v>
      </c>
    </row>
    <row r="10" spans="1:63" ht="15" customHeight="1" x14ac:dyDescent="0.25">
      <c r="A10" s="70" t="s">
        <v>21</v>
      </c>
      <c r="E10" s="76">
        <v>0.3</v>
      </c>
      <c r="F10" s="75">
        <v>0</v>
      </c>
      <c r="G10" s="63">
        <f>+E30</f>
        <v>0.3</v>
      </c>
      <c r="O10" s="17"/>
      <c r="AL10" s="126"/>
      <c r="AM10" s="97">
        <v>0.25</v>
      </c>
      <c r="AN10" s="115">
        <v>0.16089228987693791</v>
      </c>
      <c r="AO10" s="115">
        <v>0.17256428599357607</v>
      </c>
      <c r="AP10" s="115">
        <v>0.1845253050327301</v>
      </c>
      <c r="AQ10" s="115">
        <v>0.19678158164024354</v>
      </c>
      <c r="AR10" s="115">
        <v>0.20933921933174135</v>
      </c>
      <c r="AS10" s="115">
        <v>0.22220414280891421</v>
      </c>
      <c r="AU10" s="126"/>
      <c r="AV10" s="97">
        <v>0.15</v>
      </c>
      <c r="AW10" s="116">
        <v>433248</v>
      </c>
      <c r="AX10" s="116">
        <v>418524</v>
      </c>
      <c r="AY10" s="116">
        <v>403800</v>
      </c>
      <c r="AZ10" s="116">
        <v>389076</v>
      </c>
      <c r="BA10" s="116">
        <v>374352</v>
      </c>
      <c r="BB10" s="116">
        <v>359628</v>
      </c>
      <c r="BD10" s="126"/>
      <c r="BE10" s="97">
        <v>0.15</v>
      </c>
      <c r="BF10" s="116">
        <v>20412</v>
      </c>
      <c r="BG10" s="116">
        <v>20556</v>
      </c>
      <c r="BH10" s="116">
        <v>20700</v>
      </c>
      <c r="BI10" s="116">
        <v>20844</v>
      </c>
      <c r="BJ10" s="116">
        <v>20988</v>
      </c>
      <c r="BK10" s="116">
        <v>21132</v>
      </c>
    </row>
    <row r="11" spans="1:63" x14ac:dyDescent="0.25">
      <c r="A11" s="73" t="s">
        <v>65</v>
      </c>
      <c r="E11" s="106" t="s">
        <v>68</v>
      </c>
      <c r="F11" s="16"/>
      <c r="G11" s="9"/>
      <c r="H11" s="98"/>
      <c r="I11" s="18"/>
      <c r="L11" t="b">
        <f>$H$18=0.1</f>
        <v>0</v>
      </c>
      <c r="M11">
        <f>COUNT($E$6,$E$10,$E$12,$F$43,$G$43,$H$43,$I$43,$J$43,$K$43,$L$43,$M$43,$N$43,$O$43)</f>
        <v>13</v>
      </c>
      <c r="N11" t="b">
        <f>$E$6&gt;=$F$50</f>
        <v>1</v>
      </c>
      <c r="O11" s="17">
        <f>{32767,32767,0.000001,0.01,FALSE,FALSE,FALSE,1,2,1,0.0001,TRUE}</f>
        <v>32767</v>
      </c>
      <c r="P11" s="1">
        <f>{0,0,1,100,0,FALSE,FALSE,0.075,0,0,FALSE,30}</f>
        <v>0</v>
      </c>
      <c r="Q11" s="38"/>
      <c r="AL11" s="126"/>
      <c r="AM11" s="97">
        <v>0.3</v>
      </c>
      <c r="AN11" s="115">
        <v>0.24076185822486876</v>
      </c>
      <c r="AO11" s="115">
        <v>0.25543536543846124</v>
      </c>
      <c r="AP11" s="115">
        <v>0.27051635384559636</v>
      </c>
      <c r="AQ11" s="115">
        <v>0.28601374030113236</v>
      </c>
      <c r="AR11" s="115">
        <v>0.30193606019020081</v>
      </c>
      <c r="AS11" s="115">
        <v>0.31829145550727855</v>
      </c>
      <c r="AU11" s="126"/>
      <c r="AV11" s="97">
        <v>0.2</v>
      </c>
      <c r="AW11" s="116">
        <v>384864</v>
      </c>
      <c r="AX11" s="116">
        <v>369132</v>
      </c>
      <c r="AY11" s="116">
        <v>353400</v>
      </c>
      <c r="AZ11" s="116">
        <v>337668</v>
      </c>
      <c r="BA11" s="116">
        <v>321936</v>
      </c>
      <c r="BB11" s="116">
        <v>306204</v>
      </c>
      <c r="BD11" s="126"/>
      <c r="BE11" s="97">
        <v>0.2</v>
      </c>
      <c r="BF11" s="116">
        <v>22716</v>
      </c>
      <c r="BG11" s="116">
        <v>22908</v>
      </c>
      <c r="BH11" s="116">
        <v>23100</v>
      </c>
      <c r="BI11" s="116">
        <v>23292</v>
      </c>
      <c r="BJ11" s="116">
        <v>23484</v>
      </c>
      <c r="BK11" s="116">
        <v>23676</v>
      </c>
    </row>
    <row r="12" spans="1:63" x14ac:dyDescent="0.25">
      <c r="A12" s="73" t="s">
        <v>66</v>
      </c>
      <c r="B12" s="42"/>
      <c r="C12" s="42"/>
      <c r="D12" s="42"/>
      <c r="E12" s="100">
        <v>5</v>
      </c>
      <c r="F12" s="110">
        <f>+IF(E11="trimestrielle",$E$12/4,$E$12)</f>
        <v>5</v>
      </c>
      <c r="G12" s="9"/>
      <c r="H12" s="98">
        <f>+G18/G8</f>
        <v>0.93939393939393945</v>
      </c>
      <c r="I12" s="18"/>
      <c r="O12" s="17"/>
      <c r="Q12" s="38"/>
      <c r="AL12" s="126"/>
      <c r="AM12" s="97">
        <v>0.35</v>
      </c>
      <c r="AN12" s="115">
        <v>0.31580708622932441</v>
      </c>
      <c r="AO12" s="115">
        <v>0.33365579247474675</v>
      </c>
      <c r="AP12" s="115">
        <v>0.35204779505729678</v>
      </c>
      <c r="AQ12" s="115">
        <v>0.37099472880363471</v>
      </c>
      <c r="AR12" s="115">
        <v>0.39050747752189641</v>
      </c>
      <c r="AS12" s="115">
        <v>0.41059610247612011</v>
      </c>
      <c r="AU12" s="126"/>
      <c r="AV12" s="97">
        <v>0.25</v>
      </c>
      <c r="AW12" s="116">
        <v>336480</v>
      </c>
      <c r="AX12" s="116">
        <v>319740</v>
      </c>
      <c r="AY12" s="116">
        <v>303000</v>
      </c>
      <c r="AZ12" s="116">
        <v>286260</v>
      </c>
      <c r="BA12" s="116">
        <v>269520</v>
      </c>
      <c r="BB12" s="116">
        <v>252780</v>
      </c>
      <c r="BD12" s="126"/>
      <c r="BE12" s="97">
        <v>0.25</v>
      </c>
      <c r="BF12" s="116">
        <v>25020</v>
      </c>
      <c r="BG12" s="116">
        <v>25260</v>
      </c>
      <c r="BH12" s="116">
        <v>25500</v>
      </c>
      <c r="BI12" s="116">
        <v>25740</v>
      </c>
      <c r="BJ12" s="116">
        <v>25980</v>
      </c>
      <c r="BK12" s="116">
        <v>26220</v>
      </c>
    </row>
    <row r="13" spans="1:63" x14ac:dyDescent="0.25">
      <c r="B13" s="42"/>
      <c r="C13" s="42"/>
      <c r="D13" s="42"/>
      <c r="G13" s="9"/>
      <c r="H13" s="17"/>
      <c r="I13" s="18"/>
      <c r="L13" s="17"/>
      <c r="M13" s="17"/>
      <c r="N13" s="17"/>
      <c r="O13" s="17"/>
      <c r="AL13" s="126"/>
      <c r="AM13" s="97">
        <v>0.4</v>
      </c>
      <c r="AN13" s="115">
        <v>0.38725684285163875</v>
      </c>
      <c r="AO13" s="115">
        <v>0.40844238400459287</v>
      </c>
      <c r="AP13" s="119">
        <v>0.43032298684120185</v>
      </c>
      <c r="AQ13" s="119">
        <v>0.4529127657413482</v>
      </c>
      <c r="AR13" s="119">
        <v>0.47622454762458799</v>
      </c>
      <c r="AS13" s="119">
        <v>0.50026964545249941</v>
      </c>
      <c r="AU13" s="126"/>
      <c r="AV13" s="97">
        <v>0.3</v>
      </c>
      <c r="AW13" s="116">
        <v>288096</v>
      </c>
      <c r="AX13" s="116">
        <v>270348</v>
      </c>
      <c r="AY13" s="116">
        <v>252600</v>
      </c>
      <c r="AZ13" s="116">
        <v>234852</v>
      </c>
      <c r="BA13" s="116">
        <v>217104</v>
      </c>
      <c r="BB13" s="116">
        <v>199356</v>
      </c>
      <c r="BD13" s="126"/>
      <c r="BE13" s="97">
        <v>0.3</v>
      </c>
      <c r="BF13" s="116">
        <v>27324</v>
      </c>
      <c r="BG13" s="116">
        <v>27612</v>
      </c>
      <c r="BH13" s="116">
        <v>27900</v>
      </c>
      <c r="BI13" s="116">
        <v>28188</v>
      </c>
      <c r="BJ13" s="116">
        <v>28476</v>
      </c>
      <c r="BK13" s="116">
        <v>28764</v>
      </c>
    </row>
    <row r="14" spans="1:63" x14ac:dyDescent="0.25">
      <c r="A14" s="74" t="s">
        <v>58</v>
      </c>
      <c r="B14" s="84"/>
      <c r="C14" s="42"/>
      <c r="E14" s="57">
        <v>162856.49546827795</v>
      </c>
      <c r="F14" s="56">
        <f t="shared" ref="F14:F20" si="0">+G14/E14-1</f>
        <v>9.3375483885057786E-2</v>
      </c>
      <c r="G14" s="86">
        <f>E6+AH28</f>
        <v>178063.29953645312</v>
      </c>
      <c r="H14" s="17"/>
      <c r="I14" s="18"/>
      <c r="L14" s="17"/>
      <c r="M14" s="17"/>
      <c r="N14" s="17"/>
      <c r="O14" s="17"/>
      <c r="AL14" s="126"/>
      <c r="AM14" s="97">
        <v>0.45</v>
      </c>
      <c r="AN14" s="115">
        <v>0.45592975020408644</v>
      </c>
      <c r="AO14" s="115">
        <v>0.48060314059257503</v>
      </c>
      <c r="AP14" s="115">
        <v>0.50613780617713922</v>
      </c>
      <c r="AQ14" s="115">
        <v>0.53254989981651313</v>
      </c>
      <c r="AR14" s="115">
        <v>0.55985341668128952</v>
      </c>
      <c r="AS14" s="115">
        <v>0.58805995583534243</v>
      </c>
      <c r="AU14" s="126"/>
      <c r="AV14" s="97">
        <v>0.35</v>
      </c>
      <c r="AW14" s="116">
        <v>239712</v>
      </c>
      <c r="AX14" s="116">
        <v>220956</v>
      </c>
      <c r="AY14" s="116">
        <v>202200</v>
      </c>
      <c r="AZ14" s="116">
        <v>183444</v>
      </c>
      <c r="BA14" s="116">
        <v>164688</v>
      </c>
      <c r="BB14" s="116">
        <v>145932</v>
      </c>
      <c r="BD14" s="126"/>
      <c r="BE14" s="97">
        <v>0.35</v>
      </c>
      <c r="BF14" s="116">
        <v>29628</v>
      </c>
      <c r="BG14" s="116">
        <v>29964</v>
      </c>
      <c r="BH14" s="116">
        <v>30300</v>
      </c>
      <c r="BI14" s="116">
        <v>30636</v>
      </c>
      <c r="BJ14" s="116">
        <v>30972</v>
      </c>
      <c r="BK14" s="116">
        <v>31308</v>
      </c>
    </row>
    <row r="15" spans="1:63" x14ac:dyDescent="0.25">
      <c r="A15" s="74" t="s">
        <v>59</v>
      </c>
      <c r="B15" s="84"/>
      <c r="C15" s="42"/>
      <c r="E15" s="57">
        <v>307000</v>
      </c>
      <c r="F15" s="56">
        <f t="shared" si="0"/>
        <v>0.80781758957654715</v>
      </c>
      <c r="G15" s="85">
        <f>+AH52</f>
        <v>555000</v>
      </c>
      <c r="H15" s="17"/>
      <c r="I15" s="18"/>
      <c r="J15" s="17"/>
      <c r="K15" s="17"/>
      <c r="L15" s="17"/>
      <c r="M15" s="17"/>
      <c r="N15" s="17"/>
      <c r="O15" s="17"/>
      <c r="AL15" s="52"/>
    </row>
    <row r="16" spans="1:63" x14ac:dyDescent="0.25">
      <c r="A16" s="74" t="s">
        <v>56</v>
      </c>
      <c r="E16" s="57">
        <v>576000</v>
      </c>
      <c r="F16" s="56">
        <f t="shared" si="0"/>
        <v>0.66666666666666674</v>
      </c>
      <c r="G16" s="85">
        <f>+AH43</f>
        <v>960000</v>
      </c>
      <c r="H16" s="48"/>
      <c r="I16" s="18"/>
      <c r="J16" s="17"/>
      <c r="K16" s="17"/>
      <c r="L16" s="17"/>
      <c r="M16" s="17"/>
      <c r="N16" s="17"/>
      <c r="O16" s="17"/>
    </row>
    <row r="17" spans="1:54" ht="15" customHeight="1" x14ac:dyDescent="0.25">
      <c r="A17" s="74" t="s">
        <v>63</v>
      </c>
      <c r="E17" s="57">
        <v>172800</v>
      </c>
      <c r="F17" s="56">
        <f>+G17/E17-1</f>
        <v>0.66666666666666674</v>
      </c>
      <c r="G17" s="51">
        <f>+AH69</f>
        <v>288000</v>
      </c>
      <c r="H17" s="82"/>
      <c r="I17" s="18"/>
      <c r="J17" s="17"/>
      <c r="K17" s="17"/>
      <c r="L17" s="17"/>
      <c r="M17" s="17"/>
      <c r="N17" s="17"/>
      <c r="O17" s="17"/>
      <c r="AL17" s="124" t="str">
        <f>+A19</f>
        <v>Résultat Net [Porteur]</v>
      </c>
      <c r="AM17" s="124"/>
      <c r="AN17" s="94"/>
      <c r="AO17" s="95"/>
      <c r="AP17" s="53"/>
      <c r="AQ17" s="53"/>
      <c r="AR17" s="53"/>
      <c r="AS17" s="53"/>
      <c r="AU17" s="124" t="str">
        <f>+A18</f>
        <v>Résultat Net [Investisseur]</v>
      </c>
      <c r="AV17" s="124"/>
      <c r="AW17" s="94"/>
      <c r="AX17" s="95"/>
      <c r="AY17" s="53"/>
      <c r="AZ17" s="53"/>
      <c r="BA17" s="53"/>
      <c r="BB17" s="53"/>
    </row>
    <row r="18" spans="1:54" x14ac:dyDescent="0.25">
      <c r="A18" s="74" t="s">
        <v>50</v>
      </c>
      <c r="E18" s="57">
        <v>24300</v>
      </c>
      <c r="F18" s="56">
        <f>+G18/E18-1</f>
        <v>4.7407407407407405</v>
      </c>
      <c r="G18" s="51">
        <f>+AH69-G6-G7</f>
        <v>139500</v>
      </c>
      <c r="H18" s="109">
        <f>+AI71</f>
        <v>0.27051635384559636</v>
      </c>
      <c r="I18" s="109">
        <f>+AI79</f>
        <v>0.26961527466773982</v>
      </c>
      <c r="J18" s="17"/>
      <c r="K18" s="17"/>
      <c r="L18" s="17"/>
      <c r="M18" s="17"/>
      <c r="N18" s="17"/>
      <c r="O18" s="17"/>
      <c r="AA18" s="91"/>
      <c r="AL18" s="124"/>
      <c r="AM18" s="124"/>
      <c r="AN18" s="125" t="s">
        <v>78</v>
      </c>
      <c r="AO18" s="125"/>
      <c r="AP18" s="125"/>
      <c r="AQ18" s="125"/>
      <c r="AR18" s="125"/>
      <c r="AS18" s="125"/>
      <c r="AU18" s="124"/>
      <c r="AV18" s="124"/>
      <c r="AW18" s="125" t="s">
        <v>78</v>
      </c>
      <c r="AX18" s="125"/>
      <c r="AY18" s="125"/>
      <c r="AZ18" s="125"/>
      <c r="BA18" s="125"/>
      <c r="BB18" s="125"/>
    </row>
    <row r="19" spans="1:54" x14ac:dyDescent="0.25">
      <c r="A19" s="74" t="s">
        <v>52</v>
      </c>
      <c r="E19" s="57">
        <v>125560</v>
      </c>
      <c r="F19" s="56">
        <f t="shared" si="0"/>
        <v>1.0117871933736859</v>
      </c>
      <c r="G19" s="51">
        <f>+AH70</f>
        <v>252600</v>
      </c>
      <c r="H19" s="82">
        <f>+G19/G16</f>
        <v>0.263125</v>
      </c>
      <c r="I19" s="18"/>
      <c r="J19" s="17"/>
      <c r="K19" s="17"/>
      <c r="L19" s="17"/>
      <c r="M19" s="17"/>
      <c r="N19" s="17"/>
      <c r="O19" s="17"/>
      <c r="AA19" s="90"/>
      <c r="AL19" s="117">
        <v>4</v>
      </c>
      <c r="AM19" s="112">
        <f>+G19</f>
        <v>252600</v>
      </c>
      <c r="AN19" s="111">
        <v>1</v>
      </c>
      <c r="AO19" s="111">
        <v>2</v>
      </c>
      <c r="AP19" s="111">
        <v>3</v>
      </c>
      <c r="AQ19" s="111">
        <v>4</v>
      </c>
      <c r="AR19" s="111">
        <v>5</v>
      </c>
      <c r="AS19" s="111">
        <v>6</v>
      </c>
      <c r="AU19" s="117">
        <v>5</v>
      </c>
      <c r="AV19" s="112">
        <f>+G18</f>
        <v>139500</v>
      </c>
      <c r="AW19" s="111">
        <f t="shared" ref="AW19:BB19" si="1">+AN19</f>
        <v>1</v>
      </c>
      <c r="AX19" s="111">
        <f t="shared" si="1"/>
        <v>2</v>
      </c>
      <c r="AY19" s="111">
        <f t="shared" si="1"/>
        <v>3</v>
      </c>
      <c r="AZ19" s="111">
        <f t="shared" si="1"/>
        <v>4</v>
      </c>
      <c r="BA19" s="111">
        <f t="shared" si="1"/>
        <v>5</v>
      </c>
      <c r="BB19" s="111">
        <f t="shared" si="1"/>
        <v>6</v>
      </c>
    </row>
    <row r="20" spans="1:54" ht="15" customHeight="1" x14ac:dyDescent="0.25">
      <c r="A20" s="74" t="s">
        <v>51</v>
      </c>
      <c r="E20" s="57">
        <v>22140</v>
      </c>
      <c r="F20" s="56">
        <f t="shared" si="0"/>
        <v>0.26016260162601634</v>
      </c>
      <c r="G20" s="51">
        <f>+G7+AH68</f>
        <v>27900</v>
      </c>
      <c r="H20" s="58"/>
      <c r="I20" s="18"/>
      <c r="J20" s="17"/>
      <c r="K20" s="17"/>
      <c r="L20" s="17"/>
      <c r="M20" s="17"/>
      <c r="N20" s="17"/>
      <c r="O20" s="17"/>
      <c r="AA20" s="90"/>
      <c r="AL20" s="126" t="s">
        <v>62</v>
      </c>
      <c r="AM20" s="97">
        <v>0.1</v>
      </c>
      <c r="AN20" s="113">
        <f t="dataTable" ref="AN20:AS27" dt2D="1" dtr="1" r1="E12" r2="E10" ca="1"/>
        <v>38840</v>
      </c>
      <c r="AO20" s="113">
        <v>142680</v>
      </c>
      <c r="AP20" s="113">
        <v>246520</v>
      </c>
      <c r="AQ20" s="113">
        <v>350360</v>
      </c>
      <c r="AR20" s="113">
        <v>454200</v>
      </c>
      <c r="AS20" s="113">
        <v>558040</v>
      </c>
      <c r="AU20" s="126" t="s">
        <v>62</v>
      </c>
      <c r="AV20" s="97">
        <f>+AM20</f>
        <v>0.1</v>
      </c>
      <c r="AW20" s="113">
        <f t="dataTable" ref="AW20:BB27" dt2D="1" dtr="1" r1="E12" r2="E10" ca="1"/>
        <v>-129300</v>
      </c>
      <c r="AX20" s="113">
        <v>-110100</v>
      </c>
      <c r="AY20" s="113">
        <v>-90900</v>
      </c>
      <c r="AZ20" s="113">
        <v>-71700</v>
      </c>
      <c r="BA20" s="113">
        <v>-52500</v>
      </c>
      <c r="BB20" s="113">
        <v>-33300</v>
      </c>
    </row>
    <row r="21" spans="1:54" x14ac:dyDescent="0.25">
      <c r="A21" s="74"/>
      <c r="E21" s="61"/>
      <c r="F21" s="62"/>
      <c r="G21" s="51"/>
      <c r="H21" s="58"/>
      <c r="I21" s="18"/>
      <c r="J21" s="17"/>
      <c r="K21" s="17"/>
      <c r="L21" s="17"/>
      <c r="M21" s="17"/>
      <c r="N21" s="17"/>
      <c r="O21" s="17"/>
      <c r="AA21" s="90"/>
      <c r="AL21" s="126"/>
      <c r="AM21" s="97">
        <v>0.15</v>
      </c>
      <c r="AN21" s="113">
        <v>28760</v>
      </c>
      <c r="AO21" s="113">
        <v>122520</v>
      </c>
      <c r="AP21" s="113">
        <v>216280</v>
      </c>
      <c r="AQ21" s="113">
        <v>310040</v>
      </c>
      <c r="AR21" s="113">
        <v>403800</v>
      </c>
      <c r="AS21" s="113">
        <v>497560</v>
      </c>
      <c r="AU21" s="126"/>
      <c r="AV21" s="97">
        <f t="shared" ref="AV21:AV27" si="2">+AM21</f>
        <v>0.15</v>
      </c>
      <c r="AW21" s="113">
        <v>-119700</v>
      </c>
      <c r="AX21" s="113">
        <v>-90900</v>
      </c>
      <c r="AY21" s="113">
        <v>-62100</v>
      </c>
      <c r="AZ21" s="113">
        <v>-33300</v>
      </c>
      <c r="BA21" s="113">
        <v>-4500</v>
      </c>
      <c r="BB21" s="113">
        <v>24300</v>
      </c>
    </row>
    <row r="22" spans="1:54" x14ac:dyDescent="0.25">
      <c r="A22" s="72"/>
      <c r="B22" s="42"/>
      <c r="C22" s="42"/>
      <c r="D22" s="42"/>
      <c r="E22" s="17"/>
      <c r="F22" s="18"/>
      <c r="G22" s="9"/>
      <c r="H22" s="17"/>
      <c r="I22" s="18"/>
      <c r="J22" s="17"/>
      <c r="K22" s="17"/>
      <c r="L22" s="17"/>
      <c r="M22" s="17"/>
      <c r="N22" s="17"/>
      <c r="O22" s="17"/>
      <c r="AA22" s="90"/>
      <c r="AL22" s="126"/>
      <c r="AM22" s="97">
        <v>0.2</v>
      </c>
      <c r="AN22" s="113">
        <v>18680</v>
      </c>
      <c r="AO22" s="113">
        <v>102360</v>
      </c>
      <c r="AP22" s="113">
        <v>186040</v>
      </c>
      <c r="AQ22" s="113">
        <v>269720</v>
      </c>
      <c r="AR22" s="113">
        <v>353400</v>
      </c>
      <c r="AS22" s="113">
        <v>437080</v>
      </c>
      <c r="AU22" s="126"/>
      <c r="AV22" s="97">
        <f t="shared" si="2"/>
        <v>0.2</v>
      </c>
      <c r="AW22" s="113">
        <v>-110100</v>
      </c>
      <c r="AX22" s="113">
        <v>-71700</v>
      </c>
      <c r="AY22" s="113">
        <v>-33300</v>
      </c>
      <c r="AZ22" s="113">
        <v>5100</v>
      </c>
      <c r="BA22" s="113">
        <v>43500</v>
      </c>
      <c r="BB22" s="113">
        <v>81900</v>
      </c>
    </row>
    <row r="23" spans="1:54" x14ac:dyDescent="0.25">
      <c r="A23" s="4" t="s">
        <v>45</v>
      </c>
      <c r="B23" s="4"/>
      <c r="C23" s="4"/>
      <c r="D23" s="4"/>
      <c r="E23" s="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4"/>
      <c r="AL23" s="126"/>
      <c r="AM23" s="97">
        <v>0.25</v>
      </c>
      <c r="AN23" s="113">
        <v>8600</v>
      </c>
      <c r="AO23" s="113">
        <v>82200</v>
      </c>
      <c r="AP23" s="113">
        <v>155800</v>
      </c>
      <c r="AQ23" s="113">
        <v>229400</v>
      </c>
      <c r="AR23" s="113">
        <v>303000</v>
      </c>
      <c r="AS23" s="113">
        <v>376600</v>
      </c>
      <c r="AU23" s="126"/>
      <c r="AV23" s="97">
        <f t="shared" si="2"/>
        <v>0.25</v>
      </c>
      <c r="AW23" s="113">
        <v>-100500</v>
      </c>
      <c r="AX23" s="113">
        <v>-52500</v>
      </c>
      <c r="AY23" s="113">
        <v>-4500</v>
      </c>
      <c r="AZ23" s="113">
        <v>43500</v>
      </c>
      <c r="BA23" s="113">
        <v>91500</v>
      </c>
      <c r="BB23" s="113">
        <v>139500</v>
      </c>
    </row>
    <row r="24" spans="1:54" ht="15" customHeight="1" outlineLevel="1" x14ac:dyDescent="0.25">
      <c r="E24" s="59">
        <v>42370</v>
      </c>
      <c r="F24" s="59">
        <f t="shared" ref="F24:AG24" si="3">+EDATE(E24,IF($E$11="trimestrielle",3,12))</f>
        <v>42736</v>
      </c>
      <c r="G24" s="59">
        <f t="shared" si="3"/>
        <v>43101</v>
      </c>
      <c r="H24" s="59">
        <f t="shared" si="3"/>
        <v>43466</v>
      </c>
      <c r="I24" s="59">
        <f t="shared" si="3"/>
        <v>43831</v>
      </c>
      <c r="J24" s="59">
        <f t="shared" si="3"/>
        <v>44197</v>
      </c>
      <c r="K24" s="59">
        <f t="shared" si="3"/>
        <v>44562</v>
      </c>
      <c r="L24" s="59">
        <f t="shared" si="3"/>
        <v>44927</v>
      </c>
      <c r="M24" s="59">
        <f t="shared" si="3"/>
        <v>45292</v>
      </c>
      <c r="N24" s="59">
        <f t="shared" si="3"/>
        <v>45658</v>
      </c>
      <c r="O24" s="59">
        <f t="shared" si="3"/>
        <v>46023</v>
      </c>
      <c r="P24" s="59">
        <f t="shared" si="3"/>
        <v>46388</v>
      </c>
      <c r="Q24" s="59">
        <f t="shared" si="3"/>
        <v>46753</v>
      </c>
      <c r="R24" s="59">
        <f t="shared" si="3"/>
        <v>47119</v>
      </c>
      <c r="S24" s="59">
        <f t="shared" si="3"/>
        <v>47484</v>
      </c>
      <c r="T24" s="59">
        <f t="shared" si="3"/>
        <v>47849</v>
      </c>
      <c r="U24" s="59">
        <f t="shared" si="3"/>
        <v>48214</v>
      </c>
      <c r="V24" s="59">
        <f t="shared" si="3"/>
        <v>48580</v>
      </c>
      <c r="W24" s="59">
        <f t="shared" si="3"/>
        <v>48945</v>
      </c>
      <c r="X24" s="59">
        <f t="shared" si="3"/>
        <v>49310</v>
      </c>
      <c r="Y24" s="59">
        <f t="shared" si="3"/>
        <v>49675</v>
      </c>
      <c r="Z24" s="59">
        <f t="shared" si="3"/>
        <v>50041</v>
      </c>
      <c r="AA24" s="59">
        <f t="shared" si="3"/>
        <v>50406</v>
      </c>
      <c r="AB24" s="59">
        <f t="shared" si="3"/>
        <v>50771</v>
      </c>
      <c r="AC24" s="59">
        <f t="shared" si="3"/>
        <v>51136</v>
      </c>
      <c r="AD24" s="59">
        <f t="shared" si="3"/>
        <v>51502</v>
      </c>
      <c r="AE24" s="59">
        <f t="shared" si="3"/>
        <v>51867</v>
      </c>
      <c r="AF24" s="59">
        <f t="shared" si="3"/>
        <v>52232</v>
      </c>
      <c r="AG24" s="59">
        <f t="shared" si="3"/>
        <v>52597</v>
      </c>
      <c r="AH24" s="1"/>
      <c r="AL24" s="126"/>
      <c r="AM24" s="97">
        <v>0.3</v>
      </c>
      <c r="AN24" s="113">
        <v>-1480</v>
      </c>
      <c r="AO24" s="113">
        <v>62040</v>
      </c>
      <c r="AP24" s="123">
        <v>125560</v>
      </c>
      <c r="AQ24" s="120">
        <v>189080</v>
      </c>
      <c r="AR24" s="113">
        <v>252600</v>
      </c>
      <c r="AS24" s="113">
        <v>316120</v>
      </c>
      <c r="AU24" s="126"/>
      <c r="AV24" s="97">
        <f t="shared" si="2"/>
        <v>0.3</v>
      </c>
      <c r="AW24" s="113">
        <v>-90900</v>
      </c>
      <c r="AX24" s="113">
        <v>-33300</v>
      </c>
      <c r="AY24" s="123">
        <v>24300</v>
      </c>
      <c r="AZ24" s="120">
        <v>81900</v>
      </c>
      <c r="BA24" s="113">
        <v>139500</v>
      </c>
      <c r="BB24" s="113">
        <v>197100</v>
      </c>
    </row>
    <row r="25" spans="1:54" ht="15" customHeight="1" outlineLevel="1" x14ac:dyDescent="0.25">
      <c r="A25" s="2" t="s">
        <v>0</v>
      </c>
      <c r="B25" s="2"/>
      <c r="C25" s="2"/>
      <c r="D25" s="2"/>
      <c r="E25" s="3">
        <v>0</v>
      </c>
      <c r="F25" s="3">
        <f>+E25+1</f>
        <v>1</v>
      </c>
      <c r="G25" s="99">
        <f t="shared" ref="G25:AG25" si="4">+F25+1</f>
        <v>2</v>
      </c>
      <c r="H25" s="99">
        <f t="shared" si="4"/>
        <v>3</v>
      </c>
      <c r="I25" s="3">
        <f t="shared" si="4"/>
        <v>4</v>
      </c>
      <c r="J25" s="99">
        <f t="shared" si="4"/>
        <v>5</v>
      </c>
      <c r="K25" s="99">
        <f t="shared" si="4"/>
        <v>6</v>
      </c>
      <c r="L25" s="3">
        <f t="shared" si="4"/>
        <v>7</v>
      </c>
      <c r="M25" s="99">
        <f t="shared" si="4"/>
        <v>8</v>
      </c>
      <c r="N25" s="99">
        <f t="shared" si="4"/>
        <v>9</v>
      </c>
      <c r="O25" s="3">
        <f t="shared" si="4"/>
        <v>10</v>
      </c>
      <c r="P25" s="99">
        <f t="shared" si="4"/>
        <v>11</v>
      </c>
      <c r="Q25" s="99">
        <f t="shared" si="4"/>
        <v>12</v>
      </c>
      <c r="R25" s="3">
        <f t="shared" si="4"/>
        <v>13</v>
      </c>
      <c r="S25" s="99">
        <f t="shared" si="4"/>
        <v>14</v>
      </c>
      <c r="T25" s="99">
        <f t="shared" si="4"/>
        <v>15</v>
      </c>
      <c r="U25" s="3">
        <f t="shared" si="4"/>
        <v>16</v>
      </c>
      <c r="V25" s="99">
        <f t="shared" si="4"/>
        <v>17</v>
      </c>
      <c r="W25" s="99">
        <f t="shared" si="4"/>
        <v>18</v>
      </c>
      <c r="X25" s="3">
        <f t="shared" si="4"/>
        <v>19</v>
      </c>
      <c r="Y25" s="99">
        <f t="shared" si="4"/>
        <v>20</v>
      </c>
      <c r="Z25" s="99">
        <f t="shared" si="4"/>
        <v>21</v>
      </c>
      <c r="AA25" s="3">
        <f t="shared" si="4"/>
        <v>22</v>
      </c>
      <c r="AB25" s="99">
        <f t="shared" si="4"/>
        <v>23</v>
      </c>
      <c r="AC25" s="99">
        <f t="shared" si="4"/>
        <v>24</v>
      </c>
      <c r="AD25" s="3">
        <f t="shared" si="4"/>
        <v>25</v>
      </c>
      <c r="AE25" s="99">
        <f t="shared" si="4"/>
        <v>26</v>
      </c>
      <c r="AF25" s="99">
        <f t="shared" si="4"/>
        <v>27</v>
      </c>
      <c r="AG25" s="3">
        <f t="shared" si="4"/>
        <v>28</v>
      </c>
      <c r="AH25" s="3" t="s">
        <v>1</v>
      </c>
      <c r="AL25" s="126"/>
      <c r="AM25" s="97">
        <v>0.32</v>
      </c>
      <c r="AN25" s="113">
        <v>-5512</v>
      </c>
      <c r="AO25" s="113">
        <v>53976</v>
      </c>
      <c r="AP25" s="120">
        <v>113464</v>
      </c>
      <c r="AQ25" s="120">
        <v>172952</v>
      </c>
      <c r="AR25" s="113">
        <v>232440</v>
      </c>
      <c r="AS25" s="113">
        <v>291928</v>
      </c>
      <c r="AU25" s="126"/>
      <c r="AV25" s="97">
        <v>0.35</v>
      </c>
      <c r="AW25" s="113">
        <v>-81300</v>
      </c>
      <c r="AX25" s="113">
        <v>-14100</v>
      </c>
      <c r="AY25" s="120">
        <v>53100</v>
      </c>
      <c r="AZ25" s="120">
        <v>120300</v>
      </c>
      <c r="BA25" s="113">
        <v>187500</v>
      </c>
      <c r="BB25" s="113">
        <v>254700</v>
      </c>
    </row>
    <row r="26" spans="1:54" ht="15" customHeight="1" outlineLevel="1" x14ac:dyDescent="0.25">
      <c r="A26" s="42" t="s">
        <v>14</v>
      </c>
      <c r="B26" s="42"/>
      <c r="C26" s="42"/>
      <c r="D26" s="42"/>
      <c r="E26" s="43"/>
      <c r="F26" s="42">
        <f>+F59</f>
        <v>35612.659907290632</v>
      </c>
      <c r="G26" s="42">
        <f t="shared" ref="G26:AG26" si="5">+G59</f>
        <v>35612.659907290632</v>
      </c>
      <c r="H26" s="42">
        <f t="shared" si="5"/>
        <v>35612.659907290632</v>
      </c>
      <c r="I26" s="42">
        <f t="shared" si="5"/>
        <v>35612.659907290632</v>
      </c>
      <c r="J26" s="42">
        <f t="shared" si="5"/>
        <v>35612.659907290632</v>
      </c>
      <c r="K26" s="42">
        <f t="shared" si="5"/>
        <v>0</v>
      </c>
      <c r="L26" s="42">
        <f t="shared" si="5"/>
        <v>0</v>
      </c>
      <c r="M26" s="42">
        <f t="shared" si="5"/>
        <v>0</v>
      </c>
      <c r="N26" s="42">
        <f t="shared" si="5"/>
        <v>0</v>
      </c>
      <c r="O26" s="42">
        <f t="shared" si="5"/>
        <v>0</v>
      </c>
      <c r="P26" s="42">
        <f t="shared" si="5"/>
        <v>0</v>
      </c>
      <c r="Q26" s="42">
        <f t="shared" si="5"/>
        <v>0</v>
      </c>
      <c r="R26" s="42">
        <f t="shared" si="5"/>
        <v>0</v>
      </c>
      <c r="S26" s="42">
        <f t="shared" si="5"/>
        <v>0</v>
      </c>
      <c r="T26" s="42">
        <f t="shared" si="5"/>
        <v>0</v>
      </c>
      <c r="U26" s="42">
        <f t="shared" si="5"/>
        <v>0</v>
      </c>
      <c r="V26" s="42">
        <f t="shared" si="5"/>
        <v>0</v>
      </c>
      <c r="W26" s="42">
        <f t="shared" si="5"/>
        <v>0</v>
      </c>
      <c r="X26" s="42">
        <f t="shared" si="5"/>
        <v>0</v>
      </c>
      <c r="Y26" s="42">
        <f t="shared" si="5"/>
        <v>0</v>
      </c>
      <c r="Z26" s="42">
        <f t="shared" si="5"/>
        <v>0</v>
      </c>
      <c r="AA26" s="42">
        <f t="shared" si="5"/>
        <v>0</v>
      </c>
      <c r="AB26" s="42">
        <f t="shared" si="5"/>
        <v>0</v>
      </c>
      <c r="AC26" s="42">
        <f t="shared" si="5"/>
        <v>0</v>
      </c>
      <c r="AD26" s="42">
        <f t="shared" si="5"/>
        <v>0</v>
      </c>
      <c r="AE26" s="42">
        <f t="shared" si="5"/>
        <v>0</v>
      </c>
      <c r="AF26" s="42">
        <f t="shared" si="5"/>
        <v>0</v>
      </c>
      <c r="AG26" s="42">
        <f t="shared" si="5"/>
        <v>0</v>
      </c>
      <c r="AH26" s="19">
        <f>SUM(F26:AG26)</f>
        <v>178063.29953645315</v>
      </c>
      <c r="AL26" s="126"/>
      <c r="AM26" s="97">
        <v>0.4</v>
      </c>
      <c r="AN26" s="113">
        <v>-21640</v>
      </c>
      <c r="AO26" s="113">
        <v>21720</v>
      </c>
      <c r="AP26" s="120">
        <v>65080</v>
      </c>
      <c r="AQ26" s="120">
        <v>108440</v>
      </c>
      <c r="AR26" s="113">
        <v>151800</v>
      </c>
      <c r="AS26" s="113">
        <v>195160</v>
      </c>
      <c r="AU26" s="126"/>
      <c r="AV26" s="97">
        <f t="shared" si="2"/>
        <v>0.4</v>
      </c>
      <c r="AW26" s="113">
        <v>-71700</v>
      </c>
      <c r="AX26" s="113">
        <v>5100</v>
      </c>
      <c r="AY26" s="120">
        <v>81900</v>
      </c>
      <c r="AZ26" s="120">
        <v>158700</v>
      </c>
      <c r="BA26" s="113">
        <v>235500</v>
      </c>
      <c r="BB26" s="113">
        <v>312300</v>
      </c>
    </row>
    <row r="27" spans="1:54" ht="15" customHeight="1" outlineLevel="1" x14ac:dyDescent="0.25">
      <c r="A27" s="44" t="s">
        <v>16</v>
      </c>
      <c r="B27" s="89">
        <f>+IRR(E27:AG27)</f>
        <v>0.10000000000000009</v>
      </c>
      <c r="C27" s="44"/>
      <c r="D27" s="44"/>
      <c r="E27" s="20">
        <f>-G6</f>
        <v>-135000</v>
      </c>
      <c r="F27" s="20">
        <f>F26</f>
        <v>35612.659907290632</v>
      </c>
      <c r="G27" s="20">
        <f t="shared" ref="G27:AG27" si="6">G26</f>
        <v>35612.659907290632</v>
      </c>
      <c r="H27" s="20">
        <f t="shared" si="6"/>
        <v>35612.659907290632</v>
      </c>
      <c r="I27" s="20">
        <f t="shared" si="6"/>
        <v>35612.659907290632</v>
      </c>
      <c r="J27" s="20">
        <f t="shared" si="6"/>
        <v>35612.659907290632</v>
      </c>
      <c r="K27" s="20">
        <f t="shared" si="6"/>
        <v>0</v>
      </c>
      <c r="L27" s="20">
        <f t="shared" si="6"/>
        <v>0</v>
      </c>
      <c r="M27" s="20">
        <f t="shared" si="6"/>
        <v>0</v>
      </c>
      <c r="N27" s="20">
        <f t="shared" si="6"/>
        <v>0</v>
      </c>
      <c r="O27" s="20">
        <f t="shared" si="6"/>
        <v>0</v>
      </c>
      <c r="P27" s="20">
        <f t="shared" si="6"/>
        <v>0</v>
      </c>
      <c r="Q27" s="20">
        <f t="shared" si="6"/>
        <v>0</v>
      </c>
      <c r="R27" s="20">
        <f t="shared" si="6"/>
        <v>0</v>
      </c>
      <c r="S27" s="20">
        <f t="shared" si="6"/>
        <v>0</v>
      </c>
      <c r="T27" s="20">
        <f t="shared" si="6"/>
        <v>0</v>
      </c>
      <c r="U27" s="20">
        <f t="shared" si="6"/>
        <v>0</v>
      </c>
      <c r="V27" s="20">
        <f t="shared" si="6"/>
        <v>0</v>
      </c>
      <c r="W27" s="20">
        <f t="shared" si="6"/>
        <v>0</v>
      </c>
      <c r="X27" s="20">
        <f t="shared" si="6"/>
        <v>0</v>
      </c>
      <c r="Y27" s="20">
        <f t="shared" si="6"/>
        <v>0</v>
      </c>
      <c r="Z27" s="20">
        <f t="shared" si="6"/>
        <v>0</v>
      </c>
      <c r="AA27" s="20">
        <f t="shared" si="6"/>
        <v>0</v>
      </c>
      <c r="AB27" s="20">
        <f t="shared" si="6"/>
        <v>0</v>
      </c>
      <c r="AC27" s="20">
        <f t="shared" si="6"/>
        <v>0</v>
      </c>
      <c r="AD27" s="20">
        <f t="shared" si="6"/>
        <v>0</v>
      </c>
      <c r="AE27" s="20">
        <f t="shared" si="6"/>
        <v>0</v>
      </c>
      <c r="AF27" s="20">
        <f t="shared" si="6"/>
        <v>0</v>
      </c>
      <c r="AG27" s="20">
        <f t="shared" si="6"/>
        <v>0</v>
      </c>
      <c r="AH27" s="19">
        <f>SUM(E27:AG27)</f>
        <v>43063.299536453153</v>
      </c>
      <c r="AL27" s="126"/>
      <c r="AM27" s="97">
        <v>0.44</v>
      </c>
      <c r="AN27" s="113">
        <v>-29704</v>
      </c>
      <c r="AO27" s="114">
        <v>5592</v>
      </c>
      <c r="AP27" s="113">
        <v>40888</v>
      </c>
      <c r="AQ27" s="113">
        <v>76184</v>
      </c>
      <c r="AR27" s="113">
        <v>111480</v>
      </c>
      <c r="AS27" s="113">
        <v>146776</v>
      </c>
      <c r="AU27" s="126"/>
      <c r="AV27" s="97">
        <f t="shared" si="2"/>
        <v>0.44</v>
      </c>
      <c r="AW27" s="113">
        <v>-64020</v>
      </c>
      <c r="AX27" s="114">
        <v>20460</v>
      </c>
      <c r="AY27" s="113">
        <v>104940</v>
      </c>
      <c r="AZ27" s="113">
        <v>189420</v>
      </c>
      <c r="BA27" s="113">
        <v>273900</v>
      </c>
      <c r="BB27" s="113">
        <v>358380</v>
      </c>
    </row>
    <row r="28" spans="1:54" outlineLevel="1" x14ac:dyDescent="0.25">
      <c r="A28" s="45" t="s">
        <v>18</v>
      </c>
      <c r="B28" s="45"/>
      <c r="C28" s="45"/>
      <c r="D28" s="45"/>
      <c r="E28" s="24"/>
      <c r="F28" s="25">
        <f>+F60</f>
        <v>13500</v>
      </c>
      <c r="G28" s="25">
        <f t="shared" ref="G28:AG28" si="7">+G60</f>
        <v>11288.734009270938</v>
      </c>
      <c r="H28" s="25">
        <f t="shared" si="7"/>
        <v>8856.3414194689685</v>
      </c>
      <c r="I28" s="25">
        <f t="shared" si="7"/>
        <v>6180.7095706868022</v>
      </c>
      <c r="J28" s="25">
        <f t="shared" si="7"/>
        <v>3237.5145370264195</v>
      </c>
      <c r="K28" s="25">
        <f t="shared" si="7"/>
        <v>0</v>
      </c>
      <c r="L28" s="25">
        <f t="shared" si="7"/>
        <v>0</v>
      </c>
      <c r="M28" s="25">
        <f t="shared" si="7"/>
        <v>0</v>
      </c>
      <c r="N28" s="25">
        <f t="shared" si="7"/>
        <v>0</v>
      </c>
      <c r="O28" s="25">
        <f t="shared" si="7"/>
        <v>0</v>
      </c>
      <c r="P28" s="25">
        <f t="shared" si="7"/>
        <v>0</v>
      </c>
      <c r="Q28" s="25">
        <f t="shared" si="7"/>
        <v>0</v>
      </c>
      <c r="R28" s="25">
        <f t="shared" si="7"/>
        <v>0</v>
      </c>
      <c r="S28" s="25">
        <f t="shared" si="7"/>
        <v>0</v>
      </c>
      <c r="T28" s="25">
        <f t="shared" si="7"/>
        <v>0</v>
      </c>
      <c r="U28" s="25">
        <f t="shared" si="7"/>
        <v>0</v>
      </c>
      <c r="V28" s="25">
        <f t="shared" si="7"/>
        <v>0</v>
      </c>
      <c r="W28" s="25">
        <f t="shared" si="7"/>
        <v>0</v>
      </c>
      <c r="X28" s="25">
        <f t="shared" si="7"/>
        <v>0</v>
      </c>
      <c r="Y28" s="25">
        <f t="shared" si="7"/>
        <v>0</v>
      </c>
      <c r="Z28" s="25">
        <f t="shared" si="7"/>
        <v>0</v>
      </c>
      <c r="AA28" s="25">
        <f t="shared" si="7"/>
        <v>0</v>
      </c>
      <c r="AB28" s="25">
        <f t="shared" si="7"/>
        <v>0</v>
      </c>
      <c r="AC28" s="25">
        <f t="shared" si="7"/>
        <v>0</v>
      </c>
      <c r="AD28" s="25">
        <f t="shared" si="7"/>
        <v>0</v>
      </c>
      <c r="AE28" s="25">
        <f t="shared" si="7"/>
        <v>0</v>
      </c>
      <c r="AF28" s="25">
        <f t="shared" si="7"/>
        <v>0</v>
      </c>
      <c r="AG28" s="25">
        <f t="shared" si="7"/>
        <v>0</v>
      </c>
      <c r="AH28" s="25">
        <f>SUM(F28:AG28)</f>
        <v>43063.299536453123</v>
      </c>
    </row>
    <row r="29" spans="1:54" outlineLevel="1" x14ac:dyDescent="0.25">
      <c r="A29" s="44" t="s">
        <v>19</v>
      </c>
      <c r="B29" s="44"/>
      <c r="C29" s="44"/>
      <c r="D29" s="44"/>
      <c r="E29" s="20">
        <f>E27</f>
        <v>-135000</v>
      </c>
      <c r="F29" s="20">
        <f>F27+E29</f>
        <v>-99387.340092709375</v>
      </c>
      <c r="G29" s="20">
        <f>G27+F29</f>
        <v>-63774.680185418743</v>
      </c>
      <c r="H29" s="20">
        <f t="shared" ref="H29:AG29" si="8">H27+G29</f>
        <v>-28162.020278128111</v>
      </c>
      <c r="I29" s="20">
        <f t="shared" si="8"/>
        <v>7450.6396291625206</v>
      </c>
      <c r="J29" s="20">
        <f t="shared" si="8"/>
        <v>43063.299536453153</v>
      </c>
      <c r="K29" s="20">
        <f t="shared" si="8"/>
        <v>43063.299536453153</v>
      </c>
      <c r="L29" s="20">
        <f t="shared" si="8"/>
        <v>43063.299536453153</v>
      </c>
      <c r="M29" s="20">
        <f t="shared" si="8"/>
        <v>43063.299536453153</v>
      </c>
      <c r="N29" s="20">
        <f t="shared" si="8"/>
        <v>43063.299536453153</v>
      </c>
      <c r="O29" s="20">
        <f t="shared" si="8"/>
        <v>43063.299536453153</v>
      </c>
      <c r="P29" s="20">
        <f t="shared" si="8"/>
        <v>43063.299536453153</v>
      </c>
      <c r="Q29" s="20">
        <f t="shared" si="8"/>
        <v>43063.299536453153</v>
      </c>
      <c r="R29" s="20">
        <f t="shared" si="8"/>
        <v>43063.299536453153</v>
      </c>
      <c r="S29" s="20">
        <f t="shared" si="8"/>
        <v>43063.299536453153</v>
      </c>
      <c r="T29" s="20">
        <f t="shared" si="8"/>
        <v>43063.299536453153</v>
      </c>
      <c r="U29" s="20">
        <f t="shared" si="8"/>
        <v>43063.299536453153</v>
      </c>
      <c r="V29" s="20">
        <f t="shared" si="8"/>
        <v>43063.299536453153</v>
      </c>
      <c r="W29" s="20">
        <f t="shared" si="8"/>
        <v>43063.299536453153</v>
      </c>
      <c r="X29" s="20">
        <f t="shared" si="8"/>
        <v>43063.299536453153</v>
      </c>
      <c r="Y29" s="20">
        <f t="shared" si="8"/>
        <v>43063.299536453153</v>
      </c>
      <c r="Z29" s="20">
        <f t="shared" si="8"/>
        <v>43063.299536453153</v>
      </c>
      <c r="AA29" s="20">
        <f t="shared" si="8"/>
        <v>43063.299536453153</v>
      </c>
      <c r="AB29" s="20">
        <f t="shared" si="8"/>
        <v>43063.299536453153</v>
      </c>
      <c r="AC29" s="20">
        <f t="shared" si="8"/>
        <v>43063.299536453153</v>
      </c>
      <c r="AD29" s="20">
        <f t="shared" si="8"/>
        <v>43063.299536453153</v>
      </c>
      <c r="AE29" s="20">
        <f t="shared" si="8"/>
        <v>43063.299536453153</v>
      </c>
      <c r="AF29" s="20">
        <f t="shared" si="8"/>
        <v>43063.299536453153</v>
      </c>
      <c r="AG29" s="20">
        <f t="shared" si="8"/>
        <v>43063.299536453153</v>
      </c>
      <c r="AH29" s="27">
        <f>AG29/G6</f>
        <v>0.31898740397372705</v>
      </c>
      <c r="AL29" s="124" t="s">
        <v>77</v>
      </c>
      <c r="AM29" s="124"/>
      <c r="AN29" s="94"/>
      <c r="AO29" s="95"/>
      <c r="AP29" s="53"/>
      <c r="AQ29" s="53"/>
      <c r="AR29" s="53"/>
      <c r="AS29" s="53"/>
    </row>
    <row r="30" spans="1:54" outlineLevel="1" x14ac:dyDescent="0.25">
      <c r="A30" s="44" t="s">
        <v>21</v>
      </c>
      <c r="B30" s="44"/>
      <c r="C30" s="44"/>
      <c r="D30" s="44"/>
      <c r="E30" s="54">
        <f>+E10*(1+F10)</f>
        <v>0.3</v>
      </c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9" t="s">
        <v>22</v>
      </c>
      <c r="AJ30" s="53"/>
      <c r="AL30" s="124"/>
      <c r="AM30" s="124"/>
      <c r="AN30" s="125" t="s">
        <v>78</v>
      </c>
      <c r="AO30" s="125"/>
      <c r="AP30" s="125"/>
      <c r="AQ30" s="125"/>
      <c r="AR30" s="125"/>
      <c r="AS30" s="125"/>
    </row>
    <row r="31" spans="1:54" outlineLevel="1" x14ac:dyDescent="0.25">
      <c r="A31" s="44" t="s">
        <v>24</v>
      </c>
      <c r="B31" s="44"/>
      <c r="C31" s="44"/>
      <c r="D31" s="44"/>
      <c r="E31" s="20"/>
      <c r="F31" s="20">
        <f>+F26/$E$30</f>
        <v>118708.86635763544</v>
      </c>
      <c r="G31" s="20">
        <f t="shared" ref="G31:AG31" si="9">+G26/$E$30</f>
        <v>118708.86635763544</v>
      </c>
      <c r="H31" s="20">
        <f t="shared" si="9"/>
        <v>118708.86635763544</v>
      </c>
      <c r="I31" s="20">
        <f t="shared" si="9"/>
        <v>118708.86635763544</v>
      </c>
      <c r="J31" s="20">
        <f t="shared" si="9"/>
        <v>118708.86635763544</v>
      </c>
      <c r="K31" s="20">
        <f t="shared" si="9"/>
        <v>0</v>
      </c>
      <c r="L31" s="20">
        <f t="shared" si="9"/>
        <v>0</v>
      </c>
      <c r="M31" s="20">
        <f t="shared" si="9"/>
        <v>0</v>
      </c>
      <c r="N31" s="20">
        <f t="shared" si="9"/>
        <v>0</v>
      </c>
      <c r="O31" s="20">
        <f t="shared" si="9"/>
        <v>0</v>
      </c>
      <c r="P31" s="20">
        <f t="shared" si="9"/>
        <v>0</v>
      </c>
      <c r="Q31" s="20">
        <f t="shared" si="9"/>
        <v>0</v>
      </c>
      <c r="R31" s="20">
        <f t="shared" si="9"/>
        <v>0</v>
      </c>
      <c r="S31" s="20">
        <f t="shared" si="9"/>
        <v>0</v>
      </c>
      <c r="T31" s="20">
        <f t="shared" si="9"/>
        <v>0</v>
      </c>
      <c r="U31" s="20">
        <f t="shared" si="9"/>
        <v>0</v>
      </c>
      <c r="V31" s="20">
        <f t="shared" si="9"/>
        <v>0</v>
      </c>
      <c r="W31" s="20">
        <f t="shared" si="9"/>
        <v>0</v>
      </c>
      <c r="X31" s="20">
        <f t="shared" si="9"/>
        <v>0</v>
      </c>
      <c r="Y31" s="20">
        <f t="shared" si="9"/>
        <v>0</v>
      </c>
      <c r="Z31" s="20">
        <f t="shared" si="9"/>
        <v>0</v>
      </c>
      <c r="AA31" s="20">
        <f t="shared" si="9"/>
        <v>0</v>
      </c>
      <c r="AB31" s="20">
        <f t="shared" si="9"/>
        <v>0</v>
      </c>
      <c r="AC31" s="20">
        <f t="shared" si="9"/>
        <v>0</v>
      </c>
      <c r="AD31" s="20">
        <f t="shared" si="9"/>
        <v>0</v>
      </c>
      <c r="AE31" s="20">
        <f t="shared" si="9"/>
        <v>0</v>
      </c>
      <c r="AF31" s="20">
        <f t="shared" si="9"/>
        <v>0</v>
      </c>
      <c r="AG31" s="20">
        <f t="shared" si="9"/>
        <v>0</v>
      </c>
      <c r="AH31" s="19">
        <f>SUM(F31:AG31)</f>
        <v>593544.33178817725</v>
      </c>
      <c r="AL31" s="117">
        <v>6</v>
      </c>
      <c r="AM31" s="118">
        <f>+H18</f>
        <v>0.27051635384559636</v>
      </c>
      <c r="AN31" s="111">
        <f t="shared" ref="AN31:AS31" si="10">+AW19</f>
        <v>1</v>
      </c>
      <c r="AO31" s="111">
        <f t="shared" si="10"/>
        <v>2</v>
      </c>
      <c r="AP31" s="111">
        <f t="shared" si="10"/>
        <v>3</v>
      </c>
      <c r="AQ31" s="111">
        <f t="shared" si="10"/>
        <v>4</v>
      </c>
      <c r="AR31" s="111">
        <f t="shared" si="10"/>
        <v>5</v>
      </c>
      <c r="AS31" s="111">
        <f t="shared" si="10"/>
        <v>6</v>
      </c>
    </row>
    <row r="32" spans="1:54" outlineLevel="1" x14ac:dyDescent="0.25">
      <c r="A32" s="44" t="s">
        <v>26</v>
      </c>
      <c r="B32" s="44"/>
      <c r="C32" s="44"/>
      <c r="D32" s="44"/>
      <c r="E32" s="20"/>
      <c r="F32" s="20">
        <f>+$E$7/$E$12</f>
        <v>2700</v>
      </c>
      <c r="G32" s="20">
        <f>IF(SUM(F$32:$F32)&gt;=$E$7,0,$E$7/$E$12)</f>
        <v>2700</v>
      </c>
      <c r="H32" s="20">
        <f>IF(SUM($F$32:G32)&gt;=$E$7,0,$E$7/$E$12)</f>
        <v>2700</v>
      </c>
      <c r="I32" s="20">
        <f>IF(SUM($F$32:H32)&gt;=$E$7,0,$E$7/$E$12)</f>
        <v>2700</v>
      </c>
      <c r="J32" s="20">
        <f>IF(SUM($F$32:I32)&gt;=$E$7,0,$E$7/$E$12)</f>
        <v>2700</v>
      </c>
      <c r="K32" s="20">
        <f>IF(SUM($F$32:J32)&gt;=$E$7,0,$E$7/$E$12)</f>
        <v>0</v>
      </c>
      <c r="L32" s="20">
        <f>IF(SUM($F$32:K32)&gt;=$E$7,0,$E$7/$E$12)</f>
        <v>0</v>
      </c>
      <c r="M32" s="20">
        <f>IF(SUM($F$32:L32)&gt;=$E$7,0,$E$7/$E$12)</f>
        <v>0</v>
      </c>
      <c r="N32" s="20">
        <f>IF(SUM($F$32:M32)&gt;=$E$7,0,$E$7/$E$12)</f>
        <v>0</v>
      </c>
      <c r="O32" s="20">
        <f>IF(SUM($F$32:N32)&gt;=$E$7,0,$E$7/$E$12)</f>
        <v>0</v>
      </c>
      <c r="P32" s="20">
        <f>IF(SUM($F$32:O32)&gt;=$E$7,0,$E$7/$E$12)</f>
        <v>0</v>
      </c>
      <c r="Q32" s="20">
        <f>IF(SUM($F$32:P32)&gt;=$E$7,0,$E$7/$E$12)</f>
        <v>0</v>
      </c>
      <c r="R32" s="20">
        <f>IF(SUM($F$32:Q32)&gt;=$E$7,0,$E$7/$E$12)</f>
        <v>0</v>
      </c>
      <c r="S32" s="20">
        <f>IF(SUM($F$32:R32)&gt;=$E$7,0,$E$7/$E$12)</f>
        <v>0</v>
      </c>
      <c r="T32" s="20">
        <f>IF(SUM($F$32:S32)&gt;=$E$7,0,$E$7/$E$12)</f>
        <v>0</v>
      </c>
      <c r="U32" s="20">
        <f>IF(SUM($F$32:T32)&gt;=$E$7,0,$E$7/$E$12)</f>
        <v>0</v>
      </c>
      <c r="V32" s="20">
        <f>IF(SUM($F$32:U32)&gt;=$E$7,0,$E$7/$E$12)</f>
        <v>0</v>
      </c>
      <c r="W32" s="20">
        <f>IF(SUM($F$32:V32)&gt;=$E$7,0,$E$7/$E$12)</f>
        <v>0</v>
      </c>
      <c r="X32" s="20">
        <f>IF(SUM($F$32:W32)&gt;=$E$7,0,$E$7/$E$12)</f>
        <v>0</v>
      </c>
      <c r="Y32" s="20">
        <f>IF(SUM($F$32:X32)&gt;=$E$7,0,$E$7/$E$12)</f>
        <v>0</v>
      </c>
      <c r="Z32" s="20">
        <f>IF(SUM($F$32:Y32)&gt;=$E$7,0,$E$7/$E$12)</f>
        <v>0</v>
      </c>
      <c r="AA32" s="20">
        <f>IF(SUM($F$32:Z32)&gt;=$E$7,0,$E$7/$E$12)</f>
        <v>0</v>
      </c>
      <c r="AB32" s="20">
        <f>IF(SUM($F$32:AA32)&gt;=$E$7,0,$E$7/$E$12)</f>
        <v>0</v>
      </c>
      <c r="AC32" s="20">
        <f>IF(SUM($F$32:AB32)&gt;=$E$7,0,$E$7/$E$12)</f>
        <v>0</v>
      </c>
      <c r="AD32" s="20">
        <f>IF(SUM($F$32:AC32)&gt;=$E$7,0,$E$7/$E$12)</f>
        <v>0</v>
      </c>
      <c r="AE32" s="20">
        <f>IF(SUM($F$32:AD32)&gt;=$E$7,0,$E$7/$E$12)</f>
        <v>0</v>
      </c>
      <c r="AF32" s="20">
        <f>IF(SUM($F$32:AE32)&gt;=$E$7,0,$E$7/$E$12)</f>
        <v>0</v>
      </c>
      <c r="AG32" s="20">
        <f>IF(SUM($F$32:AF32)&gt;=$E$7,0,$E$7/$E$12)</f>
        <v>0</v>
      </c>
      <c r="AH32" s="19">
        <f>SUM(F32:AG32)</f>
        <v>13500</v>
      </c>
      <c r="AL32" s="126" t="s">
        <v>62</v>
      </c>
      <c r="AM32" s="97">
        <f t="shared" ref="AM32:AM39" si="11">+AV20</f>
        <v>0.1</v>
      </c>
      <c r="AN32" s="115">
        <f t="dataTable" ref="AN32:AS39" dt2D="1" dtr="1" r1="E12" r2="E10" ca="1"/>
        <v>-0.86998239234089847</v>
      </c>
      <c r="AO32" s="115">
        <v>-0.56943059936165819</v>
      </c>
      <c r="AP32" s="115">
        <v>-0.35662114210426821</v>
      </c>
      <c r="AQ32" s="115">
        <v>-0.21980420835316183</v>
      </c>
      <c r="AR32" s="115">
        <v>-0.1296436633914709</v>
      </c>
      <c r="AS32" s="115">
        <v>-6.7987123131752022E-2</v>
      </c>
    </row>
    <row r="33" spans="1:45" outlineLevel="1" x14ac:dyDescent="0.25">
      <c r="A33" s="44" t="s">
        <v>28</v>
      </c>
      <c r="B33" s="44"/>
      <c r="C33" s="44"/>
      <c r="D33" s="44"/>
      <c r="E33" s="20"/>
      <c r="F33" s="20">
        <f>+F31+F32</f>
        <v>121408.86635763544</v>
      </c>
      <c r="G33" s="20">
        <f t="shared" ref="G33:AG33" si="12">+G31+G32</f>
        <v>121408.86635763544</v>
      </c>
      <c r="H33" s="20">
        <f t="shared" si="12"/>
        <v>121408.86635763544</v>
      </c>
      <c r="I33" s="20">
        <f t="shared" si="12"/>
        <v>121408.86635763544</v>
      </c>
      <c r="J33" s="20">
        <f t="shared" si="12"/>
        <v>121408.86635763544</v>
      </c>
      <c r="K33" s="20">
        <f t="shared" si="12"/>
        <v>0</v>
      </c>
      <c r="L33" s="20">
        <f t="shared" si="12"/>
        <v>0</v>
      </c>
      <c r="M33" s="20">
        <f t="shared" si="12"/>
        <v>0</v>
      </c>
      <c r="N33" s="20">
        <f t="shared" si="12"/>
        <v>0</v>
      </c>
      <c r="O33" s="20">
        <f t="shared" si="12"/>
        <v>0</v>
      </c>
      <c r="P33" s="20">
        <f t="shared" si="12"/>
        <v>0</v>
      </c>
      <c r="Q33" s="20">
        <f t="shared" si="12"/>
        <v>0</v>
      </c>
      <c r="R33" s="20">
        <f t="shared" si="12"/>
        <v>0</v>
      </c>
      <c r="S33" s="20">
        <f t="shared" si="12"/>
        <v>0</v>
      </c>
      <c r="T33" s="20">
        <f t="shared" si="12"/>
        <v>0</v>
      </c>
      <c r="U33" s="20">
        <f t="shared" si="12"/>
        <v>0</v>
      </c>
      <c r="V33" s="20">
        <f t="shared" si="12"/>
        <v>0</v>
      </c>
      <c r="W33" s="20">
        <f t="shared" si="12"/>
        <v>0</v>
      </c>
      <c r="X33" s="20">
        <f t="shared" si="12"/>
        <v>0</v>
      </c>
      <c r="Y33" s="20">
        <f t="shared" si="12"/>
        <v>0</v>
      </c>
      <c r="Z33" s="20">
        <f t="shared" si="12"/>
        <v>0</v>
      </c>
      <c r="AA33" s="20">
        <f t="shared" si="12"/>
        <v>0</v>
      </c>
      <c r="AB33" s="20">
        <f t="shared" si="12"/>
        <v>0</v>
      </c>
      <c r="AC33" s="20">
        <f t="shared" si="12"/>
        <v>0</v>
      </c>
      <c r="AD33" s="20">
        <f t="shared" si="12"/>
        <v>0</v>
      </c>
      <c r="AE33" s="20">
        <f t="shared" si="12"/>
        <v>0</v>
      </c>
      <c r="AF33" s="20">
        <f t="shared" si="12"/>
        <v>0</v>
      </c>
      <c r="AG33" s="20">
        <f t="shared" si="12"/>
        <v>0</v>
      </c>
      <c r="AH33" s="19">
        <f>SUM(F33:AG33)</f>
        <v>607044.33178817725</v>
      </c>
      <c r="AL33" s="126"/>
      <c r="AM33" s="97">
        <f t="shared" si="11"/>
        <v>0.15</v>
      </c>
      <c r="AN33" s="115">
        <v>-0.80518952980637559</v>
      </c>
      <c r="AO33" s="115">
        <v>-0.45154707059264193</v>
      </c>
      <c r="AP33" s="115">
        <v>-0.22840816155076032</v>
      </c>
      <c r="AQ33" s="115">
        <v>-9.4266548752784743E-2</v>
      </c>
      <c r="AR33" s="115">
        <v>-1.0159274935722353E-2</v>
      </c>
      <c r="AS33" s="115">
        <v>4.5048704743385334E-2</v>
      </c>
    </row>
    <row r="34" spans="1:45" outlineLevel="1" x14ac:dyDescent="0.25">
      <c r="A34" s="24" t="s">
        <v>30</v>
      </c>
      <c r="B34" s="24"/>
      <c r="C34" s="24"/>
      <c r="D34" s="24"/>
      <c r="E34" s="30" t="s">
        <v>31</v>
      </c>
      <c r="F34" s="31">
        <f>AH33/$E$6</f>
        <v>4.4966246799124239</v>
      </c>
      <c r="G34" s="31"/>
      <c r="H34" s="31"/>
      <c r="I34" s="30" t="s">
        <v>32</v>
      </c>
      <c r="J34" s="30"/>
      <c r="K34" s="30"/>
      <c r="L34" s="31">
        <f>AH26/$E$6</f>
        <v>1.318987403973727</v>
      </c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2">
        <f>L34/F34</f>
        <v>0.29332832910560275</v>
      </c>
      <c r="AL34" s="126"/>
      <c r="AM34" s="97">
        <f t="shared" si="11"/>
        <v>0.2</v>
      </c>
      <c r="AN34" s="115">
        <v>-0.74045678898692135</v>
      </c>
      <c r="AO34" s="115">
        <v>-0.34554069861769687</v>
      </c>
      <c r="AP34" s="115">
        <v>-0.11681361161172388</v>
      </c>
      <c r="AQ34" s="115">
        <v>1.3629773259162901E-2</v>
      </c>
      <c r="AR34" s="115">
        <v>9.2127254605293293E-2</v>
      </c>
      <c r="AS34" s="115">
        <v>0.14185972809791564</v>
      </c>
    </row>
    <row r="35" spans="1:45" x14ac:dyDescent="0.25">
      <c r="P35"/>
      <c r="AH35" s="1"/>
      <c r="AL35" s="126"/>
      <c r="AM35" s="97">
        <f t="shared" si="11"/>
        <v>0.25</v>
      </c>
      <c r="AN35" s="115">
        <v>-0.67576872035861002</v>
      </c>
      <c r="AO35" s="115">
        <v>-0.24695118442177777</v>
      </c>
      <c r="AP35" s="115">
        <v>-1.5208849310874937E-2</v>
      </c>
      <c r="AQ35" s="115">
        <v>0.11118027567863462</v>
      </c>
      <c r="AR35" s="115">
        <v>0.1845253050327301</v>
      </c>
      <c r="AS35" s="115">
        <v>0.22950695157051088</v>
      </c>
    </row>
    <row r="36" spans="1:45" s="53" customFormat="1" x14ac:dyDescent="0.25">
      <c r="A36" s="4" t="s">
        <v>2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6"/>
      <c r="AI36"/>
      <c r="AJ36"/>
      <c r="AK36"/>
      <c r="AL36" s="126"/>
      <c r="AM36" s="97">
        <f t="shared" si="11"/>
        <v>0.3</v>
      </c>
      <c r="AN36" s="115">
        <v>-0.6111162312328815</v>
      </c>
      <c r="AO36" s="115">
        <v>-0.15351300351321698</v>
      </c>
      <c r="AP36" s="121">
        <v>7.9662659764289878E-2</v>
      </c>
      <c r="AQ36" s="119">
        <v>0.20190340876579285</v>
      </c>
      <c r="AR36" s="115">
        <v>0.27051635384559636</v>
      </c>
      <c r="AS36" s="115">
        <v>0.31132144331932077</v>
      </c>
    </row>
    <row r="37" spans="1:45" outlineLevel="1" x14ac:dyDescent="0.25">
      <c r="A37" s="1" t="s">
        <v>3</v>
      </c>
      <c r="B37" s="1" t="s">
        <v>4</v>
      </c>
      <c r="C37" s="1" t="s">
        <v>5</v>
      </c>
      <c r="D37" s="1" t="s">
        <v>6</v>
      </c>
      <c r="F37" s="3" t="str">
        <f t="shared" ref="F37:AG37" si="13">+IF($E$11="trimestrielle","Trimestre ","Année ")&amp;F25</f>
        <v>Année 1</v>
      </c>
      <c r="G37" s="99" t="str">
        <f t="shared" si="13"/>
        <v>Année 2</v>
      </c>
      <c r="H37" s="99" t="str">
        <f t="shared" si="13"/>
        <v>Année 3</v>
      </c>
      <c r="I37" s="3" t="str">
        <f t="shared" si="13"/>
        <v>Année 4</v>
      </c>
      <c r="J37" s="99" t="str">
        <f t="shared" si="13"/>
        <v>Année 5</v>
      </c>
      <c r="K37" s="99" t="str">
        <f t="shared" si="13"/>
        <v>Année 6</v>
      </c>
      <c r="L37" s="3" t="str">
        <f t="shared" si="13"/>
        <v>Année 7</v>
      </c>
      <c r="M37" s="99" t="str">
        <f t="shared" si="13"/>
        <v>Année 8</v>
      </c>
      <c r="N37" s="99" t="str">
        <f t="shared" si="13"/>
        <v>Année 9</v>
      </c>
      <c r="O37" s="3" t="str">
        <f t="shared" si="13"/>
        <v>Année 10</v>
      </c>
      <c r="P37" s="99" t="str">
        <f t="shared" si="13"/>
        <v>Année 11</v>
      </c>
      <c r="Q37" s="99" t="str">
        <f t="shared" si="13"/>
        <v>Année 12</v>
      </c>
      <c r="R37" s="3" t="str">
        <f t="shared" si="13"/>
        <v>Année 13</v>
      </c>
      <c r="S37" s="99" t="str">
        <f t="shared" si="13"/>
        <v>Année 14</v>
      </c>
      <c r="T37" s="99" t="str">
        <f t="shared" si="13"/>
        <v>Année 15</v>
      </c>
      <c r="U37" s="3" t="str">
        <f t="shared" si="13"/>
        <v>Année 16</v>
      </c>
      <c r="V37" s="99" t="str">
        <f t="shared" si="13"/>
        <v>Année 17</v>
      </c>
      <c r="W37" s="99" t="str">
        <f t="shared" si="13"/>
        <v>Année 18</v>
      </c>
      <c r="X37" s="3" t="str">
        <f t="shared" si="13"/>
        <v>Année 19</v>
      </c>
      <c r="Y37" s="99" t="str">
        <f t="shared" si="13"/>
        <v>Année 20</v>
      </c>
      <c r="Z37" s="99" t="str">
        <f t="shared" si="13"/>
        <v>Année 21</v>
      </c>
      <c r="AA37" s="3" t="str">
        <f t="shared" si="13"/>
        <v>Année 22</v>
      </c>
      <c r="AB37" s="99" t="str">
        <f t="shared" si="13"/>
        <v>Année 23</v>
      </c>
      <c r="AC37" s="99" t="str">
        <f t="shared" si="13"/>
        <v>Année 24</v>
      </c>
      <c r="AD37" s="3" t="str">
        <f t="shared" si="13"/>
        <v>Année 25</v>
      </c>
      <c r="AE37" s="99" t="str">
        <f t="shared" si="13"/>
        <v>Année 26</v>
      </c>
      <c r="AF37" s="99" t="str">
        <f t="shared" si="13"/>
        <v>Année 27</v>
      </c>
      <c r="AG37" s="3" t="str">
        <f t="shared" si="13"/>
        <v>Année 28</v>
      </c>
      <c r="AH37" s="3" t="s">
        <v>7</v>
      </c>
      <c r="AK37" s="53"/>
      <c r="AL37" s="126"/>
      <c r="AM37" s="97">
        <f t="shared" si="11"/>
        <v>0.35</v>
      </c>
      <c r="AN37" s="115">
        <v>-0.54649332687258734</v>
      </c>
      <c r="AO37" s="115">
        <v>-6.389335691928863E-2</v>
      </c>
      <c r="AP37" s="119">
        <v>0.16966902613639834</v>
      </c>
      <c r="AQ37" s="119">
        <v>0.28778820633888247</v>
      </c>
      <c r="AR37" s="115">
        <v>0.35204779505729678</v>
      </c>
      <c r="AS37" s="115">
        <v>0.3891498386859894</v>
      </c>
    </row>
    <row r="38" spans="1:45" outlineLevel="1" x14ac:dyDescent="0.25">
      <c r="A38" s="44"/>
      <c r="B38" s="44"/>
      <c r="C38" s="44"/>
      <c r="D38" s="44"/>
      <c r="E38" s="53"/>
      <c r="F38" s="75">
        <v>0</v>
      </c>
      <c r="G38" s="75">
        <v>0</v>
      </c>
      <c r="H38" s="75">
        <f t="shared" ref="H38:AG38" si="14">+G38</f>
        <v>0</v>
      </c>
      <c r="I38" s="75">
        <f t="shared" si="14"/>
        <v>0</v>
      </c>
      <c r="J38" s="75">
        <f t="shared" si="14"/>
        <v>0</v>
      </c>
      <c r="K38" s="75">
        <f t="shared" si="14"/>
        <v>0</v>
      </c>
      <c r="L38" s="75">
        <f t="shared" si="14"/>
        <v>0</v>
      </c>
      <c r="M38" s="75">
        <f t="shared" si="14"/>
        <v>0</v>
      </c>
      <c r="N38" s="75">
        <f t="shared" si="14"/>
        <v>0</v>
      </c>
      <c r="O38" s="75">
        <f t="shared" si="14"/>
        <v>0</v>
      </c>
      <c r="P38" s="75">
        <f t="shared" si="14"/>
        <v>0</v>
      </c>
      <c r="Q38" s="75">
        <f t="shared" si="14"/>
        <v>0</v>
      </c>
      <c r="R38" s="75">
        <f t="shared" si="14"/>
        <v>0</v>
      </c>
      <c r="S38" s="75">
        <f t="shared" si="14"/>
        <v>0</v>
      </c>
      <c r="T38" s="75">
        <f t="shared" si="14"/>
        <v>0</v>
      </c>
      <c r="U38" s="75">
        <f t="shared" si="14"/>
        <v>0</v>
      </c>
      <c r="V38" s="75">
        <f t="shared" si="14"/>
        <v>0</v>
      </c>
      <c r="W38" s="75">
        <f t="shared" si="14"/>
        <v>0</v>
      </c>
      <c r="X38" s="75">
        <f t="shared" si="14"/>
        <v>0</v>
      </c>
      <c r="Y38" s="75">
        <f t="shared" si="14"/>
        <v>0</v>
      </c>
      <c r="Z38" s="75">
        <f t="shared" si="14"/>
        <v>0</v>
      </c>
      <c r="AA38" s="75">
        <f t="shared" si="14"/>
        <v>0</v>
      </c>
      <c r="AB38" s="75">
        <f t="shared" si="14"/>
        <v>0</v>
      </c>
      <c r="AC38" s="75">
        <f t="shared" si="14"/>
        <v>0</v>
      </c>
      <c r="AD38" s="75">
        <f t="shared" si="14"/>
        <v>0</v>
      </c>
      <c r="AE38" s="75">
        <f t="shared" si="14"/>
        <v>0</v>
      </c>
      <c r="AF38" s="75">
        <f t="shared" si="14"/>
        <v>0</v>
      </c>
      <c r="AG38" s="75">
        <f t="shared" si="14"/>
        <v>0</v>
      </c>
      <c r="AH38" s="77"/>
      <c r="AI38" s="53"/>
      <c r="AJ38" s="53"/>
      <c r="AL38" s="126"/>
      <c r="AM38" s="97">
        <f t="shared" si="11"/>
        <v>0.4</v>
      </c>
      <c r="AN38" s="115">
        <v>-0.48189571574330342</v>
      </c>
      <c r="AO38" s="115">
        <v>2.2767671942710881E-2</v>
      </c>
      <c r="AP38" s="119">
        <v>0.25599092841148374</v>
      </c>
      <c r="AQ38" s="119">
        <v>0.37007594704628</v>
      </c>
      <c r="AR38" s="115">
        <v>0.43032298684120185</v>
      </c>
      <c r="AS38" s="115">
        <v>0.46412270665168764</v>
      </c>
    </row>
    <row r="39" spans="1:45" outlineLevel="1" x14ac:dyDescent="0.25">
      <c r="A39" t="s">
        <v>10</v>
      </c>
      <c r="B39" s="13">
        <f>200*(1+$F$6)</f>
        <v>200</v>
      </c>
      <c r="C39" s="8">
        <v>6</v>
      </c>
      <c r="D39" s="13">
        <v>10</v>
      </c>
      <c r="F39" s="14">
        <f t="shared" ref="F39:O42" si="15">IF(F$25&gt;$E$12,0,$B39*$C39*$D39*(1+F$38))/(IF($E$11="trimestrielle",4,1))</f>
        <v>12000</v>
      </c>
      <c r="G39" s="14">
        <f t="shared" si="15"/>
        <v>12000</v>
      </c>
      <c r="H39" s="14">
        <f t="shared" si="15"/>
        <v>12000</v>
      </c>
      <c r="I39" s="14">
        <f t="shared" si="15"/>
        <v>12000</v>
      </c>
      <c r="J39" s="14">
        <f t="shared" si="15"/>
        <v>12000</v>
      </c>
      <c r="K39" s="14">
        <f t="shared" si="15"/>
        <v>0</v>
      </c>
      <c r="L39" s="14">
        <f t="shared" si="15"/>
        <v>0</v>
      </c>
      <c r="M39" s="14">
        <f t="shared" si="15"/>
        <v>0</v>
      </c>
      <c r="N39" s="14">
        <f t="shared" si="15"/>
        <v>0</v>
      </c>
      <c r="O39" s="14">
        <f t="shared" si="15"/>
        <v>0</v>
      </c>
      <c r="P39" s="14">
        <f t="shared" ref="P39:Y42" si="16">IF(P$25&gt;$E$12,0,$B39*$C39*$D39*(1+P$38))/(IF($E$11="trimestrielle",4,1))</f>
        <v>0</v>
      </c>
      <c r="Q39" s="14">
        <f t="shared" si="16"/>
        <v>0</v>
      </c>
      <c r="R39" s="14">
        <f t="shared" si="16"/>
        <v>0</v>
      </c>
      <c r="S39" s="14">
        <f t="shared" si="16"/>
        <v>0</v>
      </c>
      <c r="T39" s="14">
        <f t="shared" si="16"/>
        <v>0</v>
      </c>
      <c r="U39" s="14">
        <f t="shared" si="16"/>
        <v>0</v>
      </c>
      <c r="V39" s="14">
        <f t="shared" si="16"/>
        <v>0</v>
      </c>
      <c r="W39" s="14">
        <f t="shared" si="16"/>
        <v>0</v>
      </c>
      <c r="X39" s="14">
        <f t="shared" si="16"/>
        <v>0</v>
      </c>
      <c r="Y39" s="14">
        <f t="shared" si="16"/>
        <v>0</v>
      </c>
      <c r="Z39" s="14">
        <f t="shared" ref="Z39:AG42" si="17">IF(Z$25&gt;$E$12,0,$B39*$C39*$D39*(1+Z$38))/(IF($E$11="trimestrielle",4,1))</f>
        <v>0</v>
      </c>
      <c r="AA39" s="14">
        <f t="shared" si="17"/>
        <v>0</v>
      </c>
      <c r="AB39" s="14">
        <f t="shared" si="17"/>
        <v>0</v>
      </c>
      <c r="AC39" s="14">
        <f t="shared" si="17"/>
        <v>0</v>
      </c>
      <c r="AD39" s="14">
        <f t="shared" si="17"/>
        <v>0</v>
      </c>
      <c r="AE39" s="14">
        <f t="shared" si="17"/>
        <v>0</v>
      </c>
      <c r="AF39" s="14">
        <f t="shared" si="17"/>
        <v>0</v>
      </c>
      <c r="AG39" s="14">
        <f t="shared" si="17"/>
        <v>0</v>
      </c>
      <c r="AH39" s="15">
        <f>SUM(F39:AG39)</f>
        <v>60000</v>
      </c>
      <c r="AL39" s="126"/>
      <c r="AM39" s="97">
        <f t="shared" si="11"/>
        <v>0.44</v>
      </c>
      <c r="AN39" s="115">
        <v>-0.43023367449641231</v>
      </c>
      <c r="AO39" s="122">
        <v>9.0369805693626404E-2</v>
      </c>
      <c r="AP39" s="115">
        <v>0.32294030785560612</v>
      </c>
      <c r="AQ39" s="115">
        <v>0.43388257622718807</v>
      </c>
      <c r="AR39" s="115">
        <v>0.49114249348640437</v>
      </c>
      <c r="AS39" s="115">
        <v>0.52255106568336485</v>
      </c>
    </row>
    <row r="40" spans="1:45" outlineLevel="1" x14ac:dyDescent="0.25">
      <c r="A40" t="s">
        <v>12</v>
      </c>
      <c r="B40" s="13">
        <f>200*(1+$F$6)</f>
        <v>200</v>
      </c>
      <c r="C40" s="8">
        <v>6</v>
      </c>
      <c r="D40" s="13">
        <v>10</v>
      </c>
      <c r="F40" s="14">
        <f t="shared" si="15"/>
        <v>12000</v>
      </c>
      <c r="G40" s="14">
        <f t="shared" si="15"/>
        <v>12000</v>
      </c>
      <c r="H40" s="14">
        <f t="shared" si="15"/>
        <v>12000</v>
      </c>
      <c r="I40" s="14">
        <f t="shared" si="15"/>
        <v>12000</v>
      </c>
      <c r="J40" s="14">
        <f t="shared" si="15"/>
        <v>12000</v>
      </c>
      <c r="K40" s="14">
        <f t="shared" si="15"/>
        <v>0</v>
      </c>
      <c r="L40" s="14">
        <f t="shared" si="15"/>
        <v>0</v>
      </c>
      <c r="M40" s="14">
        <f t="shared" si="15"/>
        <v>0</v>
      </c>
      <c r="N40" s="14">
        <f t="shared" si="15"/>
        <v>0</v>
      </c>
      <c r="O40" s="14">
        <f t="shared" si="15"/>
        <v>0</v>
      </c>
      <c r="P40" s="14">
        <f t="shared" si="16"/>
        <v>0</v>
      </c>
      <c r="Q40" s="14">
        <f t="shared" si="16"/>
        <v>0</v>
      </c>
      <c r="R40" s="14">
        <f t="shared" si="16"/>
        <v>0</v>
      </c>
      <c r="S40" s="14">
        <f t="shared" si="16"/>
        <v>0</v>
      </c>
      <c r="T40" s="14">
        <f t="shared" si="16"/>
        <v>0</v>
      </c>
      <c r="U40" s="14">
        <f t="shared" si="16"/>
        <v>0</v>
      </c>
      <c r="V40" s="14">
        <f t="shared" si="16"/>
        <v>0</v>
      </c>
      <c r="W40" s="14">
        <f t="shared" si="16"/>
        <v>0</v>
      </c>
      <c r="X40" s="14">
        <f t="shared" si="16"/>
        <v>0</v>
      </c>
      <c r="Y40" s="14">
        <f t="shared" si="16"/>
        <v>0</v>
      </c>
      <c r="Z40" s="14">
        <f t="shared" si="17"/>
        <v>0</v>
      </c>
      <c r="AA40" s="14">
        <f t="shared" si="17"/>
        <v>0</v>
      </c>
      <c r="AB40" s="14">
        <f t="shared" si="17"/>
        <v>0</v>
      </c>
      <c r="AC40" s="14">
        <f t="shared" si="17"/>
        <v>0</v>
      </c>
      <c r="AD40" s="14">
        <f t="shared" si="17"/>
        <v>0</v>
      </c>
      <c r="AE40" s="14">
        <f t="shared" si="17"/>
        <v>0</v>
      </c>
      <c r="AF40" s="14">
        <f t="shared" si="17"/>
        <v>0</v>
      </c>
      <c r="AG40" s="14">
        <f t="shared" si="17"/>
        <v>0</v>
      </c>
      <c r="AH40" s="15">
        <f>SUM(F40:AG40)</f>
        <v>60000</v>
      </c>
    </row>
    <row r="41" spans="1:45" outlineLevel="1" x14ac:dyDescent="0.25">
      <c r="A41" t="s">
        <v>13</v>
      </c>
      <c r="B41" s="13">
        <f>2800*(1+$F$6)</f>
        <v>2800</v>
      </c>
      <c r="C41" s="8">
        <v>3</v>
      </c>
      <c r="D41" s="13">
        <v>10</v>
      </c>
      <c r="F41" s="14">
        <f t="shared" si="15"/>
        <v>84000</v>
      </c>
      <c r="G41" s="14">
        <f t="shared" si="15"/>
        <v>84000</v>
      </c>
      <c r="H41" s="14">
        <f t="shared" si="15"/>
        <v>84000</v>
      </c>
      <c r="I41" s="14">
        <f t="shared" si="15"/>
        <v>84000</v>
      </c>
      <c r="J41" s="14">
        <f t="shared" si="15"/>
        <v>84000</v>
      </c>
      <c r="K41" s="14">
        <f t="shared" si="15"/>
        <v>0</v>
      </c>
      <c r="L41" s="14">
        <f t="shared" si="15"/>
        <v>0</v>
      </c>
      <c r="M41" s="14">
        <f t="shared" si="15"/>
        <v>0</v>
      </c>
      <c r="N41" s="14">
        <f t="shared" si="15"/>
        <v>0</v>
      </c>
      <c r="O41" s="14">
        <f t="shared" si="15"/>
        <v>0</v>
      </c>
      <c r="P41" s="14">
        <f t="shared" si="16"/>
        <v>0</v>
      </c>
      <c r="Q41" s="14">
        <f t="shared" si="16"/>
        <v>0</v>
      </c>
      <c r="R41" s="14">
        <f t="shared" si="16"/>
        <v>0</v>
      </c>
      <c r="S41" s="14">
        <f t="shared" si="16"/>
        <v>0</v>
      </c>
      <c r="T41" s="14">
        <f t="shared" si="16"/>
        <v>0</v>
      </c>
      <c r="U41" s="14">
        <f t="shared" si="16"/>
        <v>0</v>
      </c>
      <c r="V41" s="14">
        <f t="shared" si="16"/>
        <v>0</v>
      </c>
      <c r="W41" s="14">
        <f t="shared" si="16"/>
        <v>0</v>
      </c>
      <c r="X41" s="14">
        <f t="shared" si="16"/>
        <v>0</v>
      </c>
      <c r="Y41" s="14">
        <f t="shared" si="16"/>
        <v>0</v>
      </c>
      <c r="Z41" s="14">
        <f t="shared" si="17"/>
        <v>0</v>
      </c>
      <c r="AA41" s="14">
        <f t="shared" si="17"/>
        <v>0</v>
      </c>
      <c r="AB41" s="14">
        <f t="shared" si="17"/>
        <v>0</v>
      </c>
      <c r="AC41" s="14">
        <f t="shared" si="17"/>
        <v>0</v>
      </c>
      <c r="AD41" s="14">
        <f t="shared" si="17"/>
        <v>0</v>
      </c>
      <c r="AE41" s="14">
        <f t="shared" si="17"/>
        <v>0</v>
      </c>
      <c r="AF41" s="14">
        <f t="shared" si="17"/>
        <v>0</v>
      </c>
      <c r="AG41" s="14">
        <f t="shared" si="17"/>
        <v>0</v>
      </c>
      <c r="AH41" s="15">
        <f>SUM(F41:AG41)</f>
        <v>420000</v>
      </c>
    </row>
    <row r="42" spans="1:45" outlineLevel="1" x14ac:dyDescent="0.25">
      <c r="A42" t="s">
        <v>15</v>
      </c>
      <c r="B42" s="13">
        <f>2800*(1+$F$6)</f>
        <v>2800</v>
      </c>
      <c r="C42" s="8">
        <v>3</v>
      </c>
      <c r="D42" s="13">
        <v>10</v>
      </c>
      <c r="F42" s="14">
        <f t="shared" si="15"/>
        <v>84000</v>
      </c>
      <c r="G42" s="14">
        <f t="shared" si="15"/>
        <v>84000</v>
      </c>
      <c r="H42" s="14">
        <f t="shared" si="15"/>
        <v>84000</v>
      </c>
      <c r="I42" s="14">
        <f t="shared" si="15"/>
        <v>84000</v>
      </c>
      <c r="J42" s="14">
        <f t="shared" si="15"/>
        <v>84000</v>
      </c>
      <c r="K42" s="14">
        <f t="shared" si="15"/>
        <v>0</v>
      </c>
      <c r="L42" s="14">
        <f t="shared" si="15"/>
        <v>0</v>
      </c>
      <c r="M42" s="14">
        <f t="shared" si="15"/>
        <v>0</v>
      </c>
      <c r="N42" s="14">
        <f t="shared" si="15"/>
        <v>0</v>
      </c>
      <c r="O42" s="14">
        <f t="shared" si="15"/>
        <v>0</v>
      </c>
      <c r="P42" s="14">
        <f t="shared" si="16"/>
        <v>0</v>
      </c>
      <c r="Q42" s="14">
        <f t="shared" si="16"/>
        <v>0</v>
      </c>
      <c r="R42" s="14">
        <f t="shared" si="16"/>
        <v>0</v>
      </c>
      <c r="S42" s="14">
        <f t="shared" si="16"/>
        <v>0</v>
      </c>
      <c r="T42" s="14">
        <f t="shared" si="16"/>
        <v>0</v>
      </c>
      <c r="U42" s="14">
        <f t="shared" si="16"/>
        <v>0</v>
      </c>
      <c r="V42" s="14">
        <f t="shared" si="16"/>
        <v>0</v>
      </c>
      <c r="W42" s="14">
        <f t="shared" si="16"/>
        <v>0</v>
      </c>
      <c r="X42" s="14">
        <f t="shared" si="16"/>
        <v>0</v>
      </c>
      <c r="Y42" s="14">
        <f t="shared" si="16"/>
        <v>0</v>
      </c>
      <c r="Z42" s="14">
        <f t="shared" si="17"/>
        <v>0</v>
      </c>
      <c r="AA42" s="14">
        <f t="shared" si="17"/>
        <v>0</v>
      </c>
      <c r="AB42" s="14">
        <f t="shared" si="17"/>
        <v>0</v>
      </c>
      <c r="AC42" s="14">
        <f t="shared" si="17"/>
        <v>0</v>
      </c>
      <c r="AD42" s="14">
        <f t="shared" si="17"/>
        <v>0</v>
      </c>
      <c r="AE42" s="14">
        <f t="shared" si="17"/>
        <v>0</v>
      </c>
      <c r="AF42" s="14">
        <f t="shared" si="17"/>
        <v>0</v>
      </c>
      <c r="AG42" s="14">
        <f t="shared" si="17"/>
        <v>0</v>
      </c>
      <c r="AH42" s="15">
        <f>SUM(F42:AG42)</f>
        <v>420000</v>
      </c>
    </row>
    <row r="43" spans="1:45" outlineLevel="1" x14ac:dyDescent="0.25">
      <c r="A43" s="21" t="s">
        <v>17</v>
      </c>
      <c r="B43" s="21"/>
      <c r="C43" s="21"/>
      <c r="D43" s="21"/>
      <c r="E43" s="21"/>
      <c r="F43" s="22">
        <f t="shared" ref="F43:AG43" si="18">SUM(F39:F42)</f>
        <v>192000</v>
      </c>
      <c r="G43" s="22">
        <f t="shared" si="18"/>
        <v>192000</v>
      </c>
      <c r="H43" s="22">
        <f t="shared" si="18"/>
        <v>192000</v>
      </c>
      <c r="I43" s="22">
        <f t="shared" si="18"/>
        <v>192000</v>
      </c>
      <c r="J43" s="22">
        <f t="shared" si="18"/>
        <v>192000</v>
      </c>
      <c r="K43" s="22">
        <f t="shared" si="18"/>
        <v>0</v>
      </c>
      <c r="L43" s="22">
        <f t="shared" si="18"/>
        <v>0</v>
      </c>
      <c r="M43" s="22">
        <f t="shared" si="18"/>
        <v>0</v>
      </c>
      <c r="N43" s="22">
        <f t="shared" si="18"/>
        <v>0</v>
      </c>
      <c r="O43" s="22">
        <f t="shared" si="18"/>
        <v>0</v>
      </c>
      <c r="P43" s="22">
        <f t="shared" si="18"/>
        <v>0</v>
      </c>
      <c r="Q43" s="22">
        <f t="shared" si="18"/>
        <v>0</v>
      </c>
      <c r="R43" s="22">
        <f t="shared" si="18"/>
        <v>0</v>
      </c>
      <c r="S43" s="22">
        <f t="shared" si="18"/>
        <v>0</v>
      </c>
      <c r="T43" s="22">
        <f t="shared" si="18"/>
        <v>0</v>
      </c>
      <c r="U43" s="22">
        <f t="shared" si="18"/>
        <v>0</v>
      </c>
      <c r="V43" s="22">
        <f t="shared" si="18"/>
        <v>0</v>
      </c>
      <c r="W43" s="22">
        <f t="shared" si="18"/>
        <v>0</v>
      </c>
      <c r="X43" s="22">
        <f t="shared" si="18"/>
        <v>0</v>
      </c>
      <c r="Y43" s="22">
        <f t="shared" si="18"/>
        <v>0</v>
      </c>
      <c r="Z43" s="22">
        <f t="shared" si="18"/>
        <v>0</v>
      </c>
      <c r="AA43" s="22">
        <f t="shared" si="18"/>
        <v>0</v>
      </c>
      <c r="AB43" s="22">
        <f t="shared" si="18"/>
        <v>0</v>
      </c>
      <c r="AC43" s="22">
        <f t="shared" si="18"/>
        <v>0</v>
      </c>
      <c r="AD43" s="22">
        <f t="shared" si="18"/>
        <v>0</v>
      </c>
      <c r="AE43" s="22">
        <f t="shared" si="18"/>
        <v>0</v>
      </c>
      <c r="AF43" s="22">
        <f t="shared" si="18"/>
        <v>0</v>
      </c>
      <c r="AG43" s="22">
        <f t="shared" si="18"/>
        <v>0</v>
      </c>
      <c r="AH43" s="23">
        <f>SUM(F43:AG43)</f>
        <v>960000</v>
      </c>
    </row>
    <row r="44" spans="1:45" outlineLevel="1" x14ac:dyDescent="0.25">
      <c r="A44"/>
      <c r="B44"/>
      <c r="C44"/>
      <c r="D44"/>
      <c r="F44" s="55" t="str">
        <f>IF(F43&gt;=F33,"OK","KO")</f>
        <v>OK</v>
      </c>
      <c r="G44" s="55" t="str">
        <f t="shared" ref="G44:AH44" si="19">IF(G43&gt;=G33,"OK","KO")</f>
        <v>OK</v>
      </c>
      <c r="H44" s="55" t="str">
        <f t="shared" si="19"/>
        <v>OK</v>
      </c>
      <c r="I44" s="55" t="str">
        <f t="shared" si="19"/>
        <v>OK</v>
      </c>
      <c r="J44" s="55" t="str">
        <f t="shared" si="19"/>
        <v>OK</v>
      </c>
      <c r="K44" s="55" t="str">
        <f t="shared" si="19"/>
        <v>OK</v>
      </c>
      <c r="L44" s="55" t="str">
        <f t="shared" si="19"/>
        <v>OK</v>
      </c>
      <c r="M44" s="55" t="str">
        <f t="shared" si="19"/>
        <v>OK</v>
      </c>
      <c r="N44" s="55" t="str">
        <f t="shared" si="19"/>
        <v>OK</v>
      </c>
      <c r="O44" s="55" t="str">
        <f t="shared" si="19"/>
        <v>OK</v>
      </c>
      <c r="P44" s="55" t="str">
        <f t="shared" si="19"/>
        <v>OK</v>
      </c>
      <c r="Q44" s="55" t="str">
        <f t="shared" si="19"/>
        <v>OK</v>
      </c>
      <c r="R44" s="55" t="str">
        <f t="shared" si="19"/>
        <v>OK</v>
      </c>
      <c r="S44" s="55" t="str">
        <f t="shared" si="19"/>
        <v>OK</v>
      </c>
      <c r="T44" s="55" t="str">
        <f t="shared" si="19"/>
        <v>OK</v>
      </c>
      <c r="U44" s="55" t="str">
        <f t="shared" si="19"/>
        <v>OK</v>
      </c>
      <c r="V44" s="55" t="str">
        <f t="shared" si="19"/>
        <v>OK</v>
      </c>
      <c r="W44" s="55" t="str">
        <f t="shared" si="19"/>
        <v>OK</v>
      </c>
      <c r="X44" s="55" t="str">
        <f t="shared" si="19"/>
        <v>OK</v>
      </c>
      <c r="Y44" s="55" t="str">
        <f t="shared" si="19"/>
        <v>OK</v>
      </c>
      <c r="Z44" s="55" t="str">
        <f t="shared" si="19"/>
        <v>OK</v>
      </c>
      <c r="AA44" s="55" t="str">
        <f t="shared" si="19"/>
        <v>OK</v>
      </c>
      <c r="AB44" s="55" t="str">
        <f t="shared" si="19"/>
        <v>OK</v>
      </c>
      <c r="AC44" s="55" t="str">
        <f t="shared" si="19"/>
        <v>OK</v>
      </c>
      <c r="AD44" s="55" t="str">
        <f t="shared" si="19"/>
        <v>OK</v>
      </c>
      <c r="AE44" s="55" t="str">
        <f t="shared" si="19"/>
        <v>OK</v>
      </c>
      <c r="AF44" s="55" t="str">
        <f t="shared" si="19"/>
        <v>OK</v>
      </c>
      <c r="AG44" s="55" t="str">
        <f t="shared" si="19"/>
        <v>OK</v>
      </c>
      <c r="AH44" s="55" t="str">
        <f t="shared" si="19"/>
        <v>OK</v>
      </c>
    </row>
    <row r="45" spans="1:45" outlineLevel="1" x14ac:dyDescent="0.25">
      <c r="A45" t="s">
        <v>20</v>
      </c>
      <c r="B45"/>
      <c r="C45"/>
      <c r="D45"/>
      <c r="F45" s="8">
        <v>5000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  <c r="R45" s="8">
        <v>0</v>
      </c>
      <c r="S45" s="8">
        <v>0</v>
      </c>
      <c r="T45" s="8">
        <v>0</v>
      </c>
      <c r="U45" s="8">
        <v>0</v>
      </c>
      <c r="V45" s="8">
        <v>0</v>
      </c>
      <c r="W45" s="8">
        <v>0</v>
      </c>
      <c r="X45" s="8">
        <v>0</v>
      </c>
      <c r="Y45" s="8">
        <v>0</v>
      </c>
      <c r="Z45" s="8">
        <v>0</v>
      </c>
      <c r="AA45" s="8">
        <v>0</v>
      </c>
      <c r="AB45" s="8">
        <v>0</v>
      </c>
      <c r="AC45" s="8">
        <v>0</v>
      </c>
      <c r="AD45" s="8">
        <v>0</v>
      </c>
      <c r="AE45" s="8">
        <v>0</v>
      </c>
      <c r="AF45" s="8">
        <v>0</v>
      </c>
      <c r="AG45" s="8">
        <v>0</v>
      </c>
      <c r="AH45" s="15">
        <f t="shared" ref="AH45:AH50" si="20">SUM(F45:AG45)</f>
        <v>5000</v>
      </c>
      <c r="AI45" s="28">
        <f>AH45/$AH$43</f>
        <v>5.208333333333333E-3</v>
      </c>
    </row>
    <row r="46" spans="1:45" outlineLevel="1" x14ac:dyDescent="0.25">
      <c r="A46" t="s">
        <v>23</v>
      </c>
      <c r="B46"/>
      <c r="C46"/>
      <c r="D46"/>
      <c r="F46" s="104">
        <f>+IF(F$25&gt;$E$12,0,110000*$F$43/192000)</f>
        <v>110000</v>
      </c>
      <c r="G46" s="104">
        <f>+IF(G$25&gt;$E$12,0,(IF($E$11="trimestrielle",110000,60000))*$F$43/192000)</f>
        <v>60000</v>
      </c>
      <c r="H46" s="104">
        <f>+IF(H$25&gt;$E$12,0,(IF($E$11="trimestrielle",110000,60000))*$F$43/192000)</f>
        <v>60000</v>
      </c>
      <c r="I46" s="104">
        <f>+IF(I$25&gt;$E$12,0,(IF($E$11="trimestrielle",110000,60000))*$F$43/192000)</f>
        <v>60000</v>
      </c>
      <c r="J46" s="8">
        <f t="shared" ref="J46:AG46" si="21">+IF(J$25&gt;$E$12,0,60000*J$43/192000)</f>
        <v>60000</v>
      </c>
      <c r="K46" s="8">
        <f t="shared" si="21"/>
        <v>0</v>
      </c>
      <c r="L46" s="8">
        <f t="shared" si="21"/>
        <v>0</v>
      </c>
      <c r="M46" s="8">
        <f t="shared" si="21"/>
        <v>0</v>
      </c>
      <c r="N46" s="8">
        <f t="shared" si="21"/>
        <v>0</v>
      </c>
      <c r="O46" s="8">
        <f t="shared" si="21"/>
        <v>0</v>
      </c>
      <c r="P46" s="8">
        <f t="shared" si="21"/>
        <v>0</v>
      </c>
      <c r="Q46" s="8">
        <f t="shared" si="21"/>
        <v>0</v>
      </c>
      <c r="R46" s="8">
        <f t="shared" si="21"/>
        <v>0</v>
      </c>
      <c r="S46" s="8">
        <f t="shared" si="21"/>
        <v>0</v>
      </c>
      <c r="T46" s="8">
        <f t="shared" si="21"/>
        <v>0</v>
      </c>
      <c r="U46" s="8">
        <f t="shared" si="21"/>
        <v>0</v>
      </c>
      <c r="V46" s="8">
        <f t="shared" si="21"/>
        <v>0</v>
      </c>
      <c r="W46" s="8">
        <f t="shared" si="21"/>
        <v>0</v>
      </c>
      <c r="X46" s="8">
        <f t="shared" si="21"/>
        <v>0</v>
      </c>
      <c r="Y46" s="8">
        <f t="shared" si="21"/>
        <v>0</v>
      </c>
      <c r="Z46" s="8">
        <f t="shared" si="21"/>
        <v>0</v>
      </c>
      <c r="AA46" s="8">
        <f t="shared" si="21"/>
        <v>0</v>
      </c>
      <c r="AB46" s="8">
        <f t="shared" si="21"/>
        <v>0</v>
      </c>
      <c r="AC46" s="8">
        <f t="shared" si="21"/>
        <v>0</v>
      </c>
      <c r="AD46" s="8">
        <f t="shared" si="21"/>
        <v>0</v>
      </c>
      <c r="AE46" s="8">
        <f t="shared" si="21"/>
        <v>0</v>
      </c>
      <c r="AF46" s="8">
        <f t="shared" si="21"/>
        <v>0</v>
      </c>
      <c r="AG46" s="8">
        <f t="shared" si="21"/>
        <v>0</v>
      </c>
      <c r="AH46" s="15">
        <f t="shared" si="20"/>
        <v>350000</v>
      </c>
      <c r="AI46" s="28">
        <f>AH46/$AH$43</f>
        <v>0.36458333333333331</v>
      </c>
    </row>
    <row r="47" spans="1:45" s="53" customFormat="1" outlineLevel="1" x14ac:dyDescent="0.25">
      <c r="A47" t="s">
        <v>25</v>
      </c>
      <c r="B47"/>
      <c r="C47"/>
      <c r="D47"/>
      <c r="E47"/>
      <c r="F47" s="8">
        <v>8000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15">
        <f t="shared" si="20"/>
        <v>8000</v>
      </c>
      <c r="AI47" s="28">
        <f>AH47/$AH$43</f>
        <v>8.3333333333333332E-3</v>
      </c>
      <c r="AJ47"/>
      <c r="AK47"/>
    </row>
    <row r="48" spans="1:45" s="53" customFormat="1" outlineLevel="1" x14ac:dyDescent="0.25">
      <c r="A48" t="s">
        <v>27</v>
      </c>
      <c r="B48"/>
      <c r="C48"/>
      <c r="D48"/>
      <c r="E48"/>
      <c r="F48" s="104">
        <f>+IF(F$25&gt;$E$12,0,5000*F$43/192000)</f>
        <v>5000</v>
      </c>
      <c r="G48" s="104">
        <f>+IF(G$25&gt;$E$12,0,(IF($E$11="trimestrielle",5000,3000))*$F$43/192000)</f>
        <v>3000</v>
      </c>
      <c r="H48" s="104">
        <f>+IF(H$25&gt;$E$12,0,(IF($E$11="trimestrielle",5000,3000))*$F$43/192000)</f>
        <v>3000</v>
      </c>
      <c r="I48" s="104">
        <f>+IF(I$25&gt;$E$12,0,(IF($E$11="trimestrielle",5000,3000))*$F$43/192000)</f>
        <v>3000</v>
      </c>
      <c r="J48" s="8">
        <f t="shared" ref="J48:AG48" si="22">+IF(J$25&gt;$E$12,0,3000*J$43/192000)</f>
        <v>3000</v>
      </c>
      <c r="K48" s="8">
        <f t="shared" si="22"/>
        <v>0</v>
      </c>
      <c r="L48" s="8">
        <f t="shared" si="22"/>
        <v>0</v>
      </c>
      <c r="M48" s="8">
        <f t="shared" si="22"/>
        <v>0</v>
      </c>
      <c r="N48" s="8">
        <f t="shared" si="22"/>
        <v>0</v>
      </c>
      <c r="O48" s="8">
        <f t="shared" si="22"/>
        <v>0</v>
      </c>
      <c r="P48" s="8">
        <f t="shared" si="22"/>
        <v>0</v>
      </c>
      <c r="Q48" s="8">
        <f t="shared" si="22"/>
        <v>0</v>
      </c>
      <c r="R48" s="8">
        <f t="shared" si="22"/>
        <v>0</v>
      </c>
      <c r="S48" s="8">
        <f t="shared" si="22"/>
        <v>0</v>
      </c>
      <c r="T48" s="8">
        <f t="shared" si="22"/>
        <v>0</v>
      </c>
      <c r="U48" s="8">
        <f t="shared" si="22"/>
        <v>0</v>
      </c>
      <c r="V48" s="8">
        <f t="shared" si="22"/>
        <v>0</v>
      </c>
      <c r="W48" s="8">
        <f t="shared" si="22"/>
        <v>0</v>
      </c>
      <c r="X48" s="8">
        <f t="shared" si="22"/>
        <v>0</v>
      </c>
      <c r="Y48" s="8">
        <f t="shared" si="22"/>
        <v>0</v>
      </c>
      <c r="Z48" s="8">
        <f t="shared" si="22"/>
        <v>0</v>
      </c>
      <c r="AA48" s="8">
        <f t="shared" si="22"/>
        <v>0</v>
      </c>
      <c r="AB48" s="8">
        <f t="shared" si="22"/>
        <v>0</v>
      </c>
      <c r="AC48" s="8">
        <f t="shared" si="22"/>
        <v>0</v>
      </c>
      <c r="AD48" s="8">
        <f t="shared" si="22"/>
        <v>0</v>
      </c>
      <c r="AE48" s="8">
        <f t="shared" si="22"/>
        <v>0</v>
      </c>
      <c r="AF48" s="8">
        <f t="shared" si="22"/>
        <v>0</v>
      </c>
      <c r="AG48" s="8">
        <f t="shared" si="22"/>
        <v>0</v>
      </c>
      <c r="AH48" s="15">
        <f t="shared" si="20"/>
        <v>17000</v>
      </c>
      <c r="AI48" s="28">
        <f>AH48/$AH$43</f>
        <v>1.7708333333333333E-2</v>
      </c>
      <c r="AJ48"/>
    </row>
    <row r="49" spans="1:37" s="53" customFormat="1" outlineLevel="1" x14ac:dyDescent="0.25">
      <c r="A49" t="s">
        <v>29</v>
      </c>
      <c r="B49"/>
      <c r="C49"/>
      <c r="D49"/>
      <c r="E49"/>
      <c r="F49" s="8">
        <f>+IF(F$25&gt;$E$12,0,5000*F$43/192000)</f>
        <v>5000</v>
      </c>
      <c r="G49" s="8">
        <f t="shared" ref="G49:AG49" si="23">+IF(G$25&gt;$E$12,0,5000*G$43/192000)</f>
        <v>5000</v>
      </c>
      <c r="H49" s="8">
        <f t="shared" si="23"/>
        <v>5000</v>
      </c>
      <c r="I49" s="8">
        <f t="shared" si="23"/>
        <v>5000</v>
      </c>
      <c r="J49" s="8">
        <f t="shared" si="23"/>
        <v>5000</v>
      </c>
      <c r="K49" s="8">
        <f t="shared" si="23"/>
        <v>0</v>
      </c>
      <c r="L49" s="8">
        <f t="shared" si="23"/>
        <v>0</v>
      </c>
      <c r="M49" s="8">
        <f t="shared" si="23"/>
        <v>0</v>
      </c>
      <c r="N49" s="8">
        <f t="shared" si="23"/>
        <v>0</v>
      </c>
      <c r="O49" s="8">
        <f t="shared" si="23"/>
        <v>0</v>
      </c>
      <c r="P49" s="8">
        <f t="shared" si="23"/>
        <v>0</v>
      </c>
      <c r="Q49" s="8">
        <f t="shared" si="23"/>
        <v>0</v>
      </c>
      <c r="R49" s="8">
        <f t="shared" si="23"/>
        <v>0</v>
      </c>
      <c r="S49" s="8">
        <f t="shared" si="23"/>
        <v>0</v>
      </c>
      <c r="T49" s="8">
        <f t="shared" si="23"/>
        <v>0</v>
      </c>
      <c r="U49" s="8">
        <f t="shared" si="23"/>
        <v>0</v>
      </c>
      <c r="V49" s="8">
        <f t="shared" si="23"/>
        <v>0</v>
      </c>
      <c r="W49" s="8">
        <f t="shared" si="23"/>
        <v>0</v>
      </c>
      <c r="X49" s="8">
        <f t="shared" si="23"/>
        <v>0</v>
      </c>
      <c r="Y49" s="8">
        <f t="shared" si="23"/>
        <v>0</v>
      </c>
      <c r="Z49" s="8">
        <f t="shared" si="23"/>
        <v>0</v>
      </c>
      <c r="AA49" s="8">
        <f t="shared" si="23"/>
        <v>0</v>
      </c>
      <c r="AB49" s="8">
        <f t="shared" si="23"/>
        <v>0</v>
      </c>
      <c r="AC49" s="8">
        <f t="shared" si="23"/>
        <v>0</v>
      </c>
      <c r="AD49" s="8">
        <f t="shared" si="23"/>
        <v>0</v>
      </c>
      <c r="AE49" s="8">
        <f t="shared" si="23"/>
        <v>0</v>
      </c>
      <c r="AF49" s="8">
        <f t="shared" si="23"/>
        <v>0</v>
      </c>
      <c r="AG49" s="8">
        <f t="shared" si="23"/>
        <v>0</v>
      </c>
      <c r="AH49" s="15">
        <f t="shared" si="20"/>
        <v>25000</v>
      </c>
      <c r="AI49" s="28">
        <f>AH49/$AH$43</f>
        <v>2.6041666666666668E-2</v>
      </c>
    </row>
    <row r="50" spans="1:37" outlineLevel="1" x14ac:dyDescent="0.25">
      <c r="A50" s="21" t="s">
        <v>33</v>
      </c>
      <c r="B50" s="21"/>
      <c r="C50" s="21"/>
      <c r="D50" s="21"/>
      <c r="E50" s="21"/>
      <c r="F50" s="33">
        <f>SUM(F45:F49)</f>
        <v>133000</v>
      </c>
      <c r="G50" s="33">
        <f t="shared" ref="G50:AG50" si="24">SUM(G45:G49)</f>
        <v>68000</v>
      </c>
      <c r="H50" s="33">
        <f t="shared" si="24"/>
        <v>68000</v>
      </c>
      <c r="I50" s="33">
        <f t="shared" si="24"/>
        <v>68000</v>
      </c>
      <c r="J50" s="33">
        <f t="shared" si="24"/>
        <v>68000</v>
      </c>
      <c r="K50" s="33">
        <f t="shared" si="24"/>
        <v>0</v>
      </c>
      <c r="L50" s="33">
        <f t="shared" si="24"/>
        <v>0</v>
      </c>
      <c r="M50" s="33">
        <f t="shared" si="24"/>
        <v>0</v>
      </c>
      <c r="N50" s="33">
        <f t="shared" si="24"/>
        <v>0</v>
      </c>
      <c r="O50" s="33">
        <f t="shared" si="24"/>
        <v>0</v>
      </c>
      <c r="P50" s="33">
        <f t="shared" si="24"/>
        <v>0</v>
      </c>
      <c r="Q50" s="33">
        <f t="shared" si="24"/>
        <v>0</v>
      </c>
      <c r="R50" s="33">
        <f t="shared" si="24"/>
        <v>0</v>
      </c>
      <c r="S50" s="33">
        <f t="shared" si="24"/>
        <v>0</v>
      </c>
      <c r="T50" s="33">
        <f t="shared" si="24"/>
        <v>0</v>
      </c>
      <c r="U50" s="33">
        <f t="shared" si="24"/>
        <v>0</v>
      </c>
      <c r="V50" s="33">
        <f t="shared" si="24"/>
        <v>0</v>
      </c>
      <c r="W50" s="33">
        <f t="shared" si="24"/>
        <v>0</v>
      </c>
      <c r="X50" s="33">
        <f t="shared" si="24"/>
        <v>0</v>
      </c>
      <c r="Y50" s="33">
        <f t="shared" si="24"/>
        <v>0</v>
      </c>
      <c r="Z50" s="33">
        <f t="shared" si="24"/>
        <v>0</v>
      </c>
      <c r="AA50" s="33">
        <f t="shared" si="24"/>
        <v>0</v>
      </c>
      <c r="AB50" s="33">
        <f t="shared" si="24"/>
        <v>0</v>
      </c>
      <c r="AC50" s="33">
        <f t="shared" si="24"/>
        <v>0</v>
      </c>
      <c r="AD50" s="33">
        <f t="shared" si="24"/>
        <v>0</v>
      </c>
      <c r="AE50" s="33">
        <f t="shared" si="24"/>
        <v>0</v>
      </c>
      <c r="AF50" s="33">
        <f t="shared" si="24"/>
        <v>0</v>
      </c>
      <c r="AG50" s="33">
        <f t="shared" si="24"/>
        <v>0</v>
      </c>
      <c r="AH50" s="23">
        <f t="shared" si="20"/>
        <v>405000</v>
      </c>
      <c r="AI50" s="34">
        <f>AH50/AH43</f>
        <v>0.421875</v>
      </c>
      <c r="AJ50" s="53"/>
      <c r="AK50" s="53"/>
    </row>
    <row r="51" spans="1:37" outlineLevel="1" x14ac:dyDescent="0.25">
      <c r="A51"/>
      <c r="B51"/>
      <c r="C51"/>
      <c r="D51"/>
      <c r="P51"/>
      <c r="AH51" s="26"/>
      <c r="AI51" s="35"/>
      <c r="AJ51" s="53"/>
    </row>
    <row r="52" spans="1:37" outlineLevel="1" x14ac:dyDescent="0.25">
      <c r="A52" s="21" t="s">
        <v>35</v>
      </c>
      <c r="B52" s="21"/>
      <c r="C52" s="21"/>
      <c r="D52" s="21"/>
      <c r="E52" s="21"/>
      <c r="F52" s="22">
        <f>F43-F50</f>
        <v>59000</v>
      </c>
      <c r="G52" s="22">
        <f t="shared" ref="G52:AG52" si="25">G43-G50</f>
        <v>124000</v>
      </c>
      <c r="H52" s="22">
        <f t="shared" si="25"/>
        <v>124000</v>
      </c>
      <c r="I52" s="22">
        <f t="shared" si="25"/>
        <v>124000</v>
      </c>
      <c r="J52" s="22">
        <f t="shared" si="25"/>
        <v>124000</v>
      </c>
      <c r="K52" s="22">
        <f t="shared" si="25"/>
        <v>0</v>
      </c>
      <c r="L52" s="22">
        <f t="shared" si="25"/>
        <v>0</v>
      </c>
      <c r="M52" s="22">
        <f t="shared" si="25"/>
        <v>0</v>
      </c>
      <c r="N52" s="22">
        <f t="shared" si="25"/>
        <v>0</v>
      </c>
      <c r="O52" s="22">
        <f t="shared" si="25"/>
        <v>0</v>
      </c>
      <c r="P52" s="22">
        <f t="shared" si="25"/>
        <v>0</v>
      </c>
      <c r="Q52" s="22">
        <f t="shared" si="25"/>
        <v>0</v>
      </c>
      <c r="R52" s="22">
        <f t="shared" si="25"/>
        <v>0</v>
      </c>
      <c r="S52" s="22">
        <f t="shared" si="25"/>
        <v>0</v>
      </c>
      <c r="T52" s="22">
        <f t="shared" si="25"/>
        <v>0</v>
      </c>
      <c r="U52" s="22">
        <f t="shared" si="25"/>
        <v>0</v>
      </c>
      <c r="V52" s="22">
        <f t="shared" si="25"/>
        <v>0</v>
      </c>
      <c r="W52" s="22">
        <f t="shared" si="25"/>
        <v>0</v>
      </c>
      <c r="X52" s="22">
        <f t="shared" si="25"/>
        <v>0</v>
      </c>
      <c r="Y52" s="22">
        <f t="shared" si="25"/>
        <v>0</v>
      </c>
      <c r="Z52" s="22">
        <f t="shared" si="25"/>
        <v>0</v>
      </c>
      <c r="AA52" s="22">
        <f t="shared" si="25"/>
        <v>0</v>
      </c>
      <c r="AB52" s="22">
        <f t="shared" si="25"/>
        <v>0</v>
      </c>
      <c r="AC52" s="22">
        <f t="shared" si="25"/>
        <v>0</v>
      </c>
      <c r="AD52" s="22">
        <f t="shared" si="25"/>
        <v>0</v>
      </c>
      <c r="AE52" s="22">
        <f t="shared" si="25"/>
        <v>0</v>
      </c>
      <c r="AF52" s="22">
        <f t="shared" si="25"/>
        <v>0</v>
      </c>
      <c r="AG52" s="22">
        <f t="shared" si="25"/>
        <v>0</v>
      </c>
      <c r="AH52" s="23">
        <f>SUM(F52:AG52)</f>
        <v>555000</v>
      </c>
      <c r="AI52" s="34">
        <f>AH52/AH43</f>
        <v>0.578125</v>
      </c>
    </row>
    <row r="53" spans="1:37" x14ac:dyDescent="0.25">
      <c r="P53"/>
      <c r="AH53" s="1"/>
    </row>
    <row r="54" spans="1:37" x14ac:dyDescent="0.25">
      <c r="A54" s="4" t="s">
        <v>37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6"/>
    </row>
    <row r="55" spans="1:37" outlineLevel="2" x14ac:dyDescent="0.25">
      <c r="A55" s="67" t="s">
        <v>38</v>
      </c>
      <c r="B55" s="80">
        <f>+G6</f>
        <v>135000</v>
      </c>
      <c r="C55" s="53"/>
      <c r="D55" s="53"/>
      <c r="E55" s="1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65"/>
      <c r="AI55" s="53"/>
    </row>
    <row r="56" spans="1:37" outlineLevel="2" x14ac:dyDescent="0.25">
      <c r="A56" s="67" t="s">
        <v>43</v>
      </c>
      <c r="B56" s="79">
        <f>+$F$12</f>
        <v>5</v>
      </c>
      <c r="C56" s="101">
        <f>+E12</f>
        <v>5</v>
      </c>
      <c r="D56" s="66"/>
      <c r="E56" s="1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65"/>
      <c r="AI56" s="53"/>
    </row>
    <row r="57" spans="1:37" outlineLevel="1" x14ac:dyDescent="0.25">
      <c r="A57" s="67" t="s">
        <v>69</v>
      </c>
      <c r="B57" s="81">
        <f>+G9</f>
        <v>0.1</v>
      </c>
      <c r="C57" s="102">
        <f>B57/(IF($E$11="trimestrielle",4,1))</f>
        <v>0.1</v>
      </c>
      <c r="D57" s="53"/>
      <c r="E57" s="36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44"/>
      <c r="AI57" s="53"/>
    </row>
    <row r="58" spans="1:37" outlineLevel="1" x14ac:dyDescent="0.25">
      <c r="A58" s="68" t="s">
        <v>39</v>
      </c>
      <c r="F58" s="20">
        <f>B55</f>
        <v>135000</v>
      </c>
      <c r="G58" s="20">
        <f>F63</f>
        <v>112887.34009270938</v>
      </c>
      <c r="H58" s="20">
        <f t="shared" ref="H58:AG58" si="26">G63</f>
        <v>88563.414194689685</v>
      </c>
      <c r="I58" s="20">
        <f t="shared" si="26"/>
        <v>61807.095706868022</v>
      </c>
      <c r="J58" s="20">
        <f t="shared" si="26"/>
        <v>32375.145370264192</v>
      </c>
      <c r="K58" s="20">
        <f t="shared" si="26"/>
        <v>0</v>
      </c>
      <c r="L58" s="20">
        <f t="shared" si="26"/>
        <v>0</v>
      </c>
      <c r="M58" s="20">
        <f t="shared" si="26"/>
        <v>0</v>
      </c>
      <c r="N58" s="20">
        <f t="shared" si="26"/>
        <v>0</v>
      </c>
      <c r="O58" s="20">
        <f t="shared" si="26"/>
        <v>0</v>
      </c>
      <c r="P58" s="20">
        <f t="shared" si="26"/>
        <v>0</v>
      </c>
      <c r="Q58" s="20">
        <f t="shared" si="26"/>
        <v>0</v>
      </c>
      <c r="R58" s="20">
        <f t="shared" si="26"/>
        <v>0</v>
      </c>
      <c r="S58" s="20">
        <f t="shared" si="26"/>
        <v>0</v>
      </c>
      <c r="T58" s="20">
        <f t="shared" si="26"/>
        <v>0</v>
      </c>
      <c r="U58" s="20">
        <f t="shared" si="26"/>
        <v>0</v>
      </c>
      <c r="V58" s="20">
        <f t="shared" si="26"/>
        <v>0</v>
      </c>
      <c r="W58" s="20">
        <f t="shared" si="26"/>
        <v>0</v>
      </c>
      <c r="X58" s="20">
        <f t="shared" si="26"/>
        <v>0</v>
      </c>
      <c r="Y58" s="20">
        <f t="shared" si="26"/>
        <v>0</v>
      </c>
      <c r="Z58" s="20">
        <f t="shared" si="26"/>
        <v>0</v>
      </c>
      <c r="AA58" s="20">
        <f t="shared" si="26"/>
        <v>0</v>
      </c>
      <c r="AB58" s="20">
        <f t="shared" si="26"/>
        <v>0</v>
      </c>
      <c r="AC58" s="20">
        <f t="shared" si="26"/>
        <v>0</v>
      </c>
      <c r="AD58" s="20">
        <f t="shared" si="26"/>
        <v>0</v>
      </c>
      <c r="AE58" s="20">
        <f t="shared" si="26"/>
        <v>0</v>
      </c>
      <c r="AF58" s="20">
        <f t="shared" si="26"/>
        <v>0</v>
      </c>
      <c r="AG58" s="20">
        <f t="shared" si="26"/>
        <v>0</v>
      </c>
      <c r="AH58" s="78">
        <f>+AG58</f>
        <v>0</v>
      </c>
    </row>
    <row r="59" spans="1:37" outlineLevel="1" x14ac:dyDescent="0.25">
      <c r="A59" s="68" t="s">
        <v>67</v>
      </c>
      <c r="E59" s="105"/>
      <c r="F59" s="20">
        <f>PMT(C57,C56,-$B$55)</f>
        <v>35612.659907290632</v>
      </c>
      <c r="G59" s="20">
        <f>IF(COUNT(F$59:$F59)&gt;=$C$56,0,F59)</f>
        <v>35612.659907290632</v>
      </c>
      <c r="H59" s="20">
        <f>IF(COUNT($F$59:G59)&gt;=$C$56,0,G59)</f>
        <v>35612.659907290632</v>
      </c>
      <c r="I59" s="20">
        <f>IF(COUNT($F$59:H59)&gt;=$C$56,0,H59)</f>
        <v>35612.659907290632</v>
      </c>
      <c r="J59" s="20">
        <f>IF(COUNT($F$59:I59)&gt;=$C$56,0,I59)</f>
        <v>35612.659907290632</v>
      </c>
      <c r="K59" s="20">
        <f>IF(COUNT($F$59:J59)&gt;=$C$56,0,J59)</f>
        <v>0</v>
      </c>
      <c r="L59" s="20">
        <f>IF(COUNT($F$59:K59)&gt;=$C$56,0,K59)</f>
        <v>0</v>
      </c>
      <c r="M59" s="20">
        <f>IF(COUNT($F$59:L59)&gt;=$C$56,0,L59)</f>
        <v>0</v>
      </c>
      <c r="N59" s="20">
        <f>IF(COUNT($F$59:M59)&gt;=$C$56,0,M59)</f>
        <v>0</v>
      </c>
      <c r="O59" s="20">
        <f>IF(COUNT($F$59:N59)&gt;=$C$56,0,N59)</f>
        <v>0</v>
      </c>
      <c r="P59" s="20">
        <f>IF(COUNT($F$59:O59)&gt;=$C$56,0,O59)</f>
        <v>0</v>
      </c>
      <c r="Q59" s="20">
        <f>IF(COUNT($F$59:P59)&gt;=$C$56,0,P59)</f>
        <v>0</v>
      </c>
      <c r="R59" s="20">
        <f>IF(COUNT($F$59:Q59)&gt;=$C$56,0,Q59)</f>
        <v>0</v>
      </c>
      <c r="S59" s="20">
        <f>IF(COUNT($F$59:R59)&gt;=$C$56,0,R59)</f>
        <v>0</v>
      </c>
      <c r="T59" s="20">
        <f>IF(COUNT($F$59:S59)&gt;=$C$56,0,S59)</f>
        <v>0</v>
      </c>
      <c r="U59" s="20">
        <f>IF(COUNT($F$59:T59)&gt;=$C$56,0,T59)</f>
        <v>0</v>
      </c>
      <c r="V59" s="20">
        <f>IF(COUNT($F$59:U59)&gt;=$C$56,0,U59)</f>
        <v>0</v>
      </c>
      <c r="W59" s="20">
        <f>IF(COUNT($F$59:V59)&gt;=$C$56,0,V59)</f>
        <v>0</v>
      </c>
      <c r="X59" s="20">
        <f>IF(COUNT($F$59:W59)&gt;=$C$56,0,W59)</f>
        <v>0</v>
      </c>
      <c r="Y59" s="20">
        <f>IF(COUNT($F$59:X59)&gt;=$C$56,0,X59)</f>
        <v>0</v>
      </c>
      <c r="Z59" s="20">
        <f>IF(COUNT($F$59:Y59)&gt;=$C$56,0,Y59)</f>
        <v>0</v>
      </c>
      <c r="AA59" s="20">
        <f>IF(COUNT($F$59:Z59)&gt;=$C$56,0,Z59)</f>
        <v>0</v>
      </c>
      <c r="AB59" s="20">
        <f>IF(COUNT($F$59:AA59)&gt;=$C$56,0,AA59)</f>
        <v>0</v>
      </c>
      <c r="AC59" s="20">
        <f>IF(COUNT($F$59:AB59)&gt;=$C$56,0,AB59)</f>
        <v>0</v>
      </c>
      <c r="AD59" s="20">
        <f>IF(COUNT($F$59:AC59)&gt;=$C$56,0,AC59)</f>
        <v>0</v>
      </c>
      <c r="AE59" s="20">
        <f>IF(COUNT($F$59:AD59)&gt;=$C$56,0,AD59)</f>
        <v>0</v>
      </c>
      <c r="AF59" s="20">
        <f>IF(COUNT($F$59:AE59)&gt;=$C$56,0,AE59)</f>
        <v>0</v>
      </c>
      <c r="AG59" s="20">
        <f>IF(COUNT($F$59:AF59)&gt;=$C$56,0,AF59)</f>
        <v>0</v>
      </c>
      <c r="AH59" s="37">
        <f>SUM(F59:AG59)</f>
        <v>178063.29953645315</v>
      </c>
      <c r="AI59" s="83">
        <f>AH59/F58-1</f>
        <v>0.31898740397372705</v>
      </c>
    </row>
    <row r="60" spans="1:37" outlineLevel="1" x14ac:dyDescent="0.25">
      <c r="A60" s="68" t="s">
        <v>40</v>
      </c>
      <c r="E60" s="105"/>
      <c r="F60" s="20">
        <f>F58*$C$57</f>
        <v>13500</v>
      </c>
      <c r="G60" s="20">
        <f>G58*$C$57</f>
        <v>11288.734009270938</v>
      </c>
      <c r="H60" s="20">
        <f t="shared" ref="H60:AG60" si="27">H58*$C$57</f>
        <v>8856.3414194689685</v>
      </c>
      <c r="I60" s="20">
        <f t="shared" si="27"/>
        <v>6180.7095706868022</v>
      </c>
      <c r="J60" s="20">
        <f t="shared" si="27"/>
        <v>3237.5145370264195</v>
      </c>
      <c r="K60" s="20">
        <f t="shared" si="27"/>
        <v>0</v>
      </c>
      <c r="L60" s="20">
        <f t="shared" si="27"/>
        <v>0</v>
      </c>
      <c r="M60" s="20">
        <f t="shared" si="27"/>
        <v>0</v>
      </c>
      <c r="N60" s="20">
        <f t="shared" si="27"/>
        <v>0</v>
      </c>
      <c r="O60" s="20">
        <f t="shared" si="27"/>
        <v>0</v>
      </c>
      <c r="P60" s="20">
        <f t="shared" si="27"/>
        <v>0</v>
      </c>
      <c r="Q60" s="20">
        <f t="shared" si="27"/>
        <v>0</v>
      </c>
      <c r="R60" s="20">
        <f t="shared" si="27"/>
        <v>0</v>
      </c>
      <c r="S60" s="20">
        <f t="shared" si="27"/>
        <v>0</v>
      </c>
      <c r="T60" s="20">
        <f t="shared" si="27"/>
        <v>0</v>
      </c>
      <c r="U60" s="20">
        <f t="shared" si="27"/>
        <v>0</v>
      </c>
      <c r="V60" s="20">
        <f t="shared" si="27"/>
        <v>0</v>
      </c>
      <c r="W60" s="20">
        <f t="shared" si="27"/>
        <v>0</v>
      </c>
      <c r="X60" s="20">
        <f t="shared" si="27"/>
        <v>0</v>
      </c>
      <c r="Y60" s="20">
        <f t="shared" si="27"/>
        <v>0</v>
      </c>
      <c r="Z60" s="20">
        <f t="shared" si="27"/>
        <v>0</v>
      </c>
      <c r="AA60" s="20">
        <f t="shared" si="27"/>
        <v>0</v>
      </c>
      <c r="AB60" s="20">
        <f t="shared" si="27"/>
        <v>0</v>
      </c>
      <c r="AC60" s="20">
        <f t="shared" si="27"/>
        <v>0</v>
      </c>
      <c r="AD60" s="20">
        <f t="shared" si="27"/>
        <v>0</v>
      </c>
      <c r="AE60" s="20">
        <f t="shared" si="27"/>
        <v>0</v>
      </c>
      <c r="AF60" s="20">
        <f t="shared" si="27"/>
        <v>0</v>
      </c>
      <c r="AG60" s="20">
        <f t="shared" si="27"/>
        <v>0</v>
      </c>
      <c r="AH60" s="37">
        <f>SUM(F60:AG60)</f>
        <v>43063.299536453123</v>
      </c>
    </row>
    <row r="61" spans="1:37" outlineLevel="1" x14ac:dyDescent="0.25">
      <c r="A61" s="68" t="s">
        <v>39</v>
      </c>
      <c r="F61" s="20">
        <f t="shared" ref="F61" si="28">F59-F60</f>
        <v>22112.659907290632</v>
      </c>
      <c r="G61" s="20">
        <f t="shared" ref="G61" si="29">G59-G60</f>
        <v>24323.925898019694</v>
      </c>
      <c r="H61" s="20">
        <f t="shared" ref="H61:AG61" si="30">H59-H60</f>
        <v>26756.318487821663</v>
      </c>
      <c r="I61" s="20">
        <f t="shared" si="30"/>
        <v>29431.95033660383</v>
      </c>
      <c r="J61" s="20">
        <f t="shared" si="30"/>
        <v>32375.145370264214</v>
      </c>
      <c r="K61" s="20">
        <f t="shared" si="30"/>
        <v>0</v>
      </c>
      <c r="L61" s="20">
        <f t="shared" si="30"/>
        <v>0</v>
      </c>
      <c r="M61" s="20">
        <f t="shared" si="30"/>
        <v>0</v>
      </c>
      <c r="N61" s="20">
        <f t="shared" si="30"/>
        <v>0</v>
      </c>
      <c r="O61" s="20">
        <f t="shared" si="30"/>
        <v>0</v>
      </c>
      <c r="P61" s="20">
        <f t="shared" si="30"/>
        <v>0</v>
      </c>
      <c r="Q61" s="20">
        <f t="shared" si="30"/>
        <v>0</v>
      </c>
      <c r="R61" s="20">
        <f t="shared" si="30"/>
        <v>0</v>
      </c>
      <c r="S61" s="20">
        <f t="shared" si="30"/>
        <v>0</v>
      </c>
      <c r="T61" s="20">
        <f t="shared" si="30"/>
        <v>0</v>
      </c>
      <c r="U61" s="20">
        <f t="shared" si="30"/>
        <v>0</v>
      </c>
      <c r="V61" s="20">
        <f t="shared" si="30"/>
        <v>0</v>
      </c>
      <c r="W61" s="20">
        <f t="shared" si="30"/>
        <v>0</v>
      </c>
      <c r="X61" s="20">
        <f t="shared" si="30"/>
        <v>0</v>
      </c>
      <c r="Y61" s="20">
        <f t="shared" si="30"/>
        <v>0</v>
      </c>
      <c r="Z61" s="20">
        <f t="shared" si="30"/>
        <v>0</v>
      </c>
      <c r="AA61" s="20">
        <f t="shared" si="30"/>
        <v>0</v>
      </c>
      <c r="AB61" s="20">
        <f t="shared" si="30"/>
        <v>0</v>
      </c>
      <c r="AC61" s="20">
        <f t="shared" si="30"/>
        <v>0</v>
      </c>
      <c r="AD61" s="20">
        <f t="shared" si="30"/>
        <v>0</v>
      </c>
      <c r="AE61" s="20">
        <f t="shared" si="30"/>
        <v>0</v>
      </c>
      <c r="AF61" s="20">
        <f t="shared" si="30"/>
        <v>0</v>
      </c>
      <c r="AG61" s="20">
        <f t="shared" si="30"/>
        <v>0</v>
      </c>
      <c r="AH61" s="37">
        <f>SUM(F61:AG61)</f>
        <v>135000.00000000003</v>
      </c>
    </row>
    <row r="62" spans="1:37" outlineLevel="1" x14ac:dyDescent="0.25">
      <c r="A62" s="69"/>
      <c r="F62" s="103">
        <f>F60/$F$58</f>
        <v>0.1</v>
      </c>
      <c r="G62" s="103">
        <f>G60/$F$58</f>
        <v>8.3620251920525468E-2</v>
      </c>
      <c r="H62" s="103">
        <f t="shared" ref="H62:AG62" si="31">H60/$F$58</f>
        <v>6.5602529033103471E-2</v>
      </c>
      <c r="I62" s="103">
        <f t="shared" si="31"/>
        <v>4.5783033856939277E-2</v>
      </c>
      <c r="J62" s="103">
        <f t="shared" si="31"/>
        <v>2.3981589163158661E-2</v>
      </c>
      <c r="K62" s="103">
        <f t="shared" si="31"/>
        <v>0</v>
      </c>
      <c r="L62" s="103">
        <f t="shared" si="31"/>
        <v>0</v>
      </c>
      <c r="M62" s="103">
        <f t="shared" si="31"/>
        <v>0</v>
      </c>
      <c r="N62" s="103">
        <f t="shared" si="31"/>
        <v>0</v>
      </c>
      <c r="O62" s="103">
        <f t="shared" si="31"/>
        <v>0</v>
      </c>
      <c r="P62" s="103">
        <f t="shared" si="31"/>
        <v>0</v>
      </c>
      <c r="Q62" s="103">
        <f t="shared" si="31"/>
        <v>0</v>
      </c>
      <c r="R62" s="103">
        <f t="shared" si="31"/>
        <v>0</v>
      </c>
      <c r="S62" s="103">
        <f t="shared" si="31"/>
        <v>0</v>
      </c>
      <c r="T62" s="103">
        <f t="shared" si="31"/>
        <v>0</v>
      </c>
      <c r="U62" s="103">
        <f t="shared" si="31"/>
        <v>0</v>
      </c>
      <c r="V62" s="103">
        <f t="shared" si="31"/>
        <v>0</v>
      </c>
      <c r="W62" s="103">
        <f t="shared" si="31"/>
        <v>0</v>
      </c>
      <c r="X62" s="103">
        <f t="shared" si="31"/>
        <v>0</v>
      </c>
      <c r="Y62" s="103">
        <f t="shared" si="31"/>
        <v>0</v>
      </c>
      <c r="Z62" s="103">
        <f t="shared" si="31"/>
        <v>0</v>
      </c>
      <c r="AA62" s="103">
        <f t="shared" si="31"/>
        <v>0</v>
      </c>
      <c r="AB62" s="103">
        <f t="shared" si="31"/>
        <v>0</v>
      </c>
      <c r="AC62" s="103">
        <f t="shared" si="31"/>
        <v>0</v>
      </c>
      <c r="AD62" s="103">
        <f t="shared" si="31"/>
        <v>0</v>
      </c>
      <c r="AE62" s="103">
        <f t="shared" si="31"/>
        <v>0</v>
      </c>
      <c r="AF62" s="103">
        <f t="shared" si="31"/>
        <v>0</v>
      </c>
      <c r="AG62" s="103">
        <f t="shared" si="31"/>
        <v>0</v>
      </c>
    </row>
    <row r="63" spans="1:37" outlineLevel="1" x14ac:dyDescent="0.25">
      <c r="A63" s="68" t="s">
        <v>41</v>
      </c>
      <c r="F63" s="20">
        <f t="shared" ref="F63" si="32">F58-F61</f>
        <v>112887.34009270938</v>
      </c>
      <c r="G63" s="20">
        <f t="shared" ref="G63" si="33">G58-G61</f>
        <v>88563.414194689685</v>
      </c>
      <c r="H63" s="20">
        <f t="shared" ref="H63:AG63" si="34">H58-H61</f>
        <v>61807.095706868022</v>
      </c>
      <c r="I63" s="20">
        <f t="shared" si="34"/>
        <v>32375.145370264192</v>
      </c>
      <c r="J63" s="20">
        <f t="shared" si="34"/>
        <v>0</v>
      </c>
      <c r="K63" s="20">
        <f t="shared" si="34"/>
        <v>0</v>
      </c>
      <c r="L63" s="20">
        <f t="shared" si="34"/>
        <v>0</v>
      </c>
      <c r="M63" s="20">
        <f t="shared" si="34"/>
        <v>0</v>
      </c>
      <c r="N63" s="20">
        <f t="shared" si="34"/>
        <v>0</v>
      </c>
      <c r="O63" s="20">
        <f t="shared" si="34"/>
        <v>0</v>
      </c>
      <c r="P63" s="20">
        <f t="shared" si="34"/>
        <v>0</v>
      </c>
      <c r="Q63" s="20">
        <f t="shared" si="34"/>
        <v>0</v>
      </c>
      <c r="R63" s="20">
        <f t="shared" si="34"/>
        <v>0</v>
      </c>
      <c r="S63" s="20">
        <f t="shared" si="34"/>
        <v>0</v>
      </c>
      <c r="T63" s="20">
        <f t="shared" si="34"/>
        <v>0</v>
      </c>
      <c r="U63" s="20">
        <f t="shared" si="34"/>
        <v>0</v>
      </c>
      <c r="V63" s="20">
        <f t="shared" si="34"/>
        <v>0</v>
      </c>
      <c r="W63" s="20">
        <f t="shared" si="34"/>
        <v>0</v>
      </c>
      <c r="X63" s="20">
        <f t="shared" si="34"/>
        <v>0</v>
      </c>
      <c r="Y63" s="20">
        <f t="shared" si="34"/>
        <v>0</v>
      </c>
      <c r="Z63" s="20">
        <f t="shared" si="34"/>
        <v>0</v>
      </c>
      <c r="AA63" s="20">
        <f t="shared" si="34"/>
        <v>0</v>
      </c>
      <c r="AB63" s="20">
        <f t="shared" si="34"/>
        <v>0</v>
      </c>
      <c r="AC63" s="20">
        <f t="shared" si="34"/>
        <v>0</v>
      </c>
      <c r="AD63" s="20">
        <f t="shared" si="34"/>
        <v>0</v>
      </c>
      <c r="AE63" s="20">
        <f t="shared" si="34"/>
        <v>0</v>
      </c>
      <c r="AF63" s="20">
        <f t="shared" si="34"/>
        <v>0</v>
      </c>
      <c r="AG63" s="20">
        <f t="shared" si="34"/>
        <v>0</v>
      </c>
      <c r="AH63" s="20">
        <f>+AG63</f>
        <v>0</v>
      </c>
    </row>
    <row r="64" spans="1:37" x14ac:dyDescent="0.25">
      <c r="P64"/>
      <c r="AH64" s="1"/>
    </row>
    <row r="65" spans="1:35" x14ac:dyDescent="0.25">
      <c r="A65" s="4" t="s">
        <v>34</v>
      </c>
      <c r="B65" s="7"/>
      <c r="C65" s="7"/>
      <c r="D65" s="5"/>
      <c r="E65" s="5"/>
      <c r="F65" s="5"/>
      <c r="G65" s="5"/>
      <c r="H65" s="5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</row>
    <row r="66" spans="1:35" outlineLevel="2" x14ac:dyDescent="0.25">
      <c r="A66" s="1" t="s">
        <v>36</v>
      </c>
      <c r="B66" s="44"/>
      <c r="C66" s="14"/>
      <c r="F66" s="14">
        <f>F43</f>
        <v>192000</v>
      </c>
      <c r="G66" s="14">
        <f t="shared" ref="G66:H66" si="35">G43</f>
        <v>192000</v>
      </c>
      <c r="H66" s="14">
        <f t="shared" si="35"/>
        <v>192000</v>
      </c>
      <c r="I66" s="14">
        <f>I43</f>
        <v>192000</v>
      </c>
      <c r="J66" s="14">
        <f t="shared" ref="J66:AG66" si="36">J43</f>
        <v>192000</v>
      </c>
      <c r="K66" s="14">
        <f t="shared" si="36"/>
        <v>0</v>
      </c>
      <c r="L66" s="14">
        <f t="shared" si="36"/>
        <v>0</v>
      </c>
      <c r="M66" s="14">
        <f t="shared" si="36"/>
        <v>0</v>
      </c>
      <c r="N66" s="14">
        <f t="shared" si="36"/>
        <v>0</v>
      </c>
      <c r="O66" s="14">
        <f t="shared" si="36"/>
        <v>0</v>
      </c>
      <c r="P66" s="14">
        <f t="shared" si="36"/>
        <v>0</v>
      </c>
      <c r="Q66" s="14">
        <f t="shared" si="36"/>
        <v>0</v>
      </c>
      <c r="R66" s="14">
        <f t="shared" si="36"/>
        <v>0</v>
      </c>
      <c r="S66" s="14">
        <f t="shared" si="36"/>
        <v>0</v>
      </c>
      <c r="T66" s="14">
        <f t="shared" si="36"/>
        <v>0</v>
      </c>
      <c r="U66" s="14">
        <f t="shared" si="36"/>
        <v>0</v>
      </c>
      <c r="V66" s="14">
        <f t="shared" si="36"/>
        <v>0</v>
      </c>
      <c r="W66" s="14">
        <f t="shared" si="36"/>
        <v>0</v>
      </c>
      <c r="X66" s="14">
        <f t="shared" si="36"/>
        <v>0</v>
      </c>
      <c r="Y66" s="14">
        <f t="shared" si="36"/>
        <v>0</v>
      </c>
      <c r="Z66" s="14">
        <f t="shared" si="36"/>
        <v>0</v>
      </c>
      <c r="AA66" s="14">
        <f t="shared" si="36"/>
        <v>0</v>
      </c>
      <c r="AB66" s="14">
        <f t="shared" si="36"/>
        <v>0</v>
      </c>
      <c r="AC66" s="14">
        <f t="shared" si="36"/>
        <v>0</v>
      </c>
      <c r="AD66" s="14">
        <f t="shared" si="36"/>
        <v>0</v>
      </c>
      <c r="AE66" s="14">
        <f t="shared" si="36"/>
        <v>0</v>
      </c>
      <c r="AF66" s="14">
        <f t="shared" si="36"/>
        <v>0</v>
      </c>
      <c r="AG66" s="14">
        <f t="shared" si="36"/>
        <v>0</v>
      </c>
      <c r="AH66" s="19">
        <f>SUM(F66:AG66)</f>
        <v>960000</v>
      </c>
    </row>
    <row r="67" spans="1:35" outlineLevel="2" x14ac:dyDescent="0.25">
      <c r="A67" s="1" t="s">
        <v>35</v>
      </c>
      <c r="B67" s="44"/>
      <c r="C67"/>
      <c r="F67" s="14">
        <f>F52</f>
        <v>59000</v>
      </c>
      <c r="G67" s="14">
        <f t="shared" ref="G67:H67" si="37">G52</f>
        <v>124000</v>
      </c>
      <c r="H67" s="14">
        <f t="shared" si="37"/>
        <v>124000</v>
      </c>
      <c r="I67" s="14">
        <f>I52</f>
        <v>124000</v>
      </c>
      <c r="J67" s="14">
        <f t="shared" ref="J67:AG67" si="38">J52</f>
        <v>124000</v>
      </c>
      <c r="K67" s="14">
        <f t="shared" si="38"/>
        <v>0</v>
      </c>
      <c r="L67" s="14">
        <f t="shared" si="38"/>
        <v>0</v>
      </c>
      <c r="M67" s="14">
        <f t="shared" si="38"/>
        <v>0</v>
      </c>
      <c r="N67" s="14">
        <f t="shared" si="38"/>
        <v>0</v>
      </c>
      <c r="O67" s="14">
        <f t="shared" si="38"/>
        <v>0</v>
      </c>
      <c r="P67" s="14">
        <f t="shared" si="38"/>
        <v>0</v>
      </c>
      <c r="Q67" s="14">
        <f t="shared" si="38"/>
        <v>0</v>
      </c>
      <c r="R67" s="14">
        <f t="shared" si="38"/>
        <v>0</v>
      </c>
      <c r="S67" s="14">
        <f t="shared" si="38"/>
        <v>0</v>
      </c>
      <c r="T67" s="14">
        <f t="shared" si="38"/>
        <v>0</v>
      </c>
      <c r="U67" s="14">
        <f t="shared" si="38"/>
        <v>0</v>
      </c>
      <c r="V67" s="14">
        <f t="shared" si="38"/>
        <v>0</v>
      </c>
      <c r="W67" s="14">
        <f t="shared" si="38"/>
        <v>0</v>
      </c>
      <c r="X67" s="14">
        <f t="shared" si="38"/>
        <v>0</v>
      </c>
      <c r="Y67" s="14">
        <f t="shared" si="38"/>
        <v>0</v>
      </c>
      <c r="Z67" s="14">
        <f t="shared" si="38"/>
        <v>0</v>
      </c>
      <c r="AA67" s="14">
        <f t="shared" si="38"/>
        <v>0</v>
      </c>
      <c r="AB67" s="14">
        <f t="shared" si="38"/>
        <v>0</v>
      </c>
      <c r="AC67" s="14">
        <f t="shared" si="38"/>
        <v>0</v>
      </c>
      <c r="AD67" s="14">
        <f t="shared" si="38"/>
        <v>0</v>
      </c>
      <c r="AE67" s="14">
        <f t="shared" si="38"/>
        <v>0</v>
      </c>
      <c r="AF67" s="14">
        <f t="shared" si="38"/>
        <v>0</v>
      </c>
      <c r="AG67" s="14">
        <f t="shared" si="38"/>
        <v>0</v>
      </c>
      <c r="AH67" s="19">
        <f>SUM(F67:AG67)</f>
        <v>555000</v>
      </c>
    </row>
    <row r="68" spans="1:35" outlineLevel="2" x14ac:dyDescent="0.25">
      <c r="A68" s="44" t="s">
        <v>46</v>
      </c>
      <c r="B68" s="44"/>
      <c r="E68" s="39">
        <v>0.05</v>
      </c>
      <c r="F68" s="20">
        <f>+F69*$E$68</f>
        <v>2880</v>
      </c>
      <c r="G68" s="20">
        <f t="shared" ref="G68:H68" si="39">+G69*$E$68</f>
        <v>2880</v>
      </c>
      <c r="H68" s="20">
        <f t="shared" si="39"/>
        <v>2880</v>
      </c>
      <c r="I68" s="20">
        <f>+I69*$E$68</f>
        <v>2880</v>
      </c>
      <c r="J68" s="20">
        <f t="shared" ref="J68:AG68" si="40">+J69*$E$68</f>
        <v>2880</v>
      </c>
      <c r="K68" s="20">
        <f t="shared" si="40"/>
        <v>0</v>
      </c>
      <c r="L68" s="20">
        <f t="shared" si="40"/>
        <v>0</v>
      </c>
      <c r="M68" s="20">
        <f t="shared" si="40"/>
        <v>0</v>
      </c>
      <c r="N68" s="20">
        <f t="shared" si="40"/>
        <v>0</v>
      </c>
      <c r="O68" s="20">
        <f t="shared" si="40"/>
        <v>0</v>
      </c>
      <c r="P68" s="20">
        <f t="shared" si="40"/>
        <v>0</v>
      </c>
      <c r="Q68" s="20">
        <f t="shared" si="40"/>
        <v>0</v>
      </c>
      <c r="R68" s="20">
        <f t="shared" si="40"/>
        <v>0</v>
      </c>
      <c r="S68" s="20">
        <f t="shared" si="40"/>
        <v>0</v>
      </c>
      <c r="T68" s="20">
        <f t="shared" si="40"/>
        <v>0</v>
      </c>
      <c r="U68" s="20">
        <f t="shared" si="40"/>
        <v>0</v>
      </c>
      <c r="V68" s="20">
        <f t="shared" si="40"/>
        <v>0</v>
      </c>
      <c r="W68" s="20">
        <f t="shared" si="40"/>
        <v>0</v>
      </c>
      <c r="X68" s="20">
        <f t="shared" si="40"/>
        <v>0</v>
      </c>
      <c r="Y68" s="20">
        <f t="shared" si="40"/>
        <v>0</v>
      </c>
      <c r="Z68" s="20">
        <f t="shared" si="40"/>
        <v>0</v>
      </c>
      <c r="AA68" s="20">
        <f t="shared" si="40"/>
        <v>0</v>
      </c>
      <c r="AB68" s="20">
        <f t="shared" si="40"/>
        <v>0</v>
      </c>
      <c r="AC68" s="20">
        <f t="shared" si="40"/>
        <v>0</v>
      </c>
      <c r="AD68" s="20">
        <f t="shared" si="40"/>
        <v>0</v>
      </c>
      <c r="AE68" s="20">
        <f t="shared" si="40"/>
        <v>0</v>
      </c>
      <c r="AF68" s="20">
        <f t="shared" si="40"/>
        <v>0</v>
      </c>
      <c r="AG68" s="20">
        <f t="shared" si="40"/>
        <v>0</v>
      </c>
      <c r="AH68" s="19">
        <f>SUM(F68:AG68)</f>
        <v>14400</v>
      </c>
    </row>
    <row r="69" spans="1:35" outlineLevel="2" x14ac:dyDescent="0.25">
      <c r="A69" s="1" t="s">
        <v>42</v>
      </c>
      <c r="B69" s="44"/>
      <c r="E69" s="39">
        <f>E30</f>
        <v>0.3</v>
      </c>
      <c r="F69" s="14">
        <f>F66*$E$69</f>
        <v>57600</v>
      </c>
      <c r="G69" s="14">
        <f t="shared" ref="G69:H69" si="41">G66*$E$69</f>
        <v>57600</v>
      </c>
      <c r="H69" s="14">
        <f t="shared" si="41"/>
        <v>57600</v>
      </c>
      <c r="I69" s="14">
        <f>I66*$E$69</f>
        <v>57600</v>
      </c>
      <c r="J69" s="14">
        <f t="shared" ref="J69:AG69" si="42">J66*$E$69</f>
        <v>57600</v>
      </c>
      <c r="K69" s="14">
        <f t="shared" si="42"/>
        <v>0</v>
      </c>
      <c r="L69" s="14">
        <f t="shared" si="42"/>
        <v>0</v>
      </c>
      <c r="M69" s="14">
        <f t="shared" si="42"/>
        <v>0</v>
      </c>
      <c r="N69" s="14">
        <f t="shared" si="42"/>
        <v>0</v>
      </c>
      <c r="O69" s="14">
        <f t="shared" si="42"/>
        <v>0</v>
      </c>
      <c r="P69" s="14">
        <f t="shared" si="42"/>
        <v>0</v>
      </c>
      <c r="Q69" s="14">
        <f t="shared" si="42"/>
        <v>0</v>
      </c>
      <c r="R69" s="14">
        <f t="shared" si="42"/>
        <v>0</v>
      </c>
      <c r="S69" s="14">
        <f t="shared" si="42"/>
        <v>0</v>
      </c>
      <c r="T69" s="14">
        <f t="shared" si="42"/>
        <v>0</v>
      </c>
      <c r="U69" s="14">
        <f t="shared" si="42"/>
        <v>0</v>
      </c>
      <c r="V69" s="14">
        <f t="shared" si="42"/>
        <v>0</v>
      </c>
      <c r="W69" s="14">
        <f t="shared" si="42"/>
        <v>0</v>
      </c>
      <c r="X69" s="14">
        <f t="shared" si="42"/>
        <v>0</v>
      </c>
      <c r="Y69" s="14">
        <f t="shared" si="42"/>
        <v>0</v>
      </c>
      <c r="Z69" s="14">
        <f t="shared" si="42"/>
        <v>0</v>
      </c>
      <c r="AA69" s="14">
        <f t="shared" si="42"/>
        <v>0</v>
      </c>
      <c r="AB69" s="14">
        <f t="shared" si="42"/>
        <v>0</v>
      </c>
      <c r="AC69" s="14">
        <f t="shared" si="42"/>
        <v>0</v>
      </c>
      <c r="AD69" s="14">
        <f t="shared" si="42"/>
        <v>0</v>
      </c>
      <c r="AE69" s="14">
        <f t="shared" si="42"/>
        <v>0</v>
      </c>
      <c r="AF69" s="14">
        <f t="shared" si="42"/>
        <v>0</v>
      </c>
      <c r="AG69" s="14">
        <f t="shared" si="42"/>
        <v>0</v>
      </c>
      <c r="AH69" s="19">
        <f>SUM(F69:AG69)</f>
        <v>288000</v>
      </c>
    </row>
    <row r="70" spans="1:35" outlineLevel="2" x14ac:dyDescent="0.25">
      <c r="A70" s="1" t="s">
        <v>44</v>
      </c>
      <c r="B70" s="44"/>
      <c r="C70" s="20"/>
      <c r="F70" s="46">
        <f>F67-F68-F69</f>
        <v>-1480</v>
      </c>
      <c r="G70" s="46">
        <f t="shared" ref="G70:H70" si="43">G67-G68-G69</f>
        <v>63520</v>
      </c>
      <c r="H70" s="46">
        <f t="shared" si="43"/>
        <v>63520</v>
      </c>
      <c r="I70" s="46">
        <f>I67-I68-I69</f>
        <v>63520</v>
      </c>
      <c r="J70" s="46">
        <f t="shared" ref="J70:AG70" si="44">J67-J68-J69</f>
        <v>63520</v>
      </c>
      <c r="K70" s="46">
        <f t="shared" si="44"/>
        <v>0</v>
      </c>
      <c r="L70" s="46">
        <f t="shared" si="44"/>
        <v>0</v>
      </c>
      <c r="M70" s="46">
        <f t="shared" si="44"/>
        <v>0</v>
      </c>
      <c r="N70" s="46">
        <f t="shared" si="44"/>
        <v>0</v>
      </c>
      <c r="O70" s="46">
        <f t="shared" si="44"/>
        <v>0</v>
      </c>
      <c r="P70" s="46">
        <f t="shared" si="44"/>
        <v>0</v>
      </c>
      <c r="Q70" s="46">
        <f t="shared" si="44"/>
        <v>0</v>
      </c>
      <c r="R70" s="46">
        <f t="shared" si="44"/>
        <v>0</v>
      </c>
      <c r="S70" s="46">
        <f t="shared" si="44"/>
        <v>0</v>
      </c>
      <c r="T70" s="46">
        <f t="shared" si="44"/>
        <v>0</v>
      </c>
      <c r="U70" s="46">
        <f t="shared" si="44"/>
        <v>0</v>
      </c>
      <c r="V70" s="46">
        <f t="shared" si="44"/>
        <v>0</v>
      </c>
      <c r="W70" s="46">
        <f t="shared" si="44"/>
        <v>0</v>
      </c>
      <c r="X70" s="46">
        <f t="shared" si="44"/>
        <v>0</v>
      </c>
      <c r="Y70" s="46">
        <f t="shared" si="44"/>
        <v>0</v>
      </c>
      <c r="Z70" s="46">
        <f t="shared" si="44"/>
        <v>0</v>
      </c>
      <c r="AA70" s="46">
        <f t="shared" si="44"/>
        <v>0</v>
      </c>
      <c r="AB70" s="46">
        <f t="shared" si="44"/>
        <v>0</v>
      </c>
      <c r="AC70" s="46">
        <f t="shared" si="44"/>
        <v>0</v>
      </c>
      <c r="AD70" s="46">
        <f t="shared" si="44"/>
        <v>0</v>
      </c>
      <c r="AE70" s="46">
        <f t="shared" si="44"/>
        <v>0</v>
      </c>
      <c r="AF70" s="46">
        <f t="shared" si="44"/>
        <v>0</v>
      </c>
      <c r="AG70" s="46">
        <f t="shared" si="44"/>
        <v>0</v>
      </c>
      <c r="AH70" s="19">
        <f>SUM(F70:AG70)</f>
        <v>252600</v>
      </c>
    </row>
    <row r="71" spans="1:35" outlineLevel="1" x14ac:dyDescent="0.25">
      <c r="A71" s="60" t="s">
        <v>75</v>
      </c>
      <c r="B71" s="60"/>
      <c r="E71" s="20">
        <f>-G8</f>
        <v>-148500</v>
      </c>
      <c r="F71" s="20">
        <f>+F69</f>
        <v>57600</v>
      </c>
      <c r="G71" s="20">
        <f t="shared" ref="G71:H71" si="45">+G69</f>
        <v>57600</v>
      </c>
      <c r="H71" s="20">
        <f t="shared" si="45"/>
        <v>57600</v>
      </c>
      <c r="I71" s="20">
        <f>+I69</f>
        <v>57600</v>
      </c>
      <c r="J71" s="20">
        <f t="shared" ref="J71:AG71" si="46">+J69</f>
        <v>57600</v>
      </c>
      <c r="K71" s="20">
        <f t="shared" si="46"/>
        <v>0</v>
      </c>
      <c r="L71" s="20">
        <f t="shared" si="46"/>
        <v>0</v>
      </c>
      <c r="M71" s="20">
        <f t="shared" si="46"/>
        <v>0</v>
      </c>
      <c r="N71" s="20">
        <f t="shared" si="46"/>
        <v>0</v>
      </c>
      <c r="O71" s="20">
        <f t="shared" si="46"/>
        <v>0</v>
      </c>
      <c r="P71" s="20">
        <f t="shared" si="46"/>
        <v>0</v>
      </c>
      <c r="Q71" s="20">
        <f t="shared" si="46"/>
        <v>0</v>
      </c>
      <c r="R71" s="20">
        <f t="shared" si="46"/>
        <v>0</v>
      </c>
      <c r="S71" s="20">
        <f t="shared" si="46"/>
        <v>0</v>
      </c>
      <c r="T71" s="20">
        <f t="shared" si="46"/>
        <v>0</v>
      </c>
      <c r="U71" s="20">
        <f t="shared" si="46"/>
        <v>0</v>
      </c>
      <c r="V71" s="20">
        <f t="shared" si="46"/>
        <v>0</v>
      </c>
      <c r="W71" s="20">
        <f t="shared" si="46"/>
        <v>0</v>
      </c>
      <c r="X71" s="20">
        <f t="shared" si="46"/>
        <v>0</v>
      </c>
      <c r="Y71" s="20">
        <f t="shared" si="46"/>
        <v>0</v>
      </c>
      <c r="Z71" s="20">
        <f t="shared" si="46"/>
        <v>0</v>
      </c>
      <c r="AA71" s="20">
        <f t="shared" si="46"/>
        <v>0</v>
      </c>
      <c r="AB71" s="20">
        <f t="shared" si="46"/>
        <v>0</v>
      </c>
      <c r="AC71" s="20">
        <f t="shared" si="46"/>
        <v>0</v>
      </c>
      <c r="AD71" s="20">
        <f t="shared" si="46"/>
        <v>0</v>
      </c>
      <c r="AE71" s="20">
        <f t="shared" si="46"/>
        <v>0</v>
      </c>
      <c r="AF71" s="20">
        <f t="shared" si="46"/>
        <v>0</v>
      </c>
      <c r="AG71" s="20">
        <f t="shared" si="46"/>
        <v>0</v>
      </c>
      <c r="AH71" s="19">
        <f>SUM(E71:AG71)</f>
        <v>139500</v>
      </c>
      <c r="AI71" s="83">
        <f>+XIRR(E71:AG71,$E$24:$AG$24,0.1)</f>
        <v>0.27051635384559636</v>
      </c>
    </row>
    <row r="72" spans="1:35" outlineLevel="1" x14ac:dyDescent="0.25">
      <c r="B72" s="44"/>
      <c r="P72"/>
      <c r="AH72" s="1"/>
    </row>
    <row r="73" spans="1:35" outlineLevel="2" x14ac:dyDescent="0.25">
      <c r="A73" s="1" t="s">
        <v>70</v>
      </c>
      <c r="F73" s="46">
        <f>+F67-F68</f>
        <v>56120</v>
      </c>
      <c r="G73" s="46">
        <f>+G67-G68+F75</f>
        <v>121240</v>
      </c>
      <c r="H73" s="46">
        <f t="shared" ref="H73:AG73" si="47">+H67-H68</f>
        <v>121120</v>
      </c>
      <c r="I73" s="46">
        <f t="shared" si="47"/>
        <v>121120</v>
      </c>
      <c r="J73" s="46">
        <f t="shared" si="47"/>
        <v>121120</v>
      </c>
      <c r="K73" s="46">
        <f t="shared" si="47"/>
        <v>0</v>
      </c>
      <c r="L73" s="46">
        <f t="shared" si="47"/>
        <v>0</v>
      </c>
      <c r="M73" s="46">
        <f t="shared" si="47"/>
        <v>0</v>
      </c>
      <c r="N73" s="46">
        <f t="shared" si="47"/>
        <v>0</v>
      </c>
      <c r="O73" s="46">
        <f t="shared" si="47"/>
        <v>0</v>
      </c>
      <c r="P73" s="46">
        <f t="shared" si="47"/>
        <v>0</v>
      </c>
      <c r="Q73" s="46">
        <f t="shared" si="47"/>
        <v>0</v>
      </c>
      <c r="R73" s="46">
        <f t="shared" si="47"/>
        <v>0</v>
      </c>
      <c r="S73" s="46">
        <f t="shared" si="47"/>
        <v>0</v>
      </c>
      <c r="T73" s="46">
        <f t="shared" si="47"/>
        <v>0</v>
      </c>
      <c r="U73" s="46">
        <f t="shared" si="47"/>
        <v>0</v>
      </c>
      <c r="V73" s="46">
        <f t="shared" si="47"/>
        <v>0</v>
      </c>
      <c r="W73" s="46">
        <f t="shared" si="47"/>
        <v>0</v>
      </c>
      <c r="X73" s="46">
        <f t="shared" si="47"/>
        <v>0</v>
      </c>
      <c r="Y73" s="46">
        <f t="shared" si="47"/>
        <v>0</v>
      </c>
      <c r="Z73" s="46">
        <f t="shared" si="47"/>
        <v>0</v>
      </c>
      <c r="AA73" s="46">
        <f t="shared" si="47"/>
        <v>0</v>
      </c>
      <c r="AB73" s="46">
        <f t="shared" si="47"/>
        <v>0</v>
      </c>
      <c r="AC73" s="46">
        <f t="shared" si="47"/>
        <v>0</v>
      </c>
      <c r="AD73" s="46">
        <f t="shared" si="47"/>
        <v>0</v>
      </c>
      <c r="AE73" s="46">
        <f t="shared" si="47"/>
        <v>0</v>
      </c>
      <c r="AF73" s="46">
        <f t="shared" si="47"/>
        <v>0</v>
      </c>
      <c r="AG73" s="46">
        <f t="shared" si="47"/>
        <v>0</v>
      </c>
    </row>
    <row r="74" spans="1:35" outlineLevel="2" x14ac:dyDescent="0.25">
      <c r="A74" s="1" t="s">
        <v>73</v>
      </c>
      <c r="F74" s="20">
        <f>-MIN((ROUNDDOWN(F73,-3)),F76)</f>
        <v>-56000</v>
      </c>
      <c r="G74" s="20">
        <f>-MIN((ROUNDDOWN(G73,-3)),G76)</f>
        <v>-59200</v>
      </c>
      <c r="H74" s="20">
        <f t="shared" ref="H74:AG74" si="48">-MIN((ROUNDDOWN(H73,-3)),H76)</f>
        <v>-57600</v>
      </c>
      <c r="I74" s="20">
        <f t="shared" si="48"/>
        <v>-57600</v>
      </c>
      <c r="J74" s="20">
        <f t="shared" si="48"/>
        <v>-57600</v>
      </c>
      <c r="K74" s="20">
        <f t="shared" si="48"/>
        <v>0</v>
      </c>
      <c r="L74" s="20">
        <f t="shared" si="48"/>
        <v>0</v>
      </c>
      <c r="M74" s="20">
        <f t="shared" si="48"/>
        <v>0</v>
      </c>
      <c r="N74" s="20">
        <f t="shared" si="48"/>
        <v>0</v>
      </c>
      <c r="O74" s="20">
        <f t="shared" si="48"/>
        <v>0</v>
      </c>
      <c r="P74" s="20">
        <f t="shared" si="48"/>
        <v>0</v>
      </c>
      <c r="Q74" s="20">
        <f t="shared" si="48"/>
        <v>0</v>
      </c>
      <c r="R74" s="20">
        <f t="shared" si="48"/>
        <v>0</v>
      </c>
      <c r="S74" s="20">
        <f t="shared" si="48"/>
        <v>0</v>
      </c>
      <c r="T74" s="20">
        <f t="shared" si="48"/>
        <v>0</v>
      </c>
      <c r="U74" s="20">
        <f t="shared" si="48"/>
        <v>0</v>
      </c>
      <c r="V74" s="20">
        <f t="shared" si="48"/>
        <v>0</v>
      </c>
      <c r="W74" s="20">
        <f t="shared" si="48"/>
        <v>0</v>
      </c>
      <c r="X74" s="20">
        <f t="shared" si="48"/>
        <v>0</v>
      </c>
      <c r="Y74" s="20">
        <f t="shared" si="48"/>
        <v>0</v>
      </c>
      <c r="Z74" s="20">
        <f t="shared" si="48"/>
        <v>0</v>
      </c>
      <c r="AA74" s="20">
        <f t="shared" si="48"/>
        <v>0</v>
      </c>
      <c r="AB74" s="20">
        <f t="shared" si="48"/>
        <v>0</v>
      </c>
      <c r="AC74" s="20">
        <f t="shared" si="48"/>
        <v>0</v>
      </c>
      <c r="AD74" s="20">
        <f t="shared" si="48"/>
        <v>0</v>
      </c>
      <c r="AE74" s="20">
        <f t="shared" si="48"/>
        <v>0</v>
      </c>
      <c r="AF74" s="20">
        <f t="shared" si="48"/>
        <v>0</v>
      </c>
      <c r="AG74" s="20">
        <f t="shared" si="48"/>
        <v>0</v>
      </c>
    </row>
    <row r="75" spans="1:35" outlineLevel="2" x14ac:dyDescent="0.25">
      <c r="A75" s="1" t="s">
        <v>72</v>
      </c>
      <c r="F75" s="20">
        <f>SUM(F73:F74)</f>
        <v>120</v>
      </c>
      <c r="G75" s="20">
        <f>SUM(G73:G74)</f>
        <v>62040</v>
      </c>
      <c r="H75" s="20">
        <f t="shared" ref="H75:AG75" si="49">SUM(H73:H74)</f>
        <v>63520</v>
      </c>
      <c r="I75" s="20">
        <f t="shared" si="49"/>
        <v>63520</v>
      </c>
      <c r="J75" s="20">
        <f t="shared" si="49"/>
        <v>63520</v>
      </c>
      <c r="K75" s="20">
        <f t="shared" si="49"/>
        <v>0</v>
      </c>
      <c r="L75" s="20">
        <f t="shared" si="49"/>
        <v>0</v>
      </c>
      <c r="M75" s="20">
        <f t="shared" si="49"/>
        <v>0</v>
      </c>
      <c r="N75" s="20">
        <f t="shared" si="49"/>
        <v>0</v>
      </c>
      <c r="O75" s="20">
        <f t="shared" si="49"/>
        <v>0</v>
      </c>
      <c r="P75" s="20">
        <f t="shared" si="49"/>
        <v>0</v>
      </c>
      <c r="Q75" s="20">
        <f t="shared" si="49"/>
        <v>0</v>
      </c>
      <c r="R75" s="20">
        <f t="shared" si="49"/>
        <v>0</v>
      </c>
      <c r="S75" s="20">
        <f t="shared" si="49"/>
        <v>0</v>
      </c>
      <c r="T75" s="20">
        <f t="shared" si="49"/>
        <v>0</v>
      </c>
      <c r="U75" s="20">
        <f t="shared" si="49"/>
        <v>0</v>
      </c>
      <c r="V75" s="20">
        <f t="shared" si="49"/>
        <v>0</v>
      </c>
      <c r="W75" s="20">
        <f t="shared" si="49"/>
        <v>0</v>
      </c>
      <c r="X75" s="20">
        <f t="shared" si="49"/>
        <v>0</v>
      </c>
      <c r="Y75" s="20">
        <f t="shared" si="49"/>
        <v>0</v>
      </c>
      <c r="Z75" s="20">
        <f t="shared" si="49"/>
        <v>0</v>
      </c>
      <c r="AA75" s="20">
        <f t="shared" si="49"/>
        <v>0</v>
      </c>
      <c r="AB75" s="20">
        <f t="shared" si="49"/>
        <v>0</v>
      </c>
      <c r="AC75" s="20">
        <f t="shared" si="49"/>
        <v>0</v>
      </c>
      <c r="AD75" s="20">
        <f t="shared" si="49"/>
        <v>0</v>
      </c>
      <c r="AE75" s="20">
        <f t="shared" si="49"/>
        <v>0</v>
      </c>
      <c r="AF75" s="20">
        <f t="shared" si="49"/>
        <v>0</v>
      </c>
      <c r="AG75" s="20">
        <f t="shared" si="49"/>
        <v>0</v>
      </c>
    </row>
    <row r="76" spans="1:35" outlineLevel="2" x14ac:dyDescent="0.25">
      <c r="A76" s="1" t="s">
        <v>71</v>
      </c>
      <c r="F76" s="46">
        <f>+F69</f>
        <v>57600</v>
      </c>
      <c r="G76" s="46">
        <f t="shared" ref="G76:AG76" si="50">+G69+F78</f>
        <v>59200</v>
      </c>
      <c r="H76" s="46">
        <f t="shared" si="50"/>
        <v>57600</v>
      </c>
      <c r="I76" s="46">
        <f t="shared" si="50"/>
        <v>57600</v>
      </c>
      <c r="J76" s="46">
        <f t="shared" si="50"/>
        <v>57600</v>
      </c>
      <c r="K76" s="46">
        <f t="shared" si="50"/>
        <v>0</v>
      </c>
      <c r="L76" s="46">
        <f t="shared" si="50"/>
        <v>0</v>
      </c>
      <c r="M76" s="46">
        <f t="shared" si="50"/>
        <v>0</v>
      </c>
      <c r="N76" s="46">
        <f t="shared" si="50"/>
        <v>0</v>
      </c>
      <c r="O76" s="46">
        <f t="shared" si="50"/>
        <v>0</v>
      </c>
      <c r="P76" s="46">
        <f t="shared" si="50"/>
        <v>0</v>
      </c>
      <c r="Q76" s="46">
        <f t="shared" si="50"/>
        <v>0</v>
      </c>
      <c r="R76" s="46">
        <f t="shared" si="50"/>
        <v>0</v>
      </c>
      <c r="S76" s="46">
        <f t="shared" si="50"/>
        <v>0</v>
      </c>
      <c r="T76" s="46">
        <f t="shared" si="50"/>
        <v>0</v>
      </c>
      <c r="U76" s="46">
        <f t="shared" si="50"/>
        <v>0</v>
      </c>
      <c r="V76" s="46">
        <f t="shared" si="50"/>
        <v>0</v>
      </c>
      <c r="W76" s="46">
        <f t="shared" si="50"/>
        <v>0</v>
      </c>
      <c r="X76" s="46">
        <f t="shared" si="50"/>
        <v>0</v>
      </c>
      <c r="Y76" s="46">
        <f t="shared" si="50"/>
        <v>0</v>
      </c>
      <c r="Z76" s="46">
        <f t="shared" si="50"/>
        <v>0</v>
      </c>
      <c r="AA76" s="46">
        <f t="shared" si="50"/>
        <v>0</v>
      </c>
      <c r="AB76" s="46">
        <f t="shared" si="50"/>
        <v>0</v>
      </c>
      <c r="AC76" s="46">
        <f t="shared" si="50"/>
        <v>0</v>
      </c>
      <c r="AD76" s="46">
        <f t="shared" si="50"/>
        <v>0</v>
      </c>
      <c r="AE76" s="46">
        <f t="shared" si="50"/>
        <v>0</v>
      </c>
      <c r="AF76" s="46">
        <f t="shared" si="50"/>
        <v>0</v>
      </c>
      <c r="AG76" s="46">
        <f t="shared" si="50"/>
        <v>0</v>
      </c>
      <c r="AH76" s="46"/>
    </row>
    <row r="77" spans="1:35" outlineLevel="2" x14ac:dyDescent="0.25">
      <c r="A77" s="1" t="s">
        <v>73</v>
      </c>
      <c r="F77" s="46">
        <f>+F74</f>
        <v>-56000</v>
      </c>
      <c r="G77" s="46">
        <f>+G74</f>
        <v>-59200</v>
      </c>
      <c r="H77" s="46">
        <f t="shared" ref="H77:AG77" si="51">+H74</f>
        <v>-57600</v>
      </c>
      <c r="I77" s="46">
        <f t="shared" si="51"/>
        <v>-57600</v>
      </c>
      <c r="J77" s="46">
        <f t="shared" si="51"/>
        <v>-57600</v>
      </c>
      <c r="K77" s="46">
        <f t="shared" si="51"/>
        <v>0</v>
      </c>
      <c r="L77" s="46">
        <f t="shared" si="51"/>
        <v>0</v>
      </c>
      <c r="M77" s="46">
        <f t="shared" si="51"/>
        <v>0</v>
      </c>
      <c r="N77" s="46">
        <f t="shared" si="51"/>
        <v>0</v>
      </c>
      <c r="O77" s="46">
        <f t="shared" si="51"/>
        <v>0</v>
      </c>
      <c r="P77" s="46">
        <f t="shared" si="51"/>
        <v>0</v>
      </c>
      <c r="Q77" s="46">
        <f t="shared" si="51"/>
        <v>0</v>
      </c>
      <c r="R77" s="46">
        <f t="shared" si="51"/>
        <v>0</v>
      </c>
      <c r="S77" s="46">
        <f t="shared" si="51"/>
        <v>0</v>
      </c>
      <c r="T77" s="46">
        <f t="shared" si="51"/>
        <v>0</v>
      </c>
      <c r="U77" s="46">
        <f t="shared" si="51"/>
        <v>0</v>
      </c>
      <c r="V77" s="46">
        <f t="shared" si="51"/>
        <v>0</v>
      </c>
      <c r="W77" s="46">
        <f t="shared" si="51"/>
        <v>0</v>
      </c>
      <c r="X77" s="46">
        <f t="shared" si="51"/>
        <v>0</v>
      </c>
      <c r="Y77" s="46">
        <f t="shared" si="51"/>
        <v>0</v>
      </c>
      <c r="Z77" s="46">
        <f t="shared" si="51"/>
        <v>0</v>
      </c>
      <c r="AA77" s="46">
        <f t="shared" si="51"/>
        <v>0</v>
      </c>
      <c r="AB77" s="46">
        <f t="shared" si="51"/>
        <v>0</v>
      </c>
      <c r="AC77" s="46">
        <f t="shared" si="51"/>
        <v>0</v>
      </c>
      <c r="AD77" s="46">
        <f t="shared" si="51"/>
        <v>0</v>
      </c>
      <c r="AE77" s="46">
        <f t="shared" si="51"/>
        <v>0</v>
      </c>
      <c r="AF77" s="46">
        <f t="shared" si="51"/>
        <v>0</v>
      </c>
      <c r="AG77" s="46">
        <f t="shared" si="51"/>
        <v>0</v>
      </c>
      <c r="AH77" s="46"/>
    </row>
    <row r="78" spans="1:35" outlineLevel="2" x14ac:dyDescent="0.25">
      <c r="A78" s="44" t="s">
        <v>74</v>
      </c>
      <c r="F78" s="20">
        <f>+F76+F77</f>
        <v>1600</v>
      </c>
      <c r="G78" s="20">
        <f>+G76+G77</f>
        <v>0</v>
      </c>
      <c r="H78" s="20">
        <f t="shared" ref="H78:AG78" si="52">+H76+H77</f>
        <v>0</v>
      </c>
      <c r="I78" s="20">
        <f t="shared" si="52"/>
        <v>0</v>
      </c>
      <c r="J78" s="20">
        <f t="shared" si="52"/>
        <v>0</v>
      </c>
      <c r="K78" s="20">
        <f t="shared" si="52"/>
        <v>0</v>
      </c>
      <c r="L78" s="20">
        <f t="shared" si="52"/>
        <v>0</v>
      </c>
      <c r="M78" s="20">
        <f t="shared" si="52"/>
        <v>0</v>
      </c>
      <c r="N78" s="20">
        <f t="shared" si="52"/>
        <v>0</v>
      </c>
      <c r="O78" s="20">
        <f t="shared" si="52"/>
        <v>0</v>
      </c>
      <c r="P78" s="20">
        <f t="shared" si="52"/>
        <v>0</v>
      </c>
      <c r="Q78" s="20">
        <f t="shared" si="52"/>
        <v>0</v>
      </c>
      <c r="R78" s="20">
        <f t="shared" si="52"/>
        <v>0</v>
      </c>
      <c r="S78" s="20">
        <f t="shared" si="52"/>
        <v>0</v>
      </c>
      <c r="T78" s="20">
        <f t="shared" si="52"/>
        <v>0</v>
      </c>
      <c r="U78" s="20">
        <f t="shared" si="52"/>
        <v>0</v>
      </c>
      <c r="V78" s="20">
        <f t="shared" si="52"/>
        <v>0</v>
      </c>
      <c r="W78" s="20">
        <f t="shared" si="52"/>
        <v>0</v>
      </c>
      <c r="X78" s="20">
        <f t="shared" si="52"/>
        <v>0</v>
      </c>
      <c r="Y78" s="20">
        <f t="shared" si="52"/>
        <v>0</v>
      </c>
      <c r="Z78" s="20">
        <f t="shared" si="52"/>
        <v>0</v>
      </c>
      <c r="AA78" s="20">
        <f t="shared" si="52"/>
        <v>0</v>
      </c>
      <c r="AB78" s="20">
        <f t="shared" si="52"/>
        <v>0</v>
      </c>
      <c r="AC78" s="20">
        <f t="shared" si="52"/>
        <v>0</v>
      </c>
      <c r="AD78" s="20">
        <f t="shared" si="52"/>
        <v>0</v>
      </c>
      <c r="AE78" s="20">
        <f t="shared" si="52"/>
        <v>0</v>
      </c>
      <c r="AF78" s="20">
        <f t="shared" si="52"/>
        <v>0</v>
      </c>
      <c r="AG78" s="20">
        <f t="shared" si="52"/>
        <v>0</v>
      </c>
    </row>
    <row r="79" spans="1:35" outlineLevel="1" x14ac:dyDescent="0.25">
      <c r="A79" s="60" t="s">
        <v>76</v>
      </c>
      <c r="B79" s="60"/>
      <c r="E79" s="20">
        <f>+E71</f>
        <v>-148500</v>
      </c>
      <c r="F79" s="20">
        <f>-F77</f>
        <v>56000</v>
      </c>
      <c r="G79" s="20">
        <f t="shared" ref="G79:AG79" si="53">-G77</f>
        <v>59200</v>
      </c>
      <c r="H79" s="20">
        <f t="shared" si="53"/>
        <v>57600</v>
      </c>
      <c r="I79" s="20">
        <f t="shared" si="53"/>
        <v>57600</v>
      </c>
      <c r="J79" s="20">
        <f t="shared" si="53"/>
        <v>57600</v>
      </c>
      <c r="K79" s="20">
        <f t="shared" si="53"/>
        <v>0</v>
      </c>
      <c r="L79" s="20">
        <f t="shared" si="53"/>
        <v>0</v>
      </c>
      <c r="M79" s="20">
        <f t="shared" si="53"/>
        <v>0</v>
      </c>
      <c r="N79" s="20">
        <f t="shared" si="53"/>
        <v>0</v>
      </c>
      <c r="O79" s="20">
        <f t="shared" si="53"/>
        <v>0</v>
      </c>
      <c r="P79" s="20">
        <f t="shared" si="53"/>
        <v>0</v>
      </c>
      <c r="Q79" s="20">
        <f t="shared" si="53"/>
        <v>0</v>
      </c>
      <c r="R79" s="20">
        <f t="shared" si="53"/>
        <v>0</v>
      </c>
      <c r="S79" s="20">
        <f t="shared" si="53"/>
        <v>0</v>
      </c>
      <c r="T79" s="20">
        <f t="shared" si="53"/>
        <v>0</v>
      </c>
      <c r="U79" s="20">
        <f t="shared" si="53"/>
        <v>0</v>
      </c>
      <c r="V79" s="20">
        <f t="shared" si="53"/>
        <v>0</v>
      </c>
      <c r="W79" s="20">
        <f t="shared" si="53"/>
        <v>0</v>
      </c>
      <c r="X79" s="20">
        <f t="shared" si="53"/>
        <v>0</v>
      </c>
      <c r="Y79" s="20">
        <f t="shared" si="53"/>
        <v>0</v>
      </c>
      <c r="Z79" s="20">
        <f t="shared" si="53"/>
        <v>0</v>
      </c>
      <c r="AA79" s="20">
        <f t="shared" si="53"/>
        <v>0</v>
      </c>
      <c r="AB79" s="20">
        <f t="shared" si="53"/>
        <v>0</v>
      </c>
      <c r="AC79" s="20">
        <f t="shared" si="53"/>
        <v>0</v>
      </c>
      <c r="AD79" s="20">
        <f t="shared" si="53"/>
        <v>0</v>
      </c>
      <c r="AE79" s="20">
        <f t="shared" si="53"/>
        <v>0</v>
      </c>
      <c r="AF79" s="20">
        <f t="shared" si="53"/>
        <v>0</v>
      </c>
      <c r="AG79" s="20">
        <f t="shared" si="53"/>
        <v>0</v>
      </c>
      <c r="AH79" s="19">
        <f>SUM(E79:AG79)</f>
        <v>139500</v>
      </c>
      <c r="AI79" s="83">
        <f>+XIRR(E79:AG79,$E$24:$AG$24,0.1)</f>
        <v>0.26961527466773982</v>
      </c>
    </row>
    <row r="80" spans="1:35" x14ac:dyDescent="0.25">
      <c r="P80"/>
      <c r="X80" s="1"/>
      <c r="Y80" s="1"/>
      <c r="Z80" s="1"/>
    </row>
    <row r="81" spans="16:26" x14ac:dyDescent="0.25">
      <c r="P81"/>
      <c r="X81" s="1"/>
      <c r="Y81" s="1"/>
      <c r="Z81" s="1"/>
    </row>
    <row r="82" spans="16:26" x14ac:dyDescent="0.25">
      <c r="P82"/>
      <c r="X82" s="1"/>
      <c r="Y82" s="1"/>
      <c r="Z82" s="1"/>
    </row>
    <row r="83" spans="16:26" x14ac:dyDescent="0.25">
      <c r="P83"/>
      <c r="X83" s="1"/>
      <c r="Y83" s="1"/>
      <c r="Z83" s="1"/>
    </row>
    <row r="84" spans="16:26" x14ac:dyDescent="0.25">
      <c r="P84"/>
      <c r="X84" s="1"/>
      <c r="Y84" s="1"/>
      <c r="Z84" s="1"/>
    </row>
    <row r="85" spans="16:26" x14ac:dyDescent="0.25">
      <c r="P85"/>
      <c r="X85" s="1"/>
      <c r="Y85" s="1"/>
      <c r="Z85" s="1"/>
    </row>
    <row r="86" spans="16:26" x14ac:dyDescent="0.25">
      <c r="P86"/>
      <c r="X86" s="1"/>
      <c r="Y86" s="1"/>
      <c r="Z86" s="1"/>
    </row>
    <row r="87" spans="16:26" x14ac:dyDescent="0.25">
      <c r="P87"/>
      <c r="X87" s="1"/>
      <c r="Y87" s="1"/>
      <c r="Z87" s="1"/>
    </row>
    <row r="88" spans="16:26" x14ac:dyDescent="0.25">
      <c r="P88"/>
      <c r="X88" s="1"/>
      <c r="Y88" s="1"/>
      <c r="Z88" s="1"/>
    </row>
    <row r="89" spans="16:26" x14ac:dyDescent="0.25">
      <c r="P89"/>
      <c r="X89" s="1"/>
      <c r="Y89" s="1"/>
      <c r="Z89" s="1"/>
    </row>
    <row r="90" spans="16:26" x14ac:dyDescent="0.25">
      <c r="P90"/>
      <c r="X90" s="1"/>
      <c r="Y90" s="1"/>
      <c r="Z90" s="1"/>
    </row>
    <row r="91" spans="16:26" x14ac:dyDescent="0.25">
      <c r="P91"/>
      <c r="R91" s="1"/>
    </row>
    <row r="92" spans="16:26" x14ac:dyDescent="0.25">
      <c r="P92"/>
      <c r="R92" s="1"/>
    </row>
    <row r="93" spans="16:26" x14ac:dyDescent="0.25">
      <c r="P93"/>
      <c r="R93" s="1"/>
    </row>
    <row r="94" spans="16:26" x14ac:dyDescent="0.25">
      <c r="P94"/>
      <c r="R94" s="1"/>
    </row>
    <row r="95" spans="16:26" x14ac:dyDescent="0.25">
      <c r="P95"/>
      <c r="R95" s="1"/>
    </row>
    <row r="96" spans="16:26" x14ac:dyDescent="0.25">
      <c r="P96"/>
      <c r="R96" s="1"/>
    </row>
    <row r="97" spans="16:18" x14ac:dyDescent="0.25">
      <c r="P97"/>
      <c r="R97" s="1"/>
    </row>
    <row r="98" spans="16:18" x14ac:dyDescent="0.25">
      <c r="P98"/>
      <c r="R98" s="1"/>
    </row>
    <row r="99" spans="16:18" x14ac:dyDescent="0.25">
      <c r="P99"/>
      <c r="R99" s="1"/>
    </row>
    <row r="100" spans="16:18" x14ac:dyDescent="0.25">
      <c r="P100"/>
      <c r="R100" s="1"/>
    </row>
    <row r="101" spans="16:18" x14ac:dyDescent="0.25">
      <c r="P101"/>
      <c r="R101" s="1"/>
    </row>
    <row r="102" spans="16:18" x14ac:dyDescent="0.25">
      <c r="P102"/>
      <c r="R102" s="1"/>
    </row>
    <row r="103" spans="16:18" x14ac:dyDescent="0.25">
      <c r="P103"/>
      <c r="R103" s="1"/>
    </row>
    <row r="104" spans="16:18" x14ac:dyDescent="0.25">
      <c r="P104"/>
      <c r="R104" s="1"/>
    </row>
    <row r="105" spans="16:18" x14ac:dyDescent="0.25">
      <c r="P105"/>
      <c r="R105" s="1"/>
    </row>
    <row r="106" spans="16:18" x14ac:dyDescent="0.25">
      <c r="P106"/>
      <c r="R106" s="1"/>
    </row>
    <row r="107" spans="16:18" x14ac:dyDescent="0.25">
      <c r="P107"/>
      <c r="R107" s="1"/>
    </row>
    <row r="108" spans="16:18" x14ac:dyDescent="0.25">
      <c r="P108"/>
      <c r="R108" s="1"/>
    </row>
    <row r="109" spans="16:18" x14ac:dyDescent="0.25">
      <c r="P109"/>
      <c r="R109" s="1"/>
    </row>
    <row r="110" spans="16:18" x14ac:dyDescent="0.25">
      <c r="P110"/>
      <c r="R110" s="1"/>
    </row>
    <row r="111" spans="16:18" x14ac:dyDescent="0.25">
      <c r="P111"/>
      <c r="R111" s="1"/>
    </row>
    <row r="112" spans="16:18" x14ac:dyDescent="0.25">
      <c r="P112"/>
      <c r="R112" s="1"/>
    </row>
    <row r="113" spans="16:18" x14ac:dyDescent="0.25">
      <c r="P113"/>
      <c r="R113" s="1"/>
    </row>
    <row r="114" spans="16:18" x14ac:dyDescent="0.25">
      <c r="P114"/>
      <c r="R114" s="1"/>
    </row>
    <row r="115" spans="16:18" x14ac:dyDescent="0.25">
      <c r="P115"/>
      <c r="R115" s="1"/>
    </row>
    <row r="116" spans="16:18" x14ac:dyDescent="0.25">
      <c r="P116"/>
      <c r="R116" s="1"/>
    </row>
    <row r="117" spans="16:18" x14ac:dyDescent="0.25">
      <c r="P117"/>
      <c r="R117" s="1"/>
    </row>
    <row r="118" spans="16:18" x14ac:dyDescent="0.25">
      <c r="P118"/>
      <c r="R118" s="1"/>
    </row>
    <row r="119" spans="16:18" x14ac:dyDescent="0.25">
      <c r="P119"/>
      <c r="R119" s="1"/>
    </row>
    <row r="120" spans="16:18" x14ac:dyDescent="0.25">
      <c r="P120"/>
      <c r="R120" s="1"/>
    </row>
    <row r="121" spans="16:18" x14ac:dyDescent="0.25">
      <c r="P121"/>
      <c r="R121" s="1"/>
    </row>
    <row r="122" spans="16:18" x14ac:dyDescent="0.25">
      <c r="P122"/>
      <c r="R122" s="1"/>
    </row>
    <row r="123" spans="16:18" x14ac:dyDescent="0.25">
      <c r="P123"/>
      <c r="R123" s="1"/>
    </row>
    <row r="124" spans="16:18" x14ac:dyDescent="0.25">
      <c r="P124"/>
      <c r="R124" s="1"/>
    </row>
    <row r="125" spans="16:18" x14ac:dyDescent="0.25">
      <c r="P125"/>
      <c r="R125" s="1"/>
    </row>
    <row r="126" spans="16:18" x14ac:dyDescent="0.25">
      <c r="P126"/>
      <c r="R126" s="1"/>
    </row>
    <row r="127" spans="16:18" x14ac:dyDescent="0.25">
      <c r="P127"/>
      <c r="R127" s="1"/>
    </row>
    <row r="128" spans="16:18" x14ac:dyDescent="0.25">
      <c r="P128"/>
      <c r="R128" s="1"/>
    </row>
    <row r="129" spans="16:18" x14ac:dyDescent="0.25">
      <c r="P129"/>
      <c r="R129" s="1"/>
    </row>
    <row r="130" spans="16:18" x14ac:dyDescent="0.25">
      <c r="P130"/>
      <c r="R130" s="1"/>
    </row>
    <row r="131" spans="16:18" x14ac:dyDescent="0.25">
      <c r="P131"/>
      <c r="R131" s="1"/>
    </row>
    <row r="132" spans="16:18" x14ac:dyDescent="0.25">
      <c r="P132"/>
      <c r="R132" s="1"/>
    </row>
    <row r="133" spans="16:18" x14ac:dyDescent="0.25">
      <c r="P133"/>
      <c r="R133" s="1"/>
    </row>
    <row r="134" spans="16:18" x14ac:dyDescent="0.25">
      <c r="P134"/>
      <c r="R134" s="1"/>
    </row>
    <row r="135" spans="16:18" x14ac:dyDescent="0.25">
      <c r="P135"/>
      <c r="R135" s="1"/>
    </row>
    <row r="136" spans="16:18" x14ac:dyDescent="0.25">
      <c r="P136"/>
      <c r="R136" s="1"/>
    </row>
    <row r="137" spans="16:18" x14ac:dyDescent="0.25">
      <c r="P137"/>
      <c r="R137" s="1"/>
    </row>
    <row r="138" spans="16:18" x14ac:dyDescent="0.25">
      <c r="P138"/>
      <c r="R138" s="1"/>
    </row>
    <row r="139" spans="16:18" x14ac:dyDescent="0.25">
      <c r="P139"/>
      <c r="R139" s="1"/>
    </row>
    <row r="140" spans="16:18" x14ac:dyDescent="0.25">
      <c r="P140"/>
      <c r="R140" s="1"/>
    </row>
    <row r="141" spans="16:18" x14ac:dyDescent="0.25">
      <c r="P141"/>
      <c r="R141" s="1"/>
    </row>
    <row r="142" spans="16:18" x14ac:dyDescent="0.25">
      <c r="P142"/>
      <c r="R142" s="1"/>
    </row>
    <row r="143" spans="16:18" x14ac:dyDescent="0.25">
      <c r="P143"/>
      <c r="R143" s="1"/>
    </row>
    <row r="144" spans="16:18" x14ac:dyDescent="0.25">
      <c r="P144"/>
      <c r="R144" s="1"/>
    </row>
    <row r="145" spans="16:18" x14ac:dyDescent="0.25">
      <c r="P145"/>
      <c r="R145" s="1"/>
    </row>
    <row r="146" spans="16:18" x14ac:dyDescent="0.25">
      <c r="P146"/>
      <c r="R146" s="1"/>
    </row>
    <row r="147" spans="16:18" x14ac:dyDescent="0.25">
      <c r="P147"/>
      <c r="R147" s="1"/>
    </row>
    <row r="148" spans="16:18" x14ac:dyDescent="0.25">
      <c r="P148"/>
      <c r="R148" s="1"/>
    </row>
    <row r="149" spans="16:18" x14ac:dyDescent="0.25">
      <c r="P149"/>
      <c r="R149" s="1"/>
    </row>
    <row r="150" spans="16:18" x14ac:dyDescent="0.25">
      <c r="P150"/>
      <c r="R150" s="1"/>
    </row>
    <row r="151" spans="16:18" x14ac:dyDescent="0.25">
      <c r="P151"/>
      <c r="R151" s="1"/>
    </row>
    <row r="152" spans="16:18" x14ac:dyDescent="0.25">
      <c r="P152"/>
      <c r="R152" s="1"/>
    </row>
    <row r="153" spans="16:18" x14ac:dyDescent="0.25">
      <c r="P153"/>
      <c r="R153" s="1"/>
    </row>
    <row r="154" spans="16:18" x14ac:dyDescent="0.25">
      <c r="P154"/>
      <c r="R154" s="1"/>
    </row>
    <row r="155" spans="16:18" x14ac:dyDescent="0.25">
      <c r="P155"/>
      <c r="R155" s="1"/>
    </row>
    <row r="156" spans="16:18" x14ac:dyDescent="0.25">
      <c r="P156"/>
      <c r="R156" s="1"/>
    </row>
    <row r="157" spans="16:18" x14ac:dyDescent="0.25">
      <c r="P157"/>
      <c r="R157" s="1"/>
    </row>
    <row r="158" spans="16:18" x14ac:dyDescent="0.25">
      <c r="P158"/>
      <c r="R158" s="1"/>
    </row>
    <row r="159" spans="16:18" x14ac:dyDescent="0.25">
      <c r="P159"/>
      <c r="R159" s="1"/>
    </row>
    <row r="160" spans="16:18" x14ac:dyDescent="0.25">
      <c r="P160"/>
      <c r="R160" s="1"/>
    </row>
    <row r="161" spans="16:18" x14ac:dyDescent="0.25">
      <c r="P161"/>
      <c r="R161" s="1"/>
    </row>
  </sheetData>
  <mergeCells count="20">
    <mergeCell ref="AL29:AM30"/>
    <mergeCell ref="AN30:AS30"/>
    <mergeCell ref="AL32:AL39"/>
    <mergeCell ref="F4:H4"/>
    <mergeCell ref="A4:B5"/>
    <mergeCell ref="AN5:AS5"/>
    <mergeCell ref="AL4:AM5"/>
    <mergeCell ref="AL17:AM18"/>
    <mergeCell ref="AN18:AS18"/>
    <mergeCell ref="AL20:AL27"/>
    <mergeCell ref="BF5:BK5"/>
    <mergeCell ref="AL7:AL14"/>
    <mergeCell ref="AU17:AV18"/>
    <mergeCell ref="AW18:BB18"/>
    <mergeCell ref="AU20:AU27"/>
    <mergeCell ref="BD7:BD14"/>
    <mergeCell ref="AU4:AV5"/>
    <mergeCell ref="AW5:BB5"/>
    <mergeCell ref="AU7:AU14"/>
    <mergeCell ref="BD4:BE5"/>
  </mergeCells>
  <conditionalFormatting sqref="F70:AG70">
    <cfRule type="cellIs" dxfId="25" priority="48" operator="lessThan">
      <formula>0</formula>
    </cfRule>
  </conditionalFormatting>
  <conditionalFormatting sqref="F44:AG44">
    <cfRule type="containsText" dxfId="24" priority="44" operator="containsText" text="ok">
      <formula>NOT(ISERROR(SEARCH("ok",F44)))</formula>
    </cfRule>
    <cfRule type="containsText" dxfId="23" priority="45" operator="containsText" text="ko">
      <formula>NOT(ISERROR(SEARCH("ko",F44)))</formula>
    </cfRule>
  </conditionalFormatting>
  <conditionalFormatting sqref="AO4">
    <cfRule type="cellIs" dxfId="22" priority="35" operator="greaterThan">
      <formula>1</formula>
    </cfRule>
  </conditionalFormatting>
  <conditionalFormatting sqref="B56">
    <cfRule type="cellIs" dxfId="21" priority="42" operator="greaterThan">
      <formula>1</formula>
    </cfRule>
  </conditionalFormatting>
  <conditionalFormatting sqref="AN7:AS14">
    <cfRule type="cellIs" dxfId="20" priority="36" operator="lessThan">
      <formula>0</formula>
    </cfRule>
    <cfRule type="cellIs" dxfId="19" priority="37" operator="greaterThan">
      <formula>0</formula>
    </cfRule>
  </conditionalFormatting>
  <conditionalFormatting sqref="AW7:BB14">
    <cfRule type="colorScale" priority="21">
      <colorScale>
        <cfvo type="min"/>
        <cfvo type="max"/>
        <color rgb="FFFCFCFF"/>
        <color rgb="FF63BE7B"/>
      </colorScale>
    </cfRule>
    <cfRule type="colorScale" priority="28">
      <colorScale>
        <cfvo type="min"/>
        <cfvo type="max"/>
        <color rgb="FF33CC33"/>
        <color rgb="FFFFFFFF"/>
      </colorScale>
    </cfRule>
    <cfRule type="colorScale" priority="29">
      <colorScale>
        <cfvo type="min"/>
        <cfvo type="max"/>
        <color theme="6" tint="-0.249977111117893"/>
        <color theme="6" tint="0.79998168889431442"/>
      </colorScale>
    </cfRule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F7:BK14">
    <cfRule type="colorScale" priority="20">
      <colorScale>
        <cfvo type="min"/>
        <cfvo type="max"/>
        <color rgb="FFFCFCFF"/>
        <color rgb="FF63BE7B"/>
      </colorScale>
    </cfRule>
    <cfRule type="colorScale" priority="23">
      <colorScale>
        <cfvo type="min"/>
        <cfvo type="max"/>
        <color rgb="FF33CC33"/>
        <color rgb="FFFFFFFF"/>
      </colorScale>
    </cfRule>
    <cfRule type="colorScale" priority="24">
      <colorScale>
        <cfvo type="min"/>
        <cfvo type="max"/>
        <color theme="6" tint="-0.249977111117893"/>
        <color theme="6" tint="0.79998168889431442"/>
      </colorScale>
    </cfRule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11">
    <cfRule type="cellIs" dxfId="18" priority="19" operator="greaterThan">
      <formula>1</formula>
    </cfRule>
  </conditionalFormatting>
  <conditionalFormatting sqref="F12">
    <cfRule type="cellIs" dxfId="17" priority="18" operator="greaterThan">
      <formula>1</formula>
    </cfRule>
  </conditionalFormatting>
  <conditionalFormatting sqref="AX4">
    <cfRule type="cellIs" dxfId="16" priority="17" operator="greaterThan">
      <formula>1</formula>
    </cfRule>
  </conditionalFormatting>
  <conditionalFormatting sqref="BG4">
    <cfRule type="cellIs" dxfId="15" priority="16" operator="greaterThan">
      <formula>1</formula>
    </cfRule>
  </conditionalFormatting>
  <conditionalFormatting sqref="AH44">
    <cfRule type="containsText" dxfId="14" priority="14" operator="containsText" text="ok">
      <formula>NOT(ISERROR(SEARCH("ok",AH44)))</formula>
    </cfRule>
    <cfRule type="containsText" dxfId="13" priority="15" operator="containsText" text="ko">
      <formula>NOT(ISERROR(SEARCH("ko",AH44)))</formula>
    </cfRule>
  </conditionalFormatting>
  <conditionalFormatting sqref="F73:AG73">
    <cfRule type="cellIs" dxfId="12" priority="13" operator="lessThan">
      <formula>0</formula>
    </cfRule>
  </conditionalFormatting>
  <conditionalFormatting sqref="F76:G77">
    <cfRule type="cellIs" dxfId="11" priority="12" operator="lessThan">
      <formula>0</formula>
    </cfRule>
  </conditionalFormatting>
  <conditionalFormatting sqref="AH76:AH77">
    <cfRule type="cellIs" dxfId="10" priority="11" operator="lessThan">
      <formula>0</formula>
    </cfRule>
  </conditionalFormatting>
  <conditionalFormatting sqref="H76:AG77">
    <cfRule type="cellIs" dxfId="9" priority="10" operator="lessThan">
      <formula>0</formula>
    </cfRule>
  </conditionalFormatting>
  <conditionalFormatting sqref="AO17">
    <cfRule type="cellIs" dxfId="8" priority="7" operator="greaterThan">
      <formula>1</formula>
    </cfRule>
  </conditionalFormatting>
  <conditionalFormatting sqref="AN20:AS27">
    <cfRule type="cellIs" dxfId="7" priority="8" operator="lessThan">
      <formula>0</formula>
    </cfRule>
    <cfRule type="cellIs" dxfId="6" priority="9" operator="greaterThan">
      <formula>0</formula>
    </cfRule>
  </conditionalFormatting>
  <conditionalFormatting sqref="AX17">
    <cfRule type="cellIs" dxfId="5" priority="4" operator="greaterThan">
      <formula>1</formula>
    </cfRule>
  </conditionalFormatting>
  <conditionalFormatting sqref="AW20:BB27">
    <cfRule type="cellIs" dxfId="4" priority="5" operator="lessThan">
      <formula>0</formula>
    </cfRule>
    <cfRule type="cellIs" dxfId="3" priority="6" operator="greaterThan">
      <formula>0</formula>
    </cfRule>
  </conditionalFormatting>
  <conditionalFormatting sqref="AO29">
    <cfRule type="cellIs" dxfId="2" priority="1" operator="greaterThan">
      <formula>1</formula>
    </cfRule>
  </conditionalFormatting>
  <conditionalFormatting sqref="AN32:AS39">
    <cfRule type="cellIs" dxfId="1" priority="2" operator="lessThan">
      <formula>0</formula>
    </cfRule>
    <cfRule type="cellIs" dxfId="0" priority="3" operator="greaterThan">
      <formula>0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Sheet1!$C$2:$C$3</xm:f>
          </x14:formula1>
          <xm:sqref>E11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C3"/>
  <sheetViews>
    <sheetView workbookViewId="0">
      <selection activeCell="E2" sqref="E2"/>
    </sheetView>
  </sheetViews>
  <sheetFormatPr defaultRowHeight="15" x14ac:dyDescent="0.25"/>
  <cols>
    <col min="3" max="3" width="12.42578125" bestFit="1" customWidth="1"/>
  </cols>
  <sheetData>
    <row r="2" spans="3:3" x14ac:dyDescent="0.25">
      <c r="C2" t="s">
        <v>64</v>
      </c>
    </row>
    <row r="3" spans="3:3" x14ac:dyDescent="0.25">
      <c r="C3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Pilote</vt:lpstr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XPSAPatel</dc:creator>
  <cp:lastModifiedBy>Karim Antonopoulos</cp:lastModifiedBy>
  <dcterms:created xsi:type="dcterms:W3CDTF">2016-02-23T07:46:41Z</dcterms:created>
  <dcterms:modified xsi:type="dcterms:W3CDTF">2016-02-28T17:21:08Z</dcterms:modified>
</cp:coreProperties>
</file>