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showSheetTabs="0" xWindow="-15" yWindow="-15" windowWidth="15600" windowHeight="10080"/>
  </bookViews>
  <sheets>
    <sheet name="Table " sheetId="15" r:id="rId1"/>
    <sheet name="Calcul_Impots" sheetId="2" r:id="rId2"/>
    <sheet name="DECEMBRE_-1" sheetId="14" r:id="rId3"/>
    <sheet name="JANVIER" sheetId="1" r:id="rId4"/>
    <sheet name="FEVRIER" sheetId="3" r:id="rId5"/>
    <sheet name="MARS" sheetId="4" r:id="rId6"/>
    <sheet name="AVRIL" sheetId="5" r:id="rId7"/>
    <sheet name="MAI" sheetId="6" r:id="rId8"/>
    <sheet name="JUIN" sheetId="7" r:id="rId9"/>
    <sheet name="JUILLET" sheetId="8" r:id="rId10"/>
    <sheet name="AOUT" sheetId="9" r:id="rId11"/>
    <sheet name="SEPTEMBRE" sheetId="10" r:id="rId12"/>
    <sheet name="OCTOBRE" sheetId="11" r:id="rId13"/>
    <sheet name="NOVEMBRE" sheetId="12" r:id="rId14"/>
    <sheet name="DECEMBRE" sheetId="13" r:id="rId15"/>
  </sheets>
  <definedNames>
    <definedName name="_xlnm._FilterDatabase" localSheetId="0" hidden="1">'Table '!$X$6:$X$24</definedName>
    <definedName name="An_Ref">'Table '!$G$8</definedName>
    <definedName name="année">'Table '!$B$29</definedName>
    <definedName name="_xlnm.Criteria" localSheetId="0">'Table '!$G$8</definedName>
    <definedName name="_xlnm.Extract" localSheetId="0">'Table '!#REF!</definedName>
    <definedName name="Feries">'Table '!$AB$25:$AB$37</definedName>
    <definedName name="Fete">'Table '!$AB$38:$AB$43</definedName>
    <definedName name="Fete_M">'Table '!$Y$6:$Y$24</definedName>
    <definedName name="MardiG">'Table '!$X$6:$X$24</definedName>
    <definedName name="Paque">'Table '!$AA$33</definedName>
    <definedName name="_xlnm.Print_Area" localSheetId="1">Calcul_Impots!$A$1:$AF$42</definedName>
  </definedNames>
  <calcPr calcId="124519"/>
</workbook>
</file>

<file path=xl/calcChain.xml><?xml version="1.0" encoding="utf-8"?>
<calcChain xmlns="http://schemas.openxmlformats.org/spreadsheetml/2006/main">
  <c r="D4" i="2"/>
  <c r="C12"/>
  <c r="AB43" i="15"/>
  <c r="AB40"/>
  <c r="AB39" l="1"/>
  <c r="AB41"/>
  <c r="AB38" l="1"/>
  <c r="Z7"/>
  <c r="AA7"/>
  <c r="AB7"/>
  <c r="AB25"/>
  <c r="AA1" i="2"/>
  <c r="K1"/>
  <c r="Z5" i="13"/>
  <c r="R5"/>
  <c r="J5"/>
  <c r="B5"/>
  <c r="Z5" i="12"/>
  <c r="R5"/>
  <c r="J5"/>
  <c r="B5"/>
  <c r="Z5" i="11"/>
  <c r="R5"/>
  <c r="J5"/>
  <c r="B5"/>
  <c r="Z5" i="10"/>
  <c r="R5"/>
  <c r="J5"/>
  <c r="B5"/>
  <c r="Z5" i="9"/>
  <c r="R5"/>
  <c r="J5"/>
  <c r="B5"/>
  <c r="Z5" i="8"/>
  <c r="R5"/>
  <c r="J5"/>
  <c r="B5"/>
  <c r="Z5" i="7"/>
  <c r="R5"/>
  <c r="J5"/>
  <c r="B5"/>
  <c r="Z5" i="6"/>
  <c r="R5"/>
  <c r="J5"/>
  <c r="B5"/>
  <c r="Z5" i="5"/>
  <c r="R5"/>
  <c r="J5"/>
  <c r="B5"/>
  <c r="Z5" i="4"/>
  <c r="R5"/>
  <c r="J5"/>
  <c r="B5"/>
  <c r="Z5" i="3"/>
  <c r="R5"/>
  <c r="J5"/>
  <c r="B5"/>
  <c r="Z5" i="1"/>
  <c r="R5"/>
  <c r="J5"/>
  <c r="B5"/>
  <c r="Z5" i="14"/>
  <c r="R5"/>
  <c r="J5"/>
  <c r="B5"/>
  <c r="AB4" i="2"/>
  <c r="T4"/>
  <c r="L4"/>
  <c r="AA30"/>
  <c r="S30"/>
  <c r="K30"/>
  <c r="C30"/>
  <c r="AA12"/>
  <c r="S12"/>
  <c r="K12"/>
  <c r="AA33" i="15"/>
  <c r="AB34" s="1"/>
  <c r="AM5" i="1"/>
  <c r="AM6"/>
  <c r="AM7"/>
  <c r="AM8"/>
  <c r="AM9"/>
  <c r="AM10"/>
  <c r="AM11"/>
  <c r="AM12"/>
  <c r="AM13"/>
  <c r="AM16" s="1"/>
  <c r="AB32" i="15"/>
  <c r="AB37" s="1"/>
  <c r="AB31"/>
  <c r="AB30"/>
  <c r="AB29"/>
  <c r="AB28"/>
  <c r="AB27"/>
  <c r="AB26"/>
  <c r="AB42" l="1"/>
  <c r="AB36"/>
  <c r="AB35"/>
  <c r="AM14" i="1"/>
  <c r="AM15"/>
  <c r="AC36" i="15"/>
  <c r="AC35"/>
  <c r="AC34"/>
  <c r="AC33"/>
  <c r="AC32"/>
  <c r="AC31"/>
  <c r="AC30"/>
  <c r="AC29"/>
  <c r="AC28"/>
  <c r="AC27"/>
  <c r="AC26"/>
  <c r="AC25"/>
  <c r="AC24"/>
  <c r="AC23"/>
  <c r="AC22"/>
  <c r="AC21"/>
  <c r="AC20"/>
  <c r="AC19"/>
  <c r="AC18"/>
  <c r="AC17"/>
  <c r="AC16"/>
  <c r="AC15"/>
  <c r="AC14"/>
  <c r="AC13"/>
  <c r="AC12"/>
  <c r="AC11"/>
  <c r="AC10"/>
  <c r="AC9"/>
  <c r="AC8"/>
  <c r="AC7"/>
  <c r="AC6"/>
  <c r="C8" i="1" s="1"/>
  <c r="AN36" i="15"/>
  <c r="AN35"/>
  <c r="AN34"/>
  <c r="AN33"/>
  <c r="AN32"/>
  <c r="AN31"/>
  <c r="AN30"/>
  <c r="AN29"/>
  <c r="AN28"/>
  <c r="AN27"/>
  <c r="AN26"/>
  <c r="AN25"/>
  <c r="AN24"/>
  <c r="AN23"/>
  <c r="AN22"/>
  <c r="AN21"/>
  <c r="AN20"/>
  <c r="AN19"/>
  <c r="AN18"/>
  <c r="AN17"/>
  <c r="AN16"/>
  <c r="AN15"/>
  <c r="AN14"/>
  <c r="AN13"/>
  <c r="AN12"/>
  <c r="AN11"/>
  <c r="AN10"/>
  <c r="AN9"/>
  <c r="AN8"/>
  <c r="AN7"/>
  <c r="AN6"/>
  <c r="C8" i="14" s="1"/>
  <c r="AM35" i="15"/>
  <c r="AM34"/>
  <c r="AM33"/>
  <c r="AM32"/>
  <c r="AM31"/>
  <c r="AM30"/>
  <c r="AM29"/>
  <c r="AM28"/>
  <c r="AM27"/>
  <c r="AM26"/>
  <c r="AM25"/>
  <c r="AM24"/>
  <c r="AM23"/>
  <c r="AM22"/>
  <c r="AM21"/>
  <c r="AM20"/>
  <c r="AM19"/>
  <c r="AM18"/>
  <c r="AM17"/>
  <c r="AM16"/>
  <c r="AM15"/>
  <c r="AM14"/>
  <c r="AM13"/>
  <c r="AM12"/>
  <c r="AM11"/>
  <c r="AM10"/>
  <c r="AM9"/>
  <c r="AM8"/>
  <c r="AM7"/>
  <c r="AM6"/>
  <c r="AL36"/>
  <c r="AL35"/>
  <c r="AL34"/>
  <c r="AL33"/>
  <c r="AL32"/>
  <c r="AL31"/>
  <c r="AL30"/>
  <c r="AL29"/>
  <c r="AL28"/>
  <c r="AL27"/>
  <c r="AL26"/>
  <c r="AL25"/>
  <c r="AL24"/>
  <c r="AL23"/>
  <c r="AL22"/>
  <c r="AL21"/>
  <c r="AL20"/>
  <c r="AL19"/>
  <c r="AL18"/>
  <c r="AL17"/>
  <c r="AL16"/>
  <c r="AL15"/>
  <c r="AL14"/>
  <c r="AL13"/>
  <c r="AL12"/>
  <c r="AL11"/>
  <c r="AL10"/>
  <c r="AL9"/>
  <c r="AL8"/>
  <c r="AL7"/>
  <c r="AL6"/>
  <c r="AK35"/>
  <c r="AK34"/>
  <c r="AK33"/>
  <c r="AK32"/>
  <c r="AK31"/>
  <c r="AK30"/>
  <c r="AK29"/>
  <c r="AK28"/>
  <c r="AK27"/>
  <c r="AK26"/>
  <c r="AK25"/>
  <c r="AK24"/>
  <c r="AK23"/>
  <c r="AK22"/>
  <c r="AK21"/>
  <c r="AK20"/>
  <c r="AK19"/>
  <c r="AK18"/>
  <c r="AK17"/>
  <c r="AK16"/>
  <c r="AK15"/>
  <c r="AK14"/>
  <c r="AK13"/>
  <c r="AK12"/>
  <c r="AK11"/>
  <c r="AK10"/>
  <c r="AK9"/>
  <c r="AK8"/>
  <c r="AK7"/>
  <c r="AK6"/>
  <c r="AJ36"/>
  <c r="AJ35"/>
  <c r="AJ34"/>
  <c r="AJ33"/>
  <c r="AJ32"/>
  <c r="AJ31"/>
  <c r="AJ30"/>
  <c r="AJ29"/>
  <c r="AJ28"/>
  <c r="AJ27"/>
  <c r="AJ26"/>
  <c r="AJ25"/>
  <c r="AJ24"/>
  <c r="AJ23"/>
  <c r="AJ22"/>
  <c r="AJ21"/>
  <c r="AJ20"/>
  <c r="AJ19"/>
  <c r="AJ18"/>
  <c r="AJ17"/>
  <c r="AJ16"/>
  <c r="AJ15"/>
  <c r="AJ14"/>
  <c r="AJ13"/>
  <c r="AJ12"/>
  <c r="AJ11"/>
  <c r="AJ10"/>
  <c r="AJ9"/>
  <c r="AJ8"/>
  <c r="AJ7"/>
  <c r="AJ6"/>
  <c r="AF7"/>
  <c r="AI36"/>
  <c r="AI35"/>
  <c r="AI34"/>
  <c r="AI33"/>
  <c r="AI32"/>
  <c r="AI31"/>
  <c r="AI30"/>
  <c r="AI29"/>
  <c r="AI28"/>
  <c r="AI27"/>
  <c r="AI26"/>
  <c r="AI25"/>
  <c r="AI24"/>
  <c r="AI23"/>
  <c r="AI22"/>
  <c r="AI21"/>
  <c r="AI20"/>
  <c r="AI19"/>
  <c r="AI18"/>
  <c r="AI17"/>
  <c r="AI16"/>
  <c r="AI15"/>
  <c r="AI14"/>
  <c r="AI13"/>
  <c r="AI12"/>
  <c r="AI11"/>
  <c r="AI10"/>
  <c r="AI9"/>
  <c r="AI8"/>
  <c r="AI7"/>
  <c r="AI6"/>
  <c r="AG36"/>
  <c r="AG35"/>
  <c r="AG34"/>
  <c r="AG33"/>
  <c r="AG32"/>
  <c r="AG31"/>
  <c r="AG30"/>
  <c r="AG29"/>
  <c r="AG28"/>
  <c r="AG27"/>
  <c r="AG26"/>
  <c r="AG25"/>
  <c r="AG24"/>
  <c r="AG23"/>
  <c r="AG22"/>
  <c r="AG21"/>
  <c r="AG20"/>
  <c r="AG19"/>
  <c r="AG18"/>
  <c r="AG17"/>
  <c r="AG16"/>
  <c r="AG15"/>
  <c r="AG14"/>
  <c r="AG13"/>
  <c r="AG12"/>
  <c r="AG11"/>
  <c r="AG10"/>
  <c r="AG9"/>
  <c r="AG8"/>
  <c r="AG7"/>
  <c r="AH6"/>
  <c r="AH35"/>
  <c r="AH34"/>
  <c r="AH33"/>
  <c r="AH32"/>
  <c r="AH31"/>
  <c r="AH30"/>
  <c r="AH29"/>
  <c r="AH28"/>
  <c r="AH27"/>
  <c r="AH26"/>
  <c r="AH25"/>
  <c r="AH24"/>
  <c r="AH23"/>
  <c r="AH22"/>
  <c r="AH21"/>
  <c r="AH20"/>
  <c r="AH19"/>
  <c r="AH18"/>
  <c r="AH17"/>
  <c r="AH16"/>
  <c r="AH15"/>
  <c r="AH14"/>
  <c r="AH13"/>
  <c r="AH12"/>
  <c r="AH11"/>
  <c r="AH10"/>
  <c r="AH9"/>
  <c r="AH8"/>
  <c r="AH7"/>
  <c r="AG6"/>
  <c r="AF35"/>
  <c r="AF34"/>
  <c r="AF33"/>
  <c r="AF32"/>
  <c r="AF31"/>
  <c r="AF30"/>
  <c r="AF29"/>
  <c r="AF28"/>
  <c r="AF27"/>
  <c r="AF26"/>
  <c r="AF25"/>
  <c r="AF24"/>
  <c r="AF23"/>
  <c r="AF22"/>
  <c r="AF21"/>
  <c r="AF20"/>
  <c r="AF19"/>
  <c r="AF18"/>
  <c r="AF17"/>
  <c r="AF16"/>
  <c r="AF15"/>
  <c r="AF14"/>
  <c r="AF13"/>
  <c r="AF12"/>
  <c r="AF11"/>
  <c r="AF10"/>
  <c r="AF9"/>
  <c r="AF8"/>
  <c r="AF6"/>
  <c r="AE36"/>
  <c r="AE35"/>
  <c r="AE34"/>
  <c r="AE33"/>
  <c r="AE32"/>
  <c r="AE31"/>
  <c r="AE30"/>
  <c r="AE29"/>
  <c r="AE28"/>
  <c r="AE27"/>
  <c r="AE26"/>
  <c r="AE25"/>
  <c r="AE24"/>
  <c r="AE23"/>
  <c r="AE22"/>
  <c r="AE21"/>
  <c r="AE20"/>
  <c r="AE19"/>
  <c r="AE18"/>
  <c r="AE17"/>
  <c r="AE16"/>
  <c r="AE15"/>
  <c r="AE14"/>
  <c r="AE13"/>
  <c r="AE12"/>
  <c r="AE11"/>
  <c r="AE10"/>
  <c r="AE9"/>
  <c r="AE8"/>
  <c r="AE7"/>
  <c r="AE6"/>
  <c r="AD34"/>
  <c r="AD33"/>
  <c r="AD32"/>
  <c r="AD31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D6"/>
  <c r="AA9" i="14" l="1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AA8"/>
  <c r="S8"/>
  <c r="K8"/>
  <c r="C9"/>
  <c r="Z9" s="1"/>
  <c r="C10"/>
  <c r="B10" s="1"/>
  <c r="C11"/>
  <c r="C12"/>
  <c r="C13"/>
  <c r="Z13" s="1"/>
  <c r="C14"/>
  <c r="C15"/>
  <c r="C16"/>
  <c r="C17"/>
  <c r="Z17" s="1"/>
  <c r="C18"/>
  <c r="Z18" s="1"/>
  <c r="C19"/>
  <c r="C20"/>
  <c r="C21"/>
  <c r="Z21" s="1"/>
  <c r="C22"/>
  <c r="Z22" s="1"/>
  <c r="C23"/>
  <c r="C24"/>
  <c r="C25"/>
  <c r="C26"/>
  <c r="C27"/>
  <c r="C28"/>
  <c r="C29"/>
  <c r="Z29" s="1"/>
  <c r="C30"/>
  <c r="Z30" s="1"/>
  <c r="C31"/>
  <c r="C32"/>
  <c r="C33"/>
  <c r="Z33" s="1"/>
  <c r="C34"/>
  <c r="Z34" s="1"/>
  <c r="C35"/>
  <c r="C36"/>
  <c r="C37"/>
  <c r="C38"/>
  <c r="AA9" i="13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C9"/>
  <c r="B9" s="1"/>
  <c r="C10"/>
  <c r="B10" s="1"/>
  <c r="C11"/>
  <c r="B11" s="1"/>
  <c r="C12"/>
  <c r="B12" s="1"/>
  <c r="C13"/>
  <c r="B13" s="1"/>
  <c r="C14"/>
  <c r="B14" s="1"/>
  <c r="C15"/>
  <c r="B15" s="1"/>
  <c r="C16"/>
  <c r="B16" s="1"/>
  <c r="C17"/>
  <c r="B17" s="1"/>
  <c r="C18"/>
  <c r="B18" s="1"/>
  <c r="C19"/>
  <c r="B19" s="1"/>
  <c r="C20"/>
  <c r="B20" s="1"/>
  <c r="C21"/>
  <c r="B21" s="1"/>
  <c r="C22"/>
  <c r="B22" s="1"/>
  <c r="C23"/>
  <c r="B23" s="1"/>
  <c r="C24"/>
  <c r="B24" s="1"/>
  <c r="C25"/>
  <c r="B25" s="1"/>
  <c r="C26"/>
  <c r="B26" s="1"/>
  <c r="C27"/>
  <c r="B27" s="1"/>
  <c r="C28"/>
  <c r="B28" s="1"/>
  <c r="C29"/>
  <c r="B29" s="1"/>
  <c r="C30"/>
  <c r="B30" s="1"/>
  <c r="C31"/>
  <c r="B31" s="1"/>
  <c r="C32"/>
  <c r="B32" s="1"/>
  <c r="C33"/>
  <c r="B33" s="1"/>
  <c r="C34"/>
  <c r="B34" s="1"/>
  <c r="C35"/>
  <c r="B35" s="1"/>
  <c r="C36"/>
  <c r="B36" s="1"/>
  <c r="C37"/>
  <c r="B37" s="1"/>
  <c r="C38"/>
  <c r="B38" s="1"/>
  <c r="AA9" i="12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C9"/>
  <c r="B9" s="1"/>
  <c r="C10"/>
  <c r="B10" s="1"/>
  <c r="C11"/>
  <c r="B11" s="1"/>
  <c r="C12"/>
  <c r="B12" s="1"/>
  <c r="C13"/>
  <c r="B13" s="1"/>
  <c r="C14"/>
  <c r="B14" s="1"/>
  <c r="C15"/>
  <c r="B15" s="1"/>
  <c r="C16"/>
  <c r="B16" s="1"/>
  <c r="C17"/>
  <c r="B17" s="1"/>
  <c r="C18"/>
  <c r="B18" s="1"/>
  <c r="C19"/>
  <c r="B19" s="1"/>
  <c r="C20"/>
  <c r="B20" s="1"/>
  <c r="C21"/>
  <c r="B21" s="1"/>
  <c r="C22"/>
  <c r="B22" s="1"/>
  <c r="C23"/>
  <c r="B23" s="1"/>
  <c r="C24"/>
  <c r="B24" s="1"/>
  <c r="C25"/>
  <c r="B25" s="1"/>
  <c r="C26"/>
  <c r="B26" s="1"/>
  <c r="C27"/>
  <c r="B27" s="1"/>
  <c r="C28"/>
  <c r="B28" s="1"/>
  <c r="C29"/>
  <c r="B29" s="1"/>
  <c r="C30"/>
  <c r="B30" s="1"/>
  <c r="C31"/>
  <c r="B31" s="1"/>
  <c r="C32"/>
  <c r="B32" s="1"/>
  <c r="C33"/>
  <c r="B33" s="1"/>
  <c r="C34"/>
  <c r="B34" s="1"/>
  <c r="C35"/>
  <c r="B35" s="1"/>
  <c r="C36"/>
  <c r="B36" s="1"/>
  <c r="C37"/>
  <c r="B37" s="1"/>
  <c r="AA9" i="11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C9"/>
  <c r="B9" s="1"/>
  <c r="C10"/>
  <c r="B10" s="1"/>
  <c r="C11"/>
  <c r="B11" s="1"/>
  <c r="C12"/>
  <c r="B12" s="1"/>
  <c r="C13"/>
  <c r="B13" s="1"/>
  <c r="C14"/>
  <c r="B14" s="1"/>
  <c r="C15"/>
  <c r="B15" s="1"/>
  <c r="C16"/>
  <c r="B16" s="1"/>
  <c r="C17"/>
  <c r="B17" s="1"/>
  <c r="C18"/>
  <c r="B18" s="1"/>
  <c r="C19"/>
  <c r="B19" s="1"/>
  <c r="C20"/>
  <c r="B20" s="1"/>
  <c r="C21"/>
  <c r="B21" s="1"/>
  <c r="C22"/>
  <c r="B22" s="1"/>
  <c r="C23"/>
  <c r="B23" s="1"/>
  <c r="C24"/>
  <c r="B24" s="1"/>
  <c r="C25"/>
  <c r="B25" s="1"/>
  <c r="C26"/>
  <c r="B26" s="1"/>
  <c r="C27"/>
  <c r="B27" s="1"/>
  <c r="C28"/>
  <c r="B28" s="1"/>
  <c r="C29"/>
  <c r="B29" s="1"/>
  <c r="C30"/>
  <c r="B30" s="1"/>
  <c r="C31"/>
  <c r="B31" s="1"/>
  <c r="C32"/>
  <c r="B32" s="1"/>
  <c r="C33"/>
  <c r="B33" s="1"/>
  <c r="C34"/>
  <c r="B34" s="1"/>
  <c r="C35"/>
  <c r="B35" s="1"/>
  <c r="C36"/>
  <c r="B36" s="1"/>
  <c r="C37"/>
  <c r="B37" s="1"/>
  <c r="C38"/>
  <c r="B38" s="1"/>
  <c r="AA9" i="10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C9"/>
  <c r="B9" s="1"/>
  <c r="C10"/>
  <c r="B10" s="1"/>
  <c r="C11"/>
  <c r="B11" s="1"/>
  <c r="C12"/>
  <c r="B12" s="1"/>
  <c r="C13"/>
  <c r="B13" s="1"/>
  <c r="C14"/>
  <c r="B14" s="1"/>
  <c r="C15"/>
  <c r="B15" s="1"/>
  <c r="C16"/>
  <c r="B16" s="1"/>
  <c r="C17"/>
  <c r="B17" s="1"/>
  <c r="C18"/>
  <c r="B18" s="1"/>
  <c r="C19"/>
  <c r="B19" s="1"/>
  <c r="C20"/>
  <c r="B20" s="1"/>
  <c r="C21"/>
  <c r="B21" s="1"/>
  <c r="C22"/>
  <c r="B22" s="1"/>
  <c r="C23"/>
  <c r="B23" s="1"/>
  <c r="C24"/>
  <c r="B24" s="1"/>
  <c r="C25"/>
  <c r="B25" s="1"/>
  <c r="C26"/>
  <c r="B26" s="1"/>
  <c r="C27"/>
  <c r="B27" s="1"/>
  <c r="C28"/>
  <c r="B28" s="1"/>
  <c r="C29"/>
  <c r="B29" s="1"/>
  <c r="C30"/>
  <c r="B30" s="1"/>
  <c r="C31"/>
  <c r="B31" s="1"/>
  <c r="C32"/>
  <c r="B32" s="1"/>
  <c r="C33"/>
  <c r="B33" s="1"/>
  <c r="C34"/>
  <c r="B34" s="1"/>
  <c r="C35"/>
  <c r="B35" s="1"/>
  <c r="C36"/>
  <c r="B36" s="1"/>
  <c r="C37"/>
  <c r="B37" s="1"/>
  <c r="AA8" i="13"/>
  <c r="S8"/>
  <c r="K8"/>
  <c r="C8"/>
  <c r="Z8" s="1"/>
  <c r="AA8" i="12"/>
  <c r="S8"/>
  <c r="K8"/>
  <c r="C8"/>
  <c r="Z8" s="1"/>
  <c r="AA8" i="11"/>
  <c r="S8"/>
  <c r="K8"/>
  <c r="C8"/>
  <c r="R8" s="1"/>
  <c r="AA8" i="10"/>
  <c r="S8"/>
  <c r="K8"/>
  <c r="C8"/>
  <c r="J8" s="1"/>
  <c r="C8" i="9"/>
  <c r="Z8" s="1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C9"/>
  <c r="B9" s="1"/>
  <c r="C10"/>
  <c r="C11"/>
  <c r="B11" s="1"/>
  <c r="C12"/>
  <c r="B12" s="1"/>
  <c r="C13"/>
  <c r="B13" s="1"/>
  <c r="C14"/>
  <c r="C15"/>
  <c r="B15" s="1"/>
  <c r="C16"/>
  <c r="B16" s="1"/>
  <c r="C17"/>
  <c r="B17" s="1"/>
  <c r="C18"/>
  <c r="C19"/>
  <c r="B19" s="1"/>
  <c r="C20"/>
  <c r="B20" s="1"/>
  <c r="C21"/>
  <c r="B21" s="1"/>
  <c r="C22"/>
  <c r="C23"/>
  <c r="B23" s="1"/>
  <c r="C24"/>
  <c r="B24" s="1"/>
  <c r="C25"/>
  <c r="B25" s="1"/>
  <c r="C26"/>
  <c r="C27"/>
  <c r="B27" s="1"/>
  <c r="C28"/>
  <c r="B28" s="1"/>
  <c r="C29"/>
  <c r="B29" s="1"/>
  <c r="C30"/>
  <c r="C31"/>
  <c r="B31" s="1"/>
  <c r="C32"/>
  <c r="B32" s="1"/>
  <c r="C33"/>
  <c r="B33" s="1"/>
  <c r="C34"/>
  <c r="C35"/>
  <c r="B35" s="1"/>
  <c r="C36"/>
  <c r="B36" s="1"/>
  <c r="C37"/>
  <c r="B37" s="1"/>
  <c r="C38"/>
  <c r="AA8"/>
  <c r="S8"/>
  <c r="K8"/>
  <c r="C9" i="8"/>
  <c r="B9" s="1"/>
  <c r="C10"/>
  <c r="AA10" s="1"/>
  <c r="C11"/>
  <c r="B11" s="1"/>
  <c r="C12"/>
  <c r="K12" s="1"/>
  <c r="C13"/>
  <c r="B13" s="1"/>
  <c r="C14"/>
  <c r="AA14" s="1"/>
  <c r="C15"/>
  <c r="B15" s="1"/>
  <c r="C16"/>
  <c r="K16" s="1"/>
  <c r="C17"/>
  <c r="B17" s="1"/>
  <c r="C18"/>
  <c r="AA18" s="1"/>
  <c r="C19"/>
  <c r="B19" s="1"/>
  <c r="C20"/>
  <c r="AA20" s="1"/>
  <c r="C21"/>
  <c r="B21" s="1"/>
  <c r="C22"/>
  <c r="AA22" s="1"/>
  <c r="C23"/>
  <c r="B23" s="1"/>
  <c r="C24"/>
  <c r="K24" s="1"/>
  <c r="C25"/>
  <c r="B25" s="1"/>
  <c r="C26"/>
  <c r="AA26" s="1"/>
  <c r="C27"/>
  <c r="B27" s="1"/>
  <c r="C28"/>
  <c r="K28" s="1"/>
  <c r="C29"/>
  <c r="B29" s="1"/>
  <c r="C30"/>
  <c r="AA30" s="1"/>
  <c r="C31"/>
  <c r="B31" s="1"/>
  <c r="C32"/>
  <c r="K32" s="1"/>
  <c r="C33"/>
  <c r="B33" s="1"/>
  <c r="C34"/>
  <c r="AA34" s="1"/>
  <c r="C35"/>
  <c r="B35" s="1"/>
  <c r="C36"/>
  <c r="AA36" s="1"/>
  <c r="C37"/>
  <c r="B37" s="1"/>
  <c r="C38"/>
  <c r="AA38" s="1"/>
  <c r="C8"/>
  <c r="S8" s="1"/>
  <c r="C8" i="7"/>
  <c r="J8" s="1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C9"/>
  <c r="B9" s="1"/>
  <c r="C10"/>
  <c r="C11"/>
  <c r="B11" s="1"/>
  <c r="C12"/>
  <c r="C13"/>
  <c r="B13" s="1"/>
  <c r="C14"/>
  <c r="C15"/>
  <c r="B15" s="1"/>
  <c r="C16"/>
  <c r="C17"/>
  <c r="B17" s="1"/>
  <c r="C18"/>
  <c r="C19"/>
  <c r="B19" s="1"/>
  <c r="C20"/>
  <c r="C21"/>
  <c r="B21" s="1"/>
  <c r="C22"/>
  <c r="C23"/>
  <c r="B23" s="1"/>
  <c r="C24"/>
  <c r="C25"/>
  <c r="B25" s="1"/>
  <c r="C26"/>
  <c r="C27"/>
  <c r="B27" s="1"/>
  <c r="C28"/>
  <c r="C29"/>
  <c r="B29" s="1"/>
  <c r="C30"/>
  <c r="C31"/>
  <c r="B31" s="1"/>
  <c r="C32"/>
  <c r="C33"/>
  <c r="B33" s="1"/>
  <c r="C34"/>
  <c r="C35"/>
  <c r="B35" s="1"/>
  <c r="C36"/>
  <c r="C37"/>
  <c r="B37" s="1"/>
  <c r="AA8"/>
  <c r="S8"/>
  <c r="K8"/>
  <c r="K8" i="6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AA8"/>
  <c r="S8"/>
  <c r="C8"/>
  <c r="Z8" s="1"/>
  <c r="C9"/>
  <c r="Z9" s="1"/>
  <c r="C10"/>
  <c r="Z10" s="1"/>
  <c r="C11"/>
  <c r="Z11" s="1"/>
  <c r="C12"/>
  <c r="J12" s="1"/>
  <c r="C13"/>
  <c r="Z13" s="1"/>
  <c r="C14"/>
  <c r="J14" s="1"/>
  <c r="C15"/>
  <c r="Z15" s="1"/>
  <c r="C16"/>
  <c r="J16" s="1"/>
  <c r="C17"/>
  <c r="Z17" s="1"/>
  <c r="C18"/>
  <c r="J18" s="1"/>
  <c r="C19"/>
  <c r="Z19" s="1"/>
  <c r="C20"/>
  <c r="J20" s="1"/>
  <c r="C21"/>
  <c r="Z21" s="1"/>
  <c r="C22"/>
  <c r="J22" s="1"/>
  <c r="C23"/>
  <c r="Z23" s="1"/>
  <c r="C24"/>
  <c r="J24" s="1"/>
  <c r="C25"/>
  <c r="Z25" s="1"/>
  <c r="C26"/>
  <c r="J26" s="1"/>
  <c r="C27"/>
  <c r="Z27" s="1"/>
  <c r="C28"/>
  <c r="J28" s="1"/>
  <c r="C29"/>
  <c r="Z29" s="1"/>
  <c r="C30"/>
  <c r="J30" s="1"/>
  <c r="C31"/>
  <c r="Z31" s="1"/>
  <c r="C32"/>
  <c r="J32" s="1"/>
  <c r="C33"/>
  <c r="Z33" s="1"/>
  <c r="C34"/>
  <c r="J34" s="1"/>
  <c r="C35"/>
  <c r="Z35" s="1"/>
  <c r="C36"/>
  <c r="J36" s="1"/>
  <c r="C37"/>
  <c r="Z37" s="1"/>
  <c r="C38"/>
  <c r="J38" s="1"/>
  <c r="C8" i="5"/>
  <c r="R8" s="1"/>
  <c r="K8" i="1"/>
  <c r="J8" s="1"/>
  <c r="Z8" i="14"/>
  <c r="R8"/>
  <c r="J8"/>
  <c r="Z14"/>
  <c r="Z15"/>
  <c r="Z23"/>
  <c r="Z26"/>
  <c r="Z27"/>
  <c r="Z31"/>
  <c r="Z35"/>
  <c r="Z36"/>
  <c r="Z37"/>
  <c r="B8"/>
  <c r="Z11"/>
  <c r="Z12"/>
  <c r="Z16"/>
  <c r="Z19"/>
  <c r="Z20"/>
  <c r="Z24"/>
  <c r="Z25"/>
  <c r="Z28"/>
  <c r="Z32"/>
  <c r="Z38"/>
  <c r="K8" i="4"/>
  <c r="G37" i="5"/>
  <c r="H37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2"/>
  <c r="AA11"/>
  <c r="AA10"/>
  <c r="AA9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C9"/>
  <c r="J9" s="1"/>
  <c r="C10"/>
  <c r="R10" s="1"/>
  <c r="C11"/>
  <c r="Z11" s="1"/>
  <c r="C12"/>
  <c r="B12" s="1"/>
  <c r="C13"/>
  <c r="J13" s="1"/>
  <c r="C14"/>
  <c r="R14" s="1"/>
  <c r="C15"/>
  <c r="Z15" s="1"/>
  <c r="C16"/>
  <c r="B16" s="1"/>
  <c r="C17"/>
  <c r="J17" s="1"/>
  <c r="C18"/>
  <c r="R18" s="1"/>
  <c r="C19"/>
  <c r="Z19" s="1"/>
  <c r="C20"/>
  <c r="B20" s="1"/>
  <c r="C21"/>
  <c r="J21" s="1"/>
  <c r="C22"/>
  <c r="R22" s="1"/>
  <c r="C23"/>
  <c r="Z23" s="1"/>
  <c r="C24"/>
  <c r="B24" s="1"/>
  <c r="C25"/>
  <c r="J25" s="1"/>
  <c r="C26"/>
  <c r="R26" s="1"/>
  <c r="C27"/>
  <c r="Z27" s="1"/>
  <c r="C28"/>
  <c r="B28" s="1"/>
  <c r="C29"/>
  <c r="J29" s="1"/>
  <c r="C30"/>
  <c r="R30" s="1"/>
  <c r="C31"/>
  <c r="Z31" s="1"/>
  <c r="C32"/>
  <c r="B32" s="1"/>
  <c r="C33"/>
  <c r="J33" s="1"/>
  <c r="C34"/>
  <c r="R34" s="1"/>
  <c r="C35"/>
  <c r="Z35" s="1"/>
  <c r="C36"/>
  <c r="B36" s="1"/>
  <c r="C37"/>
  <c r="J37" s="1"/>
  <c r="AA8"/>
  <c r="S8"/>
  <c r="K8"/>
  <c r="AA9" i="4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C9"/>
  <c r="Z9" s="1"/>
  <c r="C10"/>
  <c r="R10" s="1"/>
  <c r="C11"/>
  <c r="R11" s="1"/>
  <c r="C12"/>
  <c r="Z12" s="1"/>
  <c r="C13"/>
  <c r="Z13" s="1"/>
  <c r="C14"/>
  <c r="R14" s="1"/>
  <c r="C15"/>
  <c r="R15" s="1"/>
  <c r="C16"/>
  <c r="Z16" s="1"/>
  <c r="C17"/>
  <c r="Z17" s="1"/>
  <c r="C18"/>
  <c r="R18" s="1"/>
  <c r="C19"/>
  <c r="R19" s="1"/>
  <c r="C20"/>
  <c r="Z20" s="1"/>
  <c r="C21"/>
  <c r="Z21" s="1"/>
  <c r="C22"/>
  <c r="R22" s="1"/>
  <c r="C23"/>
  <c r="R23" s="1"/>
  <c r="C24"/>
  <c r="Z24" s="1"/>
  <c r="C25"/>
  <c r="Z25" s="1"/>
  <c r="C26"/>
  <c r="R26" s="1"/>
  <c r="C27"/>
  <c r="R27" s="1"/>
  <c r="C28"/>
  <c r="Z28" s="1"/>
  <c r="C29"/>
  <c r="Z29" s="1"/>
  <c r="C30"/>
  <c r="R30" s="1"/>
  <c r="C31"/>
  <c r="R31" s="1"/>
  <c r="C32"/>
  <c r="Z32" s="1"/>
  <c r="C33"/>
  <c r="Z33" s="1"/>
  <c r="C34"/>
  <c r="R34" s="1"/>
  <c r="C35"/>
  <c r="R35" s="1"/>
  <c r="C36"/>
  <c r="Z36" s="1"/>
  <c r="C37"/>
  <c r="Z37" s="1"/>
  <c r="C38"/>
  <c r="R38" s="1"/>
  <c r="AA8"/>
  <c r="S8"/>
  <c r="C8"/>
  <c r="Z8" s="1"/>
  <c r="C8" i="3"/>
  <c r="Z8" s="1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AA8"/>
  <c r="S8"/>
  <c r="K8"/>
  <c r="AD36"/>
  <c r="AE36" s="1"/>
  <c r="AD35"/>
  <c r="AE35" s="1"/>
  <c r="AD34"/>
  <c r="AE34" s="1"/>
  <c r="AD33"/>
  <c r="AE33" s="1"/>
  <c r="AD32"/>
  <c r="AE32" s="1"/>
  <c r="AD31"/>
  <c r="AE31" s="1"/>
  <c r="AD30"/>
  <c r="AE30" s="1"/>
  <c r="AD29"/>
  <c r="AE29" s="1"/>
  <c r="AD28"/>
  <c r="AE28" s="1"/>
  <c r="AD27"/>
  <c r="AE27" s="1"/>
  <c r="AD26"/>
  <c r="AE26" s="1"/>
  <c r="AD25"/>
  <c r="AE25" s="1"/>
  <c r="AD24"/>
  <c r="AE24" s="1"/>
  <c r="AD23"/>
  <c r="AE23" s="1"/>
  <c r="AD22"/>
  <c r="AE22" s="1"/>
  <c r="AD21"/>
  <c r="AE21" s="1"/>
  <c r="AD20"/>
  <c r="AE20" s="1"/>
  <c r="AD19"/>
  <c r="AE19" s="1"/>
  <c r="AD18"/>
  <c r="AE18" s="1"/>
  <c r="AD17"/>
  <c r="AE17" s="1"/>
  <c r="AD16"/>
  <c r="AE16" s="1"/>
  <c r="AD15"/>
  <c r="AE15" s="1"/>
  <c r="AD14"/>
  <c r="AE14" s="1"/>
  <c r="AD13"/>
  <c r="AE13" s="1"/>
  <c r="AD12"/>
  <c r="AE12" s="1"/>
  <c r="AD11"/>
  <c r="AE11" s="1"/>
  <c r="AD10"/>
  <c r="AE10" s="1"/>
  <c r="AD9"/>
  <c r="AE9" s="1"/>
  <c r="AD8"/>
  <c r="AE8" s="1"/>
  <c r="V36"/>
  <c r="W36" s="1"/>
  <c r="V35"/>
  <c r="W35" s="1"/>
  <c r="V34"/>
  <c r="W34" s="1"/>
  <c r="V33"/>
  <c r="W33" s="1"/>
  <c r="V32"/>
  <c r="W32" s="1"/>
  <c r="V31"/>
  <c r="W31" s="1"/>
  <c r="V30"/>
  <c r="W30" s="1"/>
  <c r="V29"/>
  <c r="W29" s="1"/>
  <c r="V28"/>
  <c r="W28" s="1"/>
  <c r="V27"/>
  <c r="W27" s="1"/>
  <c r="W26"/>
  <c r="V26"/>
  <c r="X26" s="1"/>
  <c r="W25"/>
  <c r="V25"/>
  <c r="X25" s="1"/>
  <c r="W24"/>
  <c r="V24"/>
  <c r="X24" s="1"/>
  <c r="W23"/>
  <c r="V23"/>
  <c r="X23" s="1"/>
  <c r="W22"/>
  <c r="V22"/>
  <c r="X22" s="1"/>
  <c r="W21"/>
  <c r="V21"/>
  <c r="X21" s="1"/>
  <c r="W20"/>
  <c r="V20"/>
  <c r="X20" s="1"/>
  <c r="V19"/>
  <c r="W19" s="1"/>
  <c r="V18"/>
  <c r="W18" s="1"/>
  <c r="V17"/>
  <c r="W17" s="1"/>
  <c r="V16"/>
  <c r="W16" s="1"/>
  <c r="V15"/>
  <c r="W15" s="1"/>
  <c r="V14"/>
  <c r="W14" s="1"/>
  <c r="V13"/>
  <c r="W13" s="1"/>
  <c r="V12"/>
  <c r="W12" s="1"/>
  <c r="V11"/>
  <c r="W11" s="1"/>
  <c r="V10"/>
  <c r="W10" s="1"/>
  <c r="V9"/>
  <c r="W9" s="1"/>
  <c r="V8"/>
  <c r="W8" s="1"/>
  <c r="N36"/>
  <c r="O36" s="1"/>
  <c r="P35"/>
  <c r="O35"/>
  <c r="N35"/>
  <c r="P34"/>
  <c r="O34"/>
  <c r="N34"/>
  <c r="P33"/>
  <c r="O33"/>
  <c r="N33"/>
  <c r="P32"/>
  <c r="O32"/>
  <c r="N32"/>
  <c r="P31"/>
  <c r="O31"/>
  <c r="N31"/>
  <c r="P30"/>
  <c r="O30"/>
  <c r="N30"/>
  <c r="P29"/>
  <c r="O29"/>
  <c r="N29"/>
  <c r="P28"/>
  <c r="O28"/>
  <c r="N28"/>
  <c r="P27"/>
  <c r="O27"/>
  <c r="N27"/>
  <c r="P26"/>
  <c r="O26"/>
  <c r="N26"/>
  <c r="P25"/>
  <c r="O25"/>
  <c r="N25"/>
  <c r="P24"/>
  <c r="O24"/>
  <c r="N24"/>
  <c r="P23"/>
  <c r="O23"/>
  <c r="N23"/>
  <c r="P22"/>
  <c r="O22"/>
  <c r="N22"/>
  <c r="P21"/>
  <c r="O21"/>
  <c r="N21"/>
  <c r="P20"/>
  <c r="O20"/>
  <c r="N20"/>
  <c r="P19"/>
  <c r="O19"/>
  <c r="N19"/>
  <c r="P18"/>
  <c r="O18"/>
  <c r="N18"/>
  <c r="P17"/>
  <c r="O17"/>
  <c r="N17"/>
  <c r="P16"/>
  <c r="O16"/>
  <c r="N16"/>
  <c r="P15"/>
  <c r="O15"/>
  <c r="N15"/>
  <c r="P14"/>
  <c r="O14"/>
  <c r="N14"/>
  <c r="P13"/>
  <c r="O13"/>
  <c r="N13"/>
  <c r="P12"/>
  <c r="O12"/>
  <c r="N12"/>
  <c r="P11"/>
  <c r="O11"/>
  <c r="N11"/>
  <c r="P10"/>
  <c r="O10"/>
  <c r="N10"/>
  <c r="P9"/>
  <c r="O9"/>
  <c r="N9"/>
  <c r="P8"/>
  <c r="O8"/>
  <c r="N8"/>
  <c r="C9"/>
  <c r="Z9" s="1"/>
  <c r="C10"/>
  <c r="R10" s="1"/>
  <c r="C11"/>
  <c r="J11" s="1"/>
  <c r="C12"/>
  <c r="B12" s="1"/>
  <c r="C13"/>
  <c r="Z13" s="1"/>
  <c r="C14"/>
  <c r="R14" s="1"/>
  <c r="C15"/>
  <c r="J15" s="1"/>
  <c r="C16"/>
  <c r="B16" s="1"/>
  <c r="C17"/>
  <c r="Z17" s="1"/>
  <c r="C18"/>
  <c r="R18" s="1"/>
  <c r="C19"/>
  <c r="J19" s="1"/>
  <c r="C20"/>
  <c r="B20" s="1"/>
  <c r="C21"/>
  <c r="Z21" s="1"/>
  <c r="C22"/>
  <c r="R22" s="1"/>
  <c r="C23"/>
  <c r="J23" s="1"/>
  <c r="C24"/>
  <c r="B24" s="1"/>
  <c r="C25"/>
  <c r="Z25" s="1"/>
  <c r="C26"/>
  <c r="R26" s="1"/>
  <c r="C27"/>
  <c r="J27" s="1"/>
  <c r="C28"/>
  <c r="B28" s="1"/>
  <c r="C29"/>
  <c r="Z29" s="1"/>
  <c r="C30"/>
  <c r="R30" s="1"/>
  <c r="C31"/>
  <c r="J31" s="1"/>
  <c r="C32"/>
  <c r="B32" s="1"/>
  <c r="C33"/>
  <c r="Z33" s="1"/>
  <c r="C34"/>
  <c r="R34" s="1"/>
  <c r="C35"/>
  <c r="J35" s="1"/>
  <c r="C36"/>
  <c r="Z36" s="1"/>
  <c r="R8" i="9" l="1"/>
  <c r="B8" i="7"/>
  <c r="R8" i="13"/>
  <c r="S13" i="8"/>
  <c r="K11"/>
  <c r="J8" i="11"/>
  <c r="B19" i="6"/>
  <c r="B27"/>
  <c r="K13" i="8"/>
  <c r="S17"/>
  <c r="AA9"/>
  <c r="K21"/>
  <c r="S25"/>
  <c r="AA17"/>
  <c r="B11" i="6"/>
  <c r="K9" i="8"/>
  <c r="S9"/>
  <c r="R8" i="12"/>
  <c r="B32" i="6"/>
  <c r="B24"/>
  <c r="B16"/>
  <c r="J8"/>
  <c r="J11"/>
  <c r="R15"/>
  <c r="R35" i="7"/>
  <c r="R19"/>
  <c r="K36" i="8"/>
  <c r="K31"/>
  <c r="K25"/>
  <c r="K20"/>
  <c r="K15"/>
  <c r="S31"/>
  <c r="S23"/>
  <c r="S15"/>
  <c r="AA37"/>
  <c r="AA32"/>
  <c r="AA27"/>
  <c r="AA21"/>
  <c r="AA16"/>
  <c r="AA11"/>
  <c r="J35" i="9"/>
  <c r="J19"/>
  <c r="R15"/>
  <c r="Z19"/>
  <c r="J33" i="10"/>
  <c r="J17"/>
  <c r="R34"/>
  <c r="R26"/>
  <c r="R18"/>
  <c r="R10"/>
  <c r="Z33"/>
  <c r="Z17"/>
  <c r="J34" i="11"/>
  <c r="J26"/>
  <c r="J18"/>
  <c r="J10"/>
  <c r="R32"/>
  <c r="R24"/>
  <c r="R16"/>
  <c r="Z38"/>
  <c r="Z30"/>
  <c r="Z22"/>
  <c r="Z14"/>
  <c r="B35" i="6"/>
  <c r="J19"/>
  <c r="R8"/>
  <c r="R23" i="7"/>
  <c r="K37" i="8"/>
  <c r="K27"/>
  <c r="S33"/>
  <c r="AA33"/>
  <c r="AA28"/>
  <c r="AA23"/>
  <c r="AA12"/>
  <c r="J23" i="9"/>
  <c r="R19"/>
  <c r="J37" i="10"/>
  <c r="J21"/>
  <c r="R32"/>
  <c r="R24"/>
  <c r="R16"/>
  <c r="Z37"/>
  <c r="Z21"/>
  <c r="J32" i="11"/>
  <c r="J24"/>
  <c r="J16"/>
  <c r="R38"/>
  <c r="R30"/>
  <c r="R22"/>
  <c r="R14"/>
  <c r="Z36"/>
  <c r="Z28"/>
  <c r="Z20"/>
  <c r="Z12"/>
  <c r="B8" i="6"/>
  <c r="B28"/>
  <c r="B20"/>
  <c r="B12"/>
  <c r="J27"/>
  <c r="R27" i="7"/>
  <c r="R11"/>
  <c r="K33" i="8"/>
  <c r="K23"/>
  <c r="K17"/>
  <c r="S35"/>
  <c r="S27"/>
  <c r="S19"/>
  <c r="S11"/>
  <c r="AA35"/>
  <c r="AA29"/>
  <c r="AA24"/>
  <c r="AA19"/>
  <c r="AA13"/>
  <c r="J27" i="9"/>
  <c r="J11"/>
  <c r="R23"/>
  <c r="Z11"/>
  <c r="J25" i="10"/>
  <c r="J9"/>
  <c r="R30"/>
  <c r="R22"/>
  <c r="R14"/>
  <c r="Z25"/>
  <c r="Z9"/>
  <c r="J38" i="11"/>
  <c r="J30"/>
  <c r="J22"/>
  <c r="J14"/>
  <c r="R36"/>
  <c r="R28"/>
  <c r="R20"/>
  <c r="R12"/>
  <c r="Z34"/>
  <c r="Z26"/>
  <c r="Z18"/>
  <c r="Z10"/>
  <c r="B31" i="6"/>
  <c r="B23"/>
  <c r="B15"/>
  <c r="J35"/>
  <c r="R11"/>
  <c r="R31" i="7"/>
  <c r="R15"/>
  <c r="K35" i="8"/>
  <c r="K29"/>
  <c r="K19"/>
  <c r="S37"/>
  <c r="S29"/>
  <c r="S21"/>
  <c r="AA31"/>
  <c r="AA25"/>
  <c r="AA15"/>
  <c r="J31" i="9"/>
  <c r="J15"/>
  <c r="R27"/>
  <c r="R11"/>
  <c r="Z15"/>
  <c r="J29" i="10"/>
  <c r="J13"/>
  <c r="R36"/>
  <c r="R28"/>
  <c r="R20"/>
  <c r="R12"/>
  <c r="Z29"/>
  <c r="Z13"/>
  <c r="J36" i="11"/>
  <c r="J28"/>
  <c r="J20"/>
  <c r="J12"/>
  <c r="R34"/>
  <c r="R26"/>
  <c r="R18"/>
  <c r="R10"/>
  <c r="Z32"/>
  <c r="Z24"/>
  <c r="Z16"/>
  <c r="B34" i="7"/>
  <c r="Z34"/>
  <c r="J34"/>
  <c r="R34"/>
  <c r="B30"/>
  <c r="Z30"/>
  <c r="J30"/>
  <c r="R30"/>
  <c r="B26"/>
  <c r="Z26"/>
  <c r="J26"/>
  <c r="R26"/>
  <c r="B22"/>
  <c r="Z22"/>
  <c r="J22"/>
  <c r="R22"/>
  <c r="B18"/>
  <c r="Z18"/>
  <c r="J18"/>
  <c r="R18"/>
  <c r="B14"/>
  <c r="Z14"/>
  <c r="J14"/>
  <c r="R14"/>
  <c r="B10"/>
  <c r="Z10"/>
  <c r="J10"/>
  <c r="R10"/>
  <c r="B36" i="8"/>
  <c r="Z36"/>
  <c r="R36"/>
  <c r="J36"/>
  <c r="B32"/>
  <c r="Z32"/>
  <c r="R32"/>
  <c r="J32"/>
  <c r="B28"/>
  <c r="Z28"/>
  <c r="R28"/>
  <c r="J28"/>
  <c r="B24"/>
  <c r="Z24"/>
  <c r="R24"/>
  <c r="J24"/>
  <c r="B20"/>
  <c r="Z20"/>
  <c r="R20"/>
  <c r="J20"/>
  <c r="B16"/>
  <c r="Z16"/>
  <c r="R16"/>
  <c r="J16"/>
  <c r="B12"/>
  <c r="Z12"/>
  <c r="R12"/>
  <c r="J12"/>
  <c r="R8" i="3"/>
  <c r="B33"/>
  <c r="B29"/>
  <c r="B25"/>
  <c r="B21"/>
  <c r="B17"/>
  <c r="B13"/>
  <c r="B9"/>
  <c r="J32"/>
  <c r="J28"/>
  <c r="J24"/>
  <c r="J20"/>
  <c r="J16"/>
  <c r="J12"/>
  <c r="R35"/>
  <c r="R31"/>
  <c r="R27"/>
  <c r="R23"/>
  <c r="R19"/>
  <c r="R15"/>
  <c r="R11"/>
  <c r="Z34"/>
  <c r="Z30"/>
  <c r="Z26"/>
  <c r="Z22"/>
  <c r="Z18"/>
  <c r="Z14"/>
  <c r="Z10"/>
  <c r="R8" i="4"/>
  <c r="B36"/>
  <c r="B32"/>
  <c r="B28"/>
  <c r="B24"/>
  <c r="B20"/>
  <c r="B16"/>
  <c r="B12"/>
  <c r="J38"/>
  <c r="J34"/>
  <c r="J30"/>
  <c r="J26"/>
  <c r="J22"/>
  <c r="J18"/>
  <c r="J14"/>
  <c r="J10"/>
  <c r="R36"/>
  <c r="R32"/>
  <c r="R28"/>
  <c r="R24"/>
  <c r="R20"/>
  <c r="R16"/>
  <c r="R12"/>
  <c r="Z38"/>
  <c r="Z34"/>
  <c r="Z30"/>
  <c r="Z26"/>
  <c r="Z22"/>
  <c r="Z18"/>
  <c r="Z14"/>
  <c r="Z10"/>
  <c r="B37" i="5"/>
  <c r="B33"/>
  <c r="B29"/>
  <c r="B25"/>
  <c r="B21"/>
  <c r="B17"/>
  <c r="B13"/>
  <c r="B9"/>
  <c r="J34"/>
  <c r="J30"/>
  <c r="J26"/>
  <c r="J22"/>
  <c r="J18"/>
  <c r="J14"/>
  <c r="J10"/>
  <c r="R35"/>
  <c r="R31"/>
  <c r="R27"/>
  <c r="R23"/>
  <c r="R19"/>
  <c r="R15"/>
  <c r="R11"/>
  <c r="Z36"/>
  <c r="Z32"/>
  <c r="Z28"/>
  <c r="Z24"/>
  <c r="Z20"/>
  <c r="Z16"/>
  <c r="Z12"/>
  <c r="B37" i="6"/>
  <c r="B33"/>
  <c r="B29"/>
  <c r="B25"/>
  <c r="B21"/>
  <c r="B17"/>
  <c r="B13"/>
  <c r="J31"/>
  <c r="J23"/>
  <c r="J15"/>
  <c r="R38"/>
  <c r="R36"/>
  <c r="R34"/>
  <c r="R32"/>
  <c r="R30"/>
  <c r="R28"/>
  <c r="R26"/>
  <c r="R24"/>
  <c r="R22"/>
  <c r="R20"/>
  <c r="R18"/>
  <c r="R16"/>
  <c r="R14"/>
  <c r="R12"/>
  <c r="R10"/>
  <c r="Z38"/>
  <c r="Z30"/>
  <c r="Z22"/>
  <c r="Z14"/>
  <c r="B8" i="8"/>
  <c r="K38"/>
  <c r="K34"/>
  <c r="K30"/>
  <c r="K26"/>
  <c r="K22"/>
  <c r="K18"/>
  <c r="K14"/>
  <c r="K10"/>
  <c r="S36"/>
  <c r="S32"/>
  <c r="S28"/>
  <c r="S24"/>
  <c r="S20"/>
  <c r="S16"/>
  <c r="S12"/>
  <c r="Z10" i="14"/>
  <c r="J8" i="3"/>
  <c r="B34"/>
  <c r="B30"/>
  <c r="B26"/>
  <c r="B22"/>
  <c r="B18"/>
  <c r="B14"/>
  <c r="B10"/>
  <c r="J33"/>
  <c r="J29"/>
  <c r="J25"/>
  <c r="J21"/>
  <c r="J17"/>
  <c r="J13"/>
  <c r="J9"/>
  <c r="R32"/>
  <c r="R28"/>
  <c r="R24"/>
  <c r="R20"/>
  <c r="R16"/>
  <c r="R12"/>
  <c r="Z35"/>
  <c r="Z31"/>
  <c r="Z27"/>
  <c r="Z23"/>
  <c r="Z19"/>
  <c r="Z15"/>
  <c r="Z11"/>
  <c r="J8" i="4"/>
  <c r="B37"/>
  <c r="B33"/>
  <c r="B29"/>
  <c r="B25"/>
  <c r="B21"/>
  <c r="B17"/>
  <c r="B13"/>
  <c r="B9"/>
  <c r="J35"/>
  <c r="J31"/>
  <c r="J27"/>
  <c r="J23"/>
  <c r="J19"/>
  <c r="J15"/>
  <c r="J11"/>
  <c r="R37"/>
  <c r="R33"/>
  <c r="R29"/>
  <c r="R25"/>
  <c r="R21"/>
  <c r="R17"/>
  <c r="R13"/>
  <c r="R9"/>
  <c r="Z35"/>
  <c r="Z31"/>
  <c r="Z27"/>
  <c r="Z23"/>
  <c r="Z19"/>
  <c r="Z15"/>
  <c r="Z11"/>
  <c r="J8" i="5"/>
  <c r="B34"/>
  <c r="B30"/>
  <c r="B26"/>
  <c r="B22"/>
  <c r="B18"/>
  <c r="B14"/>
  <c r="B10"/>
  <c r="J35"/>
  <c r="J31"/>
  <c r="J27"/>
  <c r="J23"/>
  <c r="J19"/>
  <c r="J15"/>
  <c r="J11"/>
  <c r="R36"/>
  <c r="R32"/>
  <c r="R28"/>
  <c r="R24"/>
  <c r="R20"/>
  <c r="R16"/>
  <c r="R12"/>
  <c r="Z37"/>
  <c r="Z33"/>
  <c r="Z29"/>
  <c r="Z25"/>
  <c r="Z21"/>
  <c r="Z17"/>
  <c r="Z13"/>
  <c r="Z9"/>
  <c r="B38" i="6"/>
  <c r="B34"/>
  <c r="B30"/>
  <c r="B26"/>
  <c r="B22"/>
  <c r="B18"/>
  <c r="B14"/>
  <c r="B9"/>
  <c r="J37"/>
  <c r="J29"/>
  <c r="J21"/>
  <c r="J13"/>
  <c r="Z36"/>
  <c r="Z28"/>
  <c r="Z20"/>
  <c r="Z12"/>
  <c r="B36" i="7"/>
  <c r="Z36"/>
  <c r="J36"/>
  <c r="R36"/>
  <c r="B32"/>
  <c r="Z32"/>
  <c r="J32"/>
  <c r="R32"/>
  <c r="B28"/>
  <c r="Z28"/>
  <c r="J28"/>
  <c r="R28"/>
  <c r="B24"/>
  <c r="Z24"/>
  <c r="J24"/>
  <c r="R24"/>
  <c r="B20"/>
  <c r="Z20"/>
  <c r="J20"/>
  <c r="R20"/>
  <c r="B16"/>
  <c r="Z16"/>
  <c r="J16"/>
  <c r="R16"/>
  <c r="B12"/>
  <c r="Z12"/>
  <c r="J12"/>
  <c r="R12"/>
  <c r="Z8" i="8"/>
  <c r="AA8"/>
  <c r="J8"/>
  <c r="K8"/>
  <c r="B38"/>
  <c r="Z38"/>
  <c r="R38"/>
  <c r="J38"/>
  <c r="B34"/>
  <c r="Z34"/>
  <c r="R34"/>
  <c r="J34"/>
  <c r="B30"/>
  <c r="Z30"/>
  <c r="R30"/>
  <c r="J30"/>
  <c r="B26"/>
  <c r="Z26"/>
  <c r="R26"/>
  <c r="J26"/>
  <c r="B22"/>
  <c r="Z22"/>
  <c r="R22"/>
  <c r="J22"/>
  <c r="B18"/>
  <c r="Z18"/>
  <c r="R18"/>
  <c r="J18"/>
  <c r="B14"/>
  <c r="Z14"/>
  <c r="R14"/>
  <c r="J14"/>
  <c r="B10"/>
  <c r="Z10"/>
  <c r="R10"/>
  <c r="J10"/>
  <c r="B38" i="9"/>
  <c r="Z38"/>
  <c r="R38"/>
  <c r="J38"/>
  <c r="B34"/>
  <c r="Z34"/>
  <c r="R34"/>
  <c r="J34"/>
  <c r="B30"/>
  <c r="Z30"/>
  <c r="R30"/>
  <c r="J30"/>
  <c r="B26"/>
  <c r="Z26"/>
  <c r="R26"/>
  <c r="J26"/>
  <c r="B22"/>
  <c r="Z22"/>
  <c r="R22"/>
  <c r="J22"/>
  <c r="B18"/>
  <c r="Z18"/>
  <c r="R18"/>
  <c r="J18"/>
  <c r="B14"/>
  <c r="Z14"/>
  <c r="R14"/>
  <c r="J14"/>
  <c r="B10"/>
  <c r="Z10"/>
  <c r="R10"/>
  <c r="J10"/>
  <c r="B35" i="3"/>
  <c r="B31"/>
  <c r="B27"/>
  <c r="B23"/>
  <c r="B19"/>
  <c r="B15"/>
  <c r="B11"/>
  <c r="J34"/>
  <c r="J30"/>
  <c r="J26"/>
  <c r="J22"/>
  <c r="J18"/>
  <c r="J14"/>
  <c r="J10"/>
  <c r="R33"/>
  <c r="R29"/>
  <c r="R25"/>
  <c r="R21"/>
  <c r="R17"/>
  <c r="R13"/>
  <c r="R9"/>
  <c r="Z32"/>
  <c r="Z28"/>
  <c r="Z24"/>
  <c r="Z20"/>
  <c r="Z16"/>
  <c r="Z12"/>
  <c r="B8" i="4"/>
  <c r="B38"/>
  <c r="B34"/>
  <c r="B30"/>
  <c r="B26"/>
  <c r="B22"/>
  <c r="B18"/>
  <c r="B14"/>
  <c r="B10"/>
  <c r="J36"/>
  <c r="J32"/>
  <c r="J28"/>
  <c r="J24"/>
  <c r="J20"/>
  <c r="J16"/>
  <c r="J12"/>
  <c r="B8" i="3"/>
  <c r="B35" i="5"/>
  <c r="B31"/>
  <c r="B27"/>
  <c r="B23"/>
  <c r="B19"/>
  <c r="B15"/>
  <c r="B11"/>
  <c r="J36"/>
  <c r="J32"/>
  <c r="J28"/>
  <c r="J24"/>
  <c r="J20"/>
  <c r="J16"/>
  <c r="J12"/>
  <c r="R37"/>
  <c r="R33"/>
  <c r="R29"/>
  <c r="R25"/>
  <c r="R21"/>
  <c r="R17"/>
  <c r="R13"/>
  <c r="R9"/>
  <c r="Z34"/>
  <c r="Z30"/>
  <c r="Z26"/>
  <c r="Z22"/>
  <c r="Z18"/>
  <c r="Z14"/>
  <c r="Z10"/>
  <c r="R37" i="6"/>
  <c r="R35"/>
  <c r="R33"/>
  <c r="R31"/>
  <c r="R29"/>
  <c r="R27"/>
  <c r="R25"/>
  <c r="R23"/>
  <c r="R21"/>
  <c r="R19"/>
  <c r="R17"/>
  <c r="R13"/>
  <c r="R9"/>
  <c r="Z34"/>
  <c r="Z26"/>
  <c r="Z18"/>
  <c r="S38" i="8"/>
  <c r="S34"/>
  <c r="S30"/>
  <c r="S26"/>
  <c r="S22"/>
  <c r="S18"/>
  <c r="S14"/>
  <c r="S10"/>
  <c r="J10" i="6"/>
  <c r="B10"/>
  <c r="B35" i="4"/>
  <c r="B31"/>
  <c r="B27"/>
  <c r="B23"/>
  <c r="B19"/>
  <c r="B15"/>
  <c r="B11"/>
  <c r="J37"/>
  <c r="J33"/>
  <c r="J29"/>
  <c r="J25"/>
  <c r="J21"/>
  <c r="J17"/>
  <c r="J13"/>
  <c r="J9"/>
  <c r="B36" i="6"/>
  <c r="J33"/>
  <c r="J25"/>
  <c r="J17"/>
  <c r="J9"/>
  <c r="Z32"/>
  <c r="Z24"/>
  <c r="Z16"/>
  <c r="R8" i="8"/>
  <c r="J35" i="10"/>
  <c r="J31"/>
  <c r="J27"/>
  <c r="J23"/>
  <c r="J19"/>
  <c r="J15"/>
  <c r="J11"/>
  <c r="Z35"/>
  <c r="Z31"/>
  <c r="Z27"/>
  <c r="Z23"/>
  <c r="Z19"/>
  <c r="Z15"/>
  <c r="Z11"/>
  <c r="J37" i="7"/>
  <c r="J35"/>
  <c r="J33"/>
  <c r="J31"/>
  <c r="J29"/>
  <c r="J27"/>
  <c r="J25"/>
  <c r="J23"/>
  <c r="J21"/>
  <c r="J19"/>
  <c r="J17"/>
  <c r="J15"/>
  <c r="J13"/>
  <c r="J11"/>
  <c r="J9"/>
  <c r="Z37"/>
  <c r="Z35"/>
  <c r="Z33"/>
  <c r="Z31"/>
  <c r="Z29"/>
  <c r="Z27"/>
  <c r="Z25"/>
  <c r="Z23"/>
  <c r="Z21"/>
  <c r="Z19"/>
  <c r="Z17"/>
  <c r="Z15"/>
  <c r="Z13"/>
  <c r="Z11"/>
  <c r="Z9"/>
  <c r="J37" i="8"/>
  <c r="J35"/>
  <c r="J33"/>
  <c r="J31"/>
  <c r="J29"/>
  <c r="J27"/>
  <c r="J25"/>
  <c r="J23"/>
  <c r="J21"/>
  <c r="J19"/>
  <c r="J17"/>
  <c r="J15"/>
  <c r="J13"/>
  <c r="J11"/>
  <c r="J9"/>
  <c r="R37"/>
  <c r="R35"/>
  <c r="R33"/>
  <c r="R31"/>
  <c r="R29"/>
  <c r="R27"/>
  <c r="R25"/>
  <c r="R23"/>
  <c r="R21"/>
  <c r="R19"/>
  <c r="R17"/>
  <c r="R15"/>
  <c r="R13"/>
  <c r="R11"/>
  <c r="R9"/>
  <c r="Z37"/>
  <c r="Z35"/>
  <c r="Z33"/>
  <c r="Z31"/>
  <c r="Z29"/>
  <c r="Z27"/>
  <c r="Z25"/>
  <c r="Z23"/>
  <c r="Z21"/>
  <c r="Z19"/>
  <c r="Z17"/>
  <c r="Z15"/>
  <c r="Z13"/>
  <c r="Z11"/>
  <c r="Z9"/>
  <c r="J36" i="9"/>
  <c r="J32"/>
  <c r="J28"/>
  <c r="J24"/>
  <c r="J20"/>
  <c r="J16"/>
  <c r="J12"/>
  <c r="R36"/>
  <c r="R32"/>
  <c r="R28"/>
  <c r="R24"/>
  <c r="R20"/>
  <c r="R16"/>
  <c r="R12"/>
  <c r="Z36"/>
  <c r="Z32"/>
  <c r="Z28"/>
  <c r="Z24"/>
  <c r="Z20"/>
  <c r="Z16"/>
  <c r="Z12"/>
  <c r="J36" i="12"/>
  <c r="J34"/>
  <c r="J32"/>
  <c r="J30"/>
  <c r="J28"/>
  <c r="J26"/>
  <c r="J24"/>
  <c r="J22"/>
  <c r="J20"/>
  <c r="J18"/>
  <c r="J16"/>
  <c r="J14"/>
  <c r="J12"/>
  <c r="J10"/>
  <c r="R37"/>
  <c r="R35"/>
  <c r="R33"/>
  <c r="R31"/>
  <c r="R29"/>
  <c r="R27"/>
  <c r="R25"/>
  <c r="R23"/>
  <c r="R21"/>
  <c r="R19"/>
  <c r="R17"/>
  <c r="R15"/>
  <c r="R13"/>
  <c r="R11"/>
  <c r="R9"/>
  <c r="Z36"/>
  <c r="Z34"/>
  <c r="Z32"/>
  <c r="Z30"/>
  <c r="Z28"/>
  <c r="Z26"/>
  <c r="Z24"/>
  <c r="Z22"/>
  <c r="Z20"/>
  <c r="Z18"/>
  <c r="Z16"/>
  <c r="Z14"/>
  <c r="Z12"/>
  <c r="Z10"/>
  <c r="J37" i="13"/>
  <c r="J35"/>
  <c r="J33"/>
  <c r="J31"/>
  <c r="J29"/>
  <c r="J27"/>
  <c r="J25"/>
  <c r="J23"/>
  <c r="J21"/>
  <c r="J19"/>
  <c r="J17"/>
  <c r="J15"/>
  <c r="J13"/>
  <c r="J11"/>
  <c r="J9"/>
  <c r="R37"/>
  <c r="R35"/>
  <c r="R33"/>
  <c r="R31"/>
  <c r="R29"/>
  <c r="R27"/>
  <c r="R25"/>
  <c r="R23"/>
  <c r="R21"/>
  <c r="R19"/>
  <c r="R17"/>
  <c r="R15"/>
  <c r="R13"/>
  <c r="R11"/>
  <c r="R9"/>
  <c r="Z37"/>
  <c r="Z35"/>
  <c r="Z33"/>
  <c r="Z31"/>
  <c r="Z29"/>
  <c r="Z27"/>
  <c r="Z25"/>
  <c r="Z23"/>
  <c r="Z21"/>
  <c r="Z19"/>
  <c r="Z17"/>
  <c r="Z15"/>
  <c r="Z13"/>
  <c r="Z11"/>
  <c r="Z9"/>
  <c r="J36" i="10"/>
  <c r="J34"/>
  <c r="J32"/>
  <c r="J30"/>
  <c r="J28"/>
  <c r="J26"/>
  <c r="J24"/>
  <c r="J22"/>
  <c r="J20"/>
  <c r="J18"/>
  <c r="J16"/>
  <c r="J14"/>
  <c r="J12"/>
  <c r="J10"/>
  <c r="R37"/>
  <c r="R35"/>
  <c r="R33"/>
  <c r="R31"/>
  <c r="R29"/>
  <c r="R27"/>
  <c r="R25"/>
  <c r="R23"/>
  <c r="R21"/>
  <c r="R19"/>
  <c r="R17"/>
  <c r="R15"/>
  <c r="R13"/>
  <c r="R11"/>
  <c r="R9"/>
  <c r="Z36"/>
  <c r="Z34"/>
  <c r="Z32"/>
  <c r="Z30"/>
  <c r="Z28"/>
  <c r="Z26"/>
  <c r="Z24"/>
  <c r="Z22"/>
  <c r="Z20"/>
  <c r="Z18"/>
  <c r="Z16"/>
  <c r="Z14"/>
  <c r="Z12"/>
  <c r="Z10"/>
  <c r="J37" i="11"/>
  <c r="J35"/>
  <c r="J33"/>
  <c r="J31"/>
  <c r="J29"/>
  <c r="J27"/>
  <c r="J25"/>
  <c r="J23"/>
  <c r="J21"/>
  <c r="J19"/>
  <c r="J17"/>
  <c r="J15"/>
  <c r="J13"/>
  <c r="J11"/>
  <c r="J9"/>
  <c r="R37"/>
  <c r="R35"/>
  <c r="R33"/>
  <c r="R31"/>
  <c r="R29"/>
  <c r="R27"/>
  <c r="R25"/>
  <c r="R23"/>
  <c r="R21"/>
  <c r="R19"/>
  <c r="R17"/>
  <c r="R15"/>
  <c r="R13"/>
  <c r="R11"/>
  <c r="R9"/>
  <c r="Z37"/>
  <c r="Z35"/>
  <c r="Z33"/>
  <c r="Z31"/>
  <c r="Z29"/>
  <c r="Z27"/>
  <c r="Z25"/>
  <c r="Z23"/>
  <c r="Z21"/>
  <c r="Z19"/>
  <c r="Z17"/>
  <c r="Z15"/>
  <c r="Z13"/>
  <c r="Z11"/>
  <c r="Z9"/>
  <c r="R37" i="7"/>
  <c r="R33"/>
  <c r="R29"/>
  <c r="R25"/>
  <c r="R21"/>
  <c r="R17"/>
  <c r="R13"/>
  <c r="R9"/>
  <c r="J37" i="9"/>
  <c r="J33"/>
  <c r="J29"/>
  <c r="J25"/>
  <c r="J21"/>
  <c r="J17"/>
  <c r="J13"/>
  <c r="J9"/>
  <c r="R37"/>
  <c r="R35"/>
  <c r="R33"/>
  <c r="R31"/>
  <c r="R29"/>
  <c r="R25"/>
  <c r="R21"/>
  <c r="R17"/>
  <c r="R13"/>
  <c r="R9"/>
  <c r="Z37"/>
  <c r="Z35"/>
  <c r="Z33"/>
  <c r="Z31"/>
  <c r="Z29"/>
  <c r="Z27"/>
  <c r="Z25"/>
  <c r="Z23"/>
  <c r="Z21"/>
  <c r="Z17"/>
  <c r="Z13"/>
  <c r="Z9"/>
  <c r="J37" i="12"/>
  <c r="J35"/>
  <c r="J33"/>
  <c r="J31"/>
  <c r="J29"/>
  <c r="J27"/>
  <c r="J25"/>
  <c r="J23"/>
  <c r="J21"/>
  <c r="J19"/>
  <c r="J17"/>
  <c r="J15"/>
  <c r="J13"/>
  <c r="J11"/>
  <c r="J9"/>
  <c r="R36"/>
  <c r="R34"/>
  <c r="R32"/>
  <c r="R30"/>
  <c r="R28"/>
  <c r="R26"/>
  <c r="R24"/>
  <c r="R22"/>
  <c r="R20"/>
  <c r="R18"/>
  <c r="R16"/>
  <c r="R14"/>
  <c r="R12"/>
  <c r="R10"/>
  <c r="Z37"/>
  <c r="Z35"/>
  <c r="Z33"/>
  <c r="Z31"/>
  <c r="Z29"/>
  <c r="Z27"/>
  <c r="Z25"/>
  <c r="Z23"/>
  <c r="Z21"/>
  <c r="Z19"/>
  <c r="Z17"/>
  <c r="Z15"/>
  <c r="Z13"/>
  <c r="Z11"/>
  <c r="Z9"/>
  <c r="J38" i="13"/>
  <c r="J36"/>
  <c r="J34"/>
  <c r="J32"/>
  <c r="J30"/>
  <c r="J28"/>
  <c r="J26"/>
  <c r="J24"/>
  <c r="J22"/>
  <c r="J20"/>
  <c r="J18"/>
  <c r="J16"/>
  <c r="J14"/>
  <c r="J12"/>
  <c r="J10"/>
  <c r="R38"/>
  <c r="R36"/>
  <c r="R34"/>
  <c r="R32"/>
  <c r="R30"/>
  <c r="R28"/>
  <c r="R26"/>
  <c r="R24"/>
  <c r="R22"/>
  <c r="R20"/>
  <c r="R18"/>
  <c r="R16"/>
  <c r="R14"/>
  <c r="R12"/>
  <c r="R10"/>
  <c r="Z38"/>
  <c r="Z36"/>
  <c r="Z34"/>
  <c r="Z32"/>
  <c r="Z30"/>
  <c r="Z28"/>
  <c r="Z26"/>
  <c r="Z24"/>
  <c r="Z22"/>
  <c r="Z20"/>
  <c r="Z18"/>
  <c r="Z16"/>
  <c r="Z14"/>
  <c r="Z12"/>
  <c r="Z10"/>
  <c r="B36" i="3"/>
  <c r="J36"/>
  <c r="R36"/>
  <c r="J8" i="13"/>
  <c r="B8"/>
  <c r="J8" i="12"/>
  <c r="B8"/>
  <c r="B8" i="11"/>
  <c r="Z8"/>
  <c r="R8" i="10"/>
  <c r="B8"/>
  <c r="Z8"/>
  <c r="J8" i="9"/>
  <c r="B8"/>
  <c r="Z8" i="7"/>
  <c r="R8"/>
  <c r="B8" i="5"/>
  <c r="Z8"/>
  <c r="R10" i="14"/>
  <c r="J10"/>
  <c r="AF8" i="3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X8"/>
  <c r="X9"/>
  <c r="X10"/>
  <c r="X11"/>
  <c r="X12"/>
  <c r="X13"/>
  <c r="X14"/>
  <c r="X15"/>
  <c r="X16"/>
  <c r="X17"/>
  <c r="X18"/>
  <c r="X19"/>
  <c r="X27"/>
  <c r="X28"/>
  <c r="X29"/>
  <c r="X30"/>
  <c r="X31"/>
  <c r="X32"/>
  <c r="X33"/>
  <c r="X34"/>
  <c r="X35"/>
  <c r="X36"/>
  <c r="P36"/>
  <c r="G9" i="2"/>
  <c r="Z15"/>
  <c r="B15"/>
  <c r="Z8"/>
  <c r="R8"/>
  <c r="J8"/>
  <c r="B8"/>
  <c r="B26"/>
  <c r="Z26"/>
  <c r="Z25"/>
  <c r="Z24"/>
  <c r="Z23"/>
  <c r="Z22"/>
  <c r="Z21"/>
  <c r="Z20"/>
  <c r="Z19"/>
  <c r="Z18"/>
  <c r="Z17"/>
  <c r="Z16"/>
  <c r="R26"/>
  <c r="R25"/>
  <c r="R24"/>
  <c r="R23"/>
  <c r="R22"/>
  <c r="R21"/>
  <c r="R20"/>
  <c r="R19"/>
  <c r="R18"/>
  <c r="R17"/>
  <c r="R16"/>
  <c r="R15"/>
  <c r="J26"/>
  <c r="J25"/>
  <c r="J24"/>
  <c r="J23"/>
  <c r="J22"/>
  <c r="J21"/>
  <c r="J20"/>
  <c r="J19"/>
  <c r="J18"/>
  <c r="J17"/>
  <c r="J16"/>
  <c r="J15"/>
  <c r="B25"/>
  <c r="B24"/>
  <c r="B23"/>
  <c r="B22"/>
  <c r="B21"/>
  <c r="B20"/>
  <c r="B19"/>
  <c r="B18"/>
  <c r="B17"/>
  <c r="B16"/>
  <c r="C9" i="1"/>
  <c r="B9" s="1"/>
  <c r="B8"/>
  <c r="R9" i="14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AA10" i="1"/>
  <c r="Z10" s="1"/>
  <c r="AA11"/>
  <c r="Z11" s="1"/>
  <c r="AA12"/>
  <c r="Z12" s="1"/>
  <c r="AA13"/>
  <c r="Z13" s="1"/>
  <c r="AA14"/>
  <c r="Z14" s="1"/>
  <c r="AA15"/>
  <c r="Z15" s="1"/>
  <c r="AA16"/>
  <c r="Z16" s="1"/>
  <c r="AA17"/>
  <c r="Z17" s="1"/>
  <c r="AA18"/>
  <c r="Z18" s="1"/>
  <c r="AA19"/>
  <c r="Z19" s="1"/>
  <c r="AA20"/>
  <c r="Z20" s="1"/>
  <c r="AA21"/>
  <c r="Z21" s="1"/>
  <c r="AA22"/>
  <c r="Z22" s="1"/>
  <c r="AA23"/>
  <c r="Z23" s="1"/>
  <c r="AA24"/>
  <c r="Z24" s="1"/>
  <c r="AA25"/>
  <c r="Z25" s="1"/>
  <c r="AA26"/>
  <c r="Z26" s="1"/>
  <c r="AA27"/>
  <c r="Z27" s="1"/>
  <c r="AA28"/>
  <c r="Z28" s="1"/>
  <c r="AA29"/>
  <c r="Z29" s="1"/>
  <c r="AA30"/>
  <c r="Z30" s="1"/>
  <c r="AA31"/>
  <c r="Z31" s="1"/>
  <c r="AA32"/>
  <c r="Z32" s="1"/>
  <c r="AA33"/>
  <c r="Z33" s="1"/>
  <c r="AA34"/>
  <c r="Z34" s="1"/>
  <c r="AA35"/>
  <c r="Z35" s="1"/>
  <c r="AA36"/>
  <c r="Z36" s="1"/>
  <c r="AA37"/>
  <c r="Z37" s="1"/>
  <c r="AA38"/>
  <c r="Z38" s="1"/>
  <c r="AA9"/>
  <c r="Z9" s="1"/>
  <c r="AA8"/>
  <c r="Z8" s="1"/>
  <c r="S38"/>
  <c r="R38" s="1"/>
  <c r="S10"/>
  <c r="R10" s="1"/>
  <c r="S11"/>
  <c r="R11" s="1"/>
  <c r="S12"/>
  <c r="R12" s="1"/>
  <c r="S13"/>
  <c r="R13" s="1"/>
  <c r="S14"/>
  <c r="R14" s="1"/>
  <c r="S15"/>
  <c r="R15" s="1"/>
  <c r="S16"/>
  <c r="R16" s="1"/>
  <c r="S17"/>
  <c r="R17" s="1"/>
  <c r="S18"/>
  <c r="R18" s="1"/>
  <c r="S19"/>
  <c r="R19" s="1"/>
  <c r="S20"/>
  <c r="R20" s="1"/>
  <c r="S21"/>
  <c r="R21" s="1"/>
  <c r="S22"/>
  <c r="R22" s="1"/>
  <c r="S23"/>
  <c r="R23" s="1"/>
  <c r="S24"/>
  <c r="R24" s="1"/>
  <c r="S25"/>
  <c r="R25" s="1"/>
  <c r="S26"/>
  <c r="R26" s="1"/>
  <c r="S27"/>
  <c r="R27" s="1"/>
  <c r="S28"/>
  <c r="R28" s="1"/>
  <c r="S29"/>
  <c r="R29" s="1"/>
  <c r="S30"/>
  <c r="R30" s="1"/>
  <c r="S31"/>
  <c r="R31" s="1"/>
  <c r="S32"/>
  <c r="R32" s="1"/>
  <c r="S33"/>
  <c r="R33" s="1"/>
  <c r="S34"/>
  <c r="R34" s="1"/>
  <c r="S35"/>
  <c r="R35" s="1"/>
  <c r="S36"/>
  <c r="R36" s="1"/>
  <c r="S37"/>
  <c r="R37" s="1"/>
  <c r="S9"/>
  <c r="R9" s="1"/>
  <c r="K10"/>
  <c r="J10" s="1"/>
  <c r="K11"/>
  <c r="J11" s="1"/>
  <c r="K12"/>
  <c r="J12" s="1"/>
  <c r="K13"/>
  <c r="J13" s="1"/>
  <c r="K14"/>
  <c r="J14" s="1"/>
  <c r="K15"/>
  <c r="J15" s="1"/>
  <c r="K16"/>
  <c r="J16" s="1"/>
  <c r="K17"/>
  <c r="J17" s="1"/>
  <c r="K18"/>
  <c r="J18" s="1"/>
  <c r="K19"/>
  <c r="J19" s="1"/>
  <c r="K20"/>
  <c r="J20" s="1"/>
  <c r="K21"/>
  <c r="J21" s="1"/>
  <c r="K22"/>
  <c r="J22" s="1"/>
  <c r="K23"/>
  <c r="J23" s="1"/>
  <c r="K24"/>
  <c r="J24" s="1"/>
  <c r="K25"/>
  <c r="J25" s="1"/>
  <c r="K26"/>
  <c r="J26" s="1"/>
  <c r="K27"/>
  <c r="J27" s="1"/>
  <c r="K28"/>
  <c r="J28" s="1"/>
  <c r="K29"/>
  <c r="J29" s="1"/>
  <c r="K30"/>
  <c r="J30" s="1"/>
  <c r="K31"/>
  <c r="J31" s="1"/>
  <c r="K32"/>
  <c r="J32" s="1"/>
  <c r="K33"/>
  <c r="J33" s="1"/>
  <c r="K34"/>
  <c r="J34" s="1"/>
  <c r="K35"/>
  <c r="J35" s="1"/>
  <c r="K36"/>
  <c r="J36" s="1"/>
  <c r="K37"/>
  <c r="J37" s="1"/>
  <c r="K38"/>
  <c r="J38" s="1"/>
  <c r="K9"/>
  <c r="J9" s="1"/>
  <c r="N37"/>
  <c r="P37" s="1"/>
  <c r="N38"/>
  <c r="P38" s="1"/>
  <c r="C10"/>
  <c r="B10" s="1"/>
  <c r="C11"/>
  <c r="B11" s="1"/>
  <c r="C12"/>
  <c r="B12" s="1"/>
  <c r="C13"/>
  <c r="B13" s="1"/>
  <c r="C14"/>
  <c r="B14" s="1"/>
  <c r="C15"/>
  <c r="B15" s="1"/>
  <c r="C16"/>
  <c r="B16" s="1"/>
  <c r="C17"/>
  <c r="B17" s="1"/>
  <c r="C18"/>
  <c r="B18" s="1"/>
  <c r="C19"/>
  <c r="B19" s="1"/>
  <c r="C20"/>
  <c r="B20" s="1"/>
  <c r="C21"/>
  <c r="B21" s="1"/>
  <c r="C22"/>
  <c r="B22" s="1"/>
  <c r="C23"/>
  <c r="B23" s="1"/>
  <c r="C24"/>
  <c r="B24" s="1"/>
  <c r="C25"/>
  <c r="B25" s="1"/>
  <c r="C26"/>
  <c r="B26" s="1"/>
  <c r="C27"/>
  <c r="B27" s="1"/>
  <c r="C28"/>
  <c r="B28" s="1"/>
  <c r="C29"/>
  <c r="B29" s="1"/>
  <c r="C30"/>
  <c r="B30" s="1"/>
  <c r="C31"/>
  <c r="B31" s="1"/>
  <c r="C32"/>
  <c r="B32" s="1"/>
  <c r="C33"/>
  <c r="B33" s="1"/>
  <c r="C34"/>
  <c r="B34" s="1"/>
  <c r="C35"/>
  <c r="B35" s="1"/>
  <c r="C36"/>
  <c r="B36" s="1"/>
  <c r="C37"/>
  <c r="B37" s="1"/>
  <c r="C38"/>
  <c r="B38" s="1"/>
  <c r="AB5" i="13"/>
  <c r="T5"/>
  <c r="L5"/>
  <c r="AB5" i="12"/>
  <c r="T5"/>
  <c r="L5"/>
  <c r="D5"/>
  <c r="AB5" i="11"/>
  <c r="T5"/>
  <c r="L5"/>
  <c r="D5"/>
  <c r="AB5" i="10"/>
  <c r="T5"/>
  <c r="L5"/>
  <c r="D5"/>
  <c r="AB5" i="9"/>
  <c r="T5"/>
  <c r="L5"/>
  <c r="D5"/>
  <c r="AB5" i="8"/>
  <c r="T5"/>
  <c r="L5"/>
  <c r="D5"/>
  <c r="AB5" i="7"/>
  <c r="T5"/>
  <c r="L5"/>
  <c r="D5"/>
  <c r="AB17" i="2"/>
  <c r="AA18"/>
  <c r="AA17"/>
  <c r="AB8"/>
  <c r="AA8"/>
  <c r="T8"/>
  <c r="S8"/>
  <c r="D26"/>
  <c r="O38" i="1" l="1"/>
  <c r="B28" i="14"/>
  <c r="J28"/>
  <c r="B12"/>
  <c r="J12"/>
  <c r="B36"/>
  <c r="J36"/>
  <c r="B16"/>
  <c r="J16"/>
  <c r="B37"/>
  <c r="J37"/>
  <c r="B33"/>
  <c r="J33"/>
  <c r="B29"/>
  <c r="J29"/>
  <c r="B25"/>
  <c r="J25"/>
  <c r="B21"/>
  <c r="J21"/>
  <c r="B17"/>
  <c r="J17"/>
  <c r="B13"/>
  <c r="J13"/>
  <c r="B32"/>
  <c r="J32"/>
  <c r="B20"/>
  <c r="J20"/>
  <c r="B38"/>
  <c r="J38"/>
  <c r="B34"/>
  <c r="J34"/>
  <c r="B30"/>
  <c r="J30"/>
  <c r="B26"/>
  <c r="J26"/>
  <c r="B22"/>
  <c r="J22"/>
  <c r="B18"/>
  <c r="J18"/>
  <c r="B14"/>
  <c r="J14"/>
  <c r="B9"/>
  <c r="J9"/>
  <c r="B24"/>
  <c r="J24"/>
  <c r="B35"/>
  <c r="J35"/>
  <c r="B31"/>
  <c r="J31"/>
  <c r="B27"/>
  <c r="J27"/>
  <c r="B23"/>
  <c r="J23"/>
  <c r="B19"/>
  <c r="J19"/>
  <c r="B15"/>
  <c r="J15"/>
  <c r="B11"/>
  <c r="J11"/>
  <c r="S8" i="1"/>
  <c r="R8" s="1"/>
  <c r="O37"/>
  <c r="AD38" i="14"/>
  <c r="AE38" s="1"/>
  <c r="V38"/>
  <c r="X38" s="1"/>
  <c r="P38"/>
  <c r="N38"/>
  <c r="O38" s="1"/>
  <c r="H38"/>
  <c r="G38"/>
  <c r="F38"/>
  <c r="AD37"/>
  <c r="AE37" s="1"/>
  <c r="V37"/>
  <c r="X37" s="1"/>
  <c r="N37"/>
  <c r="O37" s="1"/>
  <c r="F37"/>
  <c r="H37" s="1"/>
  <c r="AD36"/>
  <c r="AE36" s="1"/>
  <c r="V36"/>
  <c r="X36" s="1"/>
  <c r="P36"/>
  <c r="N36"/>
  <c r="O36" s="1"/>
  <c r="H36"/>
  <c r="F36"/>
  <c r="G36" s="1"/>
  <c r="AD35"/>
  <c r="AE35" s="1"/>
  <c r="V35"/>
  <c r="X35" s="1"/>
  <c r="N35"/>
  <c r="O35" s="1"/>
  <c r="H35"/>
  <c r="G35"/>
  <c r="F35"/>
  <c r="AD34"/>
  <c r="AE34" s="1"/>
  <c r="V34"/>
  <c r="X34" s="1"/>
  <c r="N34"/>
  <c r="O34" s="1"/>
  <c r="F34"/>
  <c r="G34" s="1"/>
  <c r="AD33"/>
  <c r="AE33" s="1"/>
  <c r="V33"/>
  <c r="X33" s="1"/>
  <c r="N33"/>
  <c r="O33" s="1"/>
  <c r="F33"/>
  <c r="H33" s="1"/>
  <c r="AD32"/>
  <c r="AE32" s="1"/>
  <c r="V32"/>
  <c r="X32" s="1"/>
  <c r="N32"/>
  <c r="O32" s="1"/>
  <c r="H32"/>
  <c r="F32"/>
  <c r="G32" s="1"/>
  <c r="AD31"/>
  <c r="AE31" s="1"/>
  <c r="V31"/>
  <c r="X31" s="1"/>
  <c r="N31"/>
  <c r="O31" s="1"/>
  <c r="H31"/>
  <c r="G31"/>
  <c r="F31"/>
  <c r="AD30"/>
  <c r="AE30" s="1"/>
  <c r="V30"/>
  <c r="X30" s="1"/>
  <c r="P30"/>
  <c r="N30"/>
  <c r="O30" s="1"/>
  <c r="F30"/>
  <c r="G30" s="1"/>
  <c r="AD29"/>
  <c r="AE29" s="1"/>
  <c r="V29"/>
  <c r="X29" s="1"/>
  <c r="N29"/>
  <c r="O29" s="1"/>
  <c r="F29"/>
  <c r="H29" s="1"/>
  <c r="AD28"/>
  <c r="AE28" s="1"/>
  <c r="V28"/>
  <c r="X28" s="1"/>
  <c r="N28"/>
  <c r="O28" s="1"/>
  <c r="H28"/>
  <c r="F28"/>
  <c r="G28" s="1"/>
  <c r="AD27"/>
  <c r="AE27" s="1"/>
  <c r="V27"/>
  <c r="X27" s="1"/>
  <c r="P27"/>
  <c r="N27"/>
  <c r="O27" s="1"/>
  <c r="H27"/>
  <c r="G27"/>
  <c r="F27"/>
  <c r="AD26"/>
  <c r="AE26" s="1"/>
  <c r="V26"/>
  <c r="X26" s="1"/>
  <c r="N26"/>
  <c r="O26" s="1"/>
  <c r="F26"/>
  <c r="G26" s="1"/>
  <c r="AD25"/>
  <c r="AE25" s="1"/>
  <c r="V25"/>
  <c r="X25" s="1"/>
  <c r="P25"/>
  <c r="N25"/>
  <c r="O25" s="1"/>
  <c r="F25"/>
  <c r="H25" s="1"/>
  <c r="AD24"/>
  <c r="AE24" s="1"/>
  <c r="V24"/>
  <c r="X24" s="1"/>
  <c r="P24"/>
  <c r="N24"/>
  <c r="O24" s="1"/>
  <c r="H24"/>
  <c r="F24"/>
  <c r="G24" s="1"/>
  <c r="AD23"/>
  <c r="AE23" s="1"/>
  <c r="V23"/>
  <c r="X23" s="1"/>
  <c r="N23"/>
  <c r="O23" s="1"/>
  <c r="H23"/>
  <c r="G23"/>
  <c r="F23"/>
  <c r="AD22"/>
  <c r="AE22" s="1"/>
  <c r="V22"/>
  <c r="X22" s="1"/>
  <c r="N22"/>
  <c r="O22" s="1"/>
  <c r="F22"/>
  <c r="G22" s="1"/>
  <c r="AD21"/>
  <c r="AE21" s="1"/>
  <c r="V21"/>
  <c r="X21" s="1"/>
  <c r="P21"/>
  <c r="N21"/>
  <c r="O21" s="1"/>
  <c r="F21"/>
  <c r="H21" s="1"/>
  <c r="AD20"/>
  <c r="AE20" s="1"/>
  <c r="V20"/>
  <c r="X20" s="1"/>
  <c r="P20"/>
  <c r="N20"/>
  <c r="O20" s="1"/>
  <c r="H20"/>
  <c r="F20"/>
  <c r="G20" s="1"/>
  <c r="AD19"/>
  <c r="AE19" s="1"/>
  <c r="V19"/>
  <c r="X19" s="1"/>
  <c r="N19"/>
  <c r="O19" s="1"/>
  <c r="H19"/>
  <c r="G19"/>
  <c r="F19"/>
  <c r="AD18"/>
  <c r="AE18" s="1"/>
  <c r="V18"/>
  <c r="X18" s="1"/>
  <c r="N18"/>
  <c r="O18" s="1"/>
  <c r="F18"/>
  <c r="G18" s="1"/>
  <c r="AD17"/>
  <c r="AE17" s="1"/>
  <c r="V17"/>
  <c r="X17" s="1"/>
  <c r="N17"/>
  <c r="O17" s="1"/>
  <c r="F17"/>
  <c r="H17" s="1"/>
  <c r="AD16"/>
  <c r="AE16" s="1"/>
  <c r="V16"/>
  <c r="X16" s="1"/>
  <c r="P16"/>
  <c r="N16"/>
  <c r="O16" s="1"/>
  <c r="H16"/>
  <c r="F16"/>
  <c r="G16" s="1"/>
  <c r="AD15"/>
  <c r="AE15" s="1"/>
  <c r="V15"/>
  <c r="X15" s="1"/>
  <c r="N15"/>
  <c r="O15" s="1"/>
  <c r="H15"/>
  <c r="G15"/>
  <c r="F15"/>
  <c r="AD14"/>
  <c r="AE14" s="1"/>
  <c r="V14"/>
  <c r="X14" s="1"/>
  <c r="P14"/>
  <c r="N14"/>
  <c r="O14" s="1"/>
  <c r="F14"/>
  <c r="G14" s="1"/>
  <c r="AD13"/>
  <c r="AE13" s="1"/>
  <c r="V13"/>
  <c r="X13" s="1"/>
  <c r="P13"/>
  <c r="N13"/>
  <c r="O13" s="1"/>
  <c r="F13"/>
  <c r="H13" s="1"/>
  <c r="AD12"/>
  <c r="AE12" s="1"/>
  <c r="V12"/>
  <c r="X12" s="1"/>
  <c r="N12"/>
  <c r="O12" s="1"/>
  <c r="H12"/>
  <c r="F12"/>
  <c r="G12" s="1"/>
  <c r="AD11"/>
  <c r="AE11" s="1"/>
  <c r="V11"/>
  <c r="X11" s="1"/>
  <c r="P11"/>
  <c r="N11"/>
  <c r="O11" s="1"/>
  <c r="H11"/>
  <c r="G11"/>
  <c r="F11"/>
  <c r="AD10"/>
  <c r="AE10" s="1"/>
  <c r="V10"/>
  <c r="X10" s="1"/>
  <c r="N10"/>
  <c r="O10" s="1"/>
  <c r="F10"/>
  <c r="G10" s="1"/>
  <c r="AD9"/>
  <c r="AE9" s="1"/>
  <c r="V9"/>
  <c r="X9" s="1"/>
  <c r="N9"/>
  <c r="O9" s="1"/>
  <c r="F9"/>
  <c r="H9" s="1"/>
  <c r="AD8"/>
  <c r="AE8" s="1"/>
  <c r="AE39" s="1"/>
  <c r="V8"/>
  <c r="X8" s="1"/>
  <c r="N8"/>
  <c r="O8" s="1"/>
  <c r="H8"/>
  <c r="F8"/>
  <c r="G8" s="1"/>
  <c r="AD37" i="9"/>
  <c r="AD38"/>
  <c r="V29"/>
  <c r="V30"/>
  <c r="V31"/>
  <c r="V32"/>
  <c r="V33"/>
  <c r="V34"/>
  <c r="V35"/>
  <c r="V36"/>
  <c r="AD38" i="13"/>
  <c r="AF38" s="1"/>
  <c r="V38"/>
  <c r="X38" s="1"/>
  <c r="N38"/>
  <c r="O38" s="1"/>
  <c r="F38"/>
  <c r="G38" s="1"/>
  <c r="AD37"/>
  <c r="AF37" s="1"/>
  <c r="V37"/>
  <c r="X37" s="1"/>
  <c r="N37"/>
  <c r="O37" s="1"/>
  <c r="F37"/>
  <c r="G37" s="1"/>
  <c r="AD36"/>
  <c r="AF36" s="1"/>
  <c r="V36"/>
  <c r="X36" s="1"/>
  <c r="N36"/>
  <c r="P36" s="1"/>
  <c r="F36"/>
  <c r="G36" s="1"/>
  <c r="AD35"/>
  <c r="AF35" s="1"/>
  <c r="V35"/>
  <c r="X35" s="1"/>
  <c r="N35"/>
  <c r="P35" s="1"/>
  <c r="F35"/>
  <c r="H35" s="1"/>
  <c r="AD34"/>
  <c r="AF34" s="1"/>
  <c r="V34"/>
  <c r="X34" s="1"/>
  <c r="N34"/>
  <c r="P34" s="1"/>
  <c r="F34"/>
  <c r="H34" s="1"/>
  <c r="AD33"/>
  <c r="AF33" s="1"/>
  <c r="V33"/>
  <c r="X33" s="1"/>
  <c r="N33"/>
  <c r="P33" s="1"/>
  <c r="F33"/>
  <c r="G33" s="1"/>
  <c r="AD32"/>
  <c r="AF32" s="1"/>
  <c r="V32"/>
  <c r="X32" s="1"/>
  <c r="N32"/>
  <c r="P32" s="1"/>
  <c r="F32"/>
  <c r="G32" s="1"/>
  <c r="AE31"/>
  <c r="AD31"/>
  <c r="AF31" s="1"/>
  <c r="V31"/>
  <c r="X31" s="1"/>
  <c r="N31"/>
  <c r="P31" s="1"/>
  <c r="H31"/>
  <c r="F31"/>
  <c r="G31" s="1"/>
  <c r="AD30"/>
  <c r="AF30" s="1"/>
  <c r="V30"/>
  <c r="X30" s="1"/>
  <c r="N30"/>
  <c r="O30" s="1"/>
  <c r="F30"/>
  <c r="G30" s="1"/>
  <c r="AD29"/>
  <c r="AF29" s="1"/>
  <c r="V29"/>
  <c r="X29" s="1"/>
  <c r="N29"/>
  <c r="P29" s="1"/>
  <c r="F29"/>
  <c r="G29" s="1"/>
  <c r="AD28"/>
  <c r="AF28" s="1"/>
  <c r="V28"/>
  <c r="X28" s="1"/>
  <c r="N28"/>
  <c r="O28" s="1"/>
  <c r="F28"/>
  <c r="G28" s="1"/>
  <c r="AD27"/>
  <c r="AF27" s="1"/>
  <c r="V27"/>
  <c r="X27" s="1"/>
  <c r="O27"/>
  <c r="N27"/>
  <c r="P27" s="1"/>
  <c r="F27"/>
  <c r="H27" s="1"/>
  <c r="AD26"/>
  <c r="AF26" s="1"/>
  <c r="V26"/>
  <c r="X26" s="1"/>
  <c r="N26"/>
  <c r="O26" s="1"/>
  <c r="F26"/>
  <c r="G26" s="1"/>
  <c r="AD25"/>
  <c r="AF25" s="1"/>
  <c r="V25"/>
  <c r="X25" s="1"/>
  <c r="N25"/>
  <c r="O25" s="1"/>
  <c r="F25"/>
  <c r="H25" s="1"/>
  <c r="AD24"/>
  <c r="AF24" s="1"/>
  <c r="V24"/>
  <c r="X24" s="1"/>
  <c r="N24"/>
  <c r="O24" s="1"/>
  <c r="H24"/>
  <c r="F24"/>
  <c r="G24" s="1"/>
  <c r="AD23"/>
  <c r="AF23" s="1"/>
  <c r="V23"/>
  <c r="X23" s="1"/>
  <c r="N23"/>
  <c r="O23" s="1"/>
  <c r="F23"/>
  <c r="H23" s="1"/>
  <c r="AD22"/>
  <c r="AE22" s="1"/>
  <c r="V22"/>
  <c r="X22" s="1"/>
  <c r="N22"/>
  <c r="P22" s="1"/>
  <c r="F22"/>
  <c r="H22" s="1"/>
  <c r="AD21"/>
  <c r="AE21" s="1"/>
  <c r="V21"/>
  <c r="X21" s="1"/>
  <c r="N21"/>
  <c r="P21" s="1"/>
  <c r="F21"/>
  <c r="H21" s="1"/>
  <c r="AD20"/>
  <c r="AF20" s="1"/>
  <c r="V20"/>
  <c r="X20" s="1"/>
  <c r="N20"/>
  <c r="P20" s="1"/>
  <c r="F20"/>
  <c r="H20" s="1"/>
  <c r="AD19"/>
  <c r="AF19" s="1"/>
  <c r="V19"/>
  <c r="X19" s="1"/>
  <c r="N19"/>
  <c r="P19" s="1"/>
  <c r="H19"/>
  <c r="F19"/>
  <c r="G19" s="1"/>
  <c r="AD18"/>
  <c r="AF18" s="1"/>
  <c r="V18"/>
  <c r="X18" s="1"/>
  <c r="N18"/>
  <c r="O18" s="1"/>
  <c r="F18"/>
  <c r="G18" s="1"/>
  <c r="AD17"/>
  <c r="AF17" s="1"/>
  <c r="V17"/>
  <c r="X17" s="1"/>
  <c r="N17"/>
  <c r="P17" s="1"/>
  <c r="F17"/>
  <c r="G17" s="1"/>
  <c r="AD16"/>
  <c r="AE16" s="1"/>
  <c r="V16"/>
  <c r="X16" s="1"/>
  <c r="N16"/>
  <c r="P16" s="1"/>
  <c r="F16"/>
  <c r="H16" s="1"/>
  <c r="AD15"/>
  <c r="AF15" s="1"/>
  <c r="V15"/>
  <c r="X15" s="1"/>
  <c r="N15"/>
  <c r="O15" s="1"/>
  <c r="F15"/>
  <c r="H15" s="1"/>
  <c r="AD14"/>
  <c r="AF14" s="1"/>
  <c r="V14"/>
  <c r="X14" s="1"/>
  <c r="N14"/>
  <c r="P14" s="1"/>
  <c r="F14"/>
  <c r="H14" s="1"/>
  <c r="AD13"/>
  <c r="AF13" s="1"/>
  <c r="V13"/>
  <c r="X13" s="1"/>
  <c r="N13"/>
  <c r="O13" s="1"/>
  <c r="F13"/>
  <c r="H13" s="1"/>
  <c r="AD12"/>
  <c r="AF12" s="1"/>
  <c r="V12"/>
  <c r="X12" s="1"/>
  <c r="N12"/>
  <c r="O12" s="1"/>
  <c r="F12"/>
  <c r="G12" s="1"/>
  <c r="AD11"/>
  <c r="AF11" s="1"/>
  <c r="V11"/>
  <c r="X11" s="1"/>
  <c r="N11"/>
  <c r="O11" s="1"/>
  <c r="F11"/>
  <c r="G11" s="1"/>
  <c r="AD10"/>
  <c r="AF10" s="1"/>
  <c r="V10"/>
  <c r="X10" s="1"/>
  <c r="N10"/>
  <c r="O10" s="1"/>
  <c r="F10"/>
  <c r="G10" s="1"/>
  <c r="AD9"/>
  <c r="AF9" s="1"/>
  <c r="V9"/>
  <c r="X9" s="1"/>
  <c r="N9"/>
  <c r="O9" s="1"/>
  <c r="F9"/>
  <c r="H9" s="1"/>
  <c r="AD8"/>
  <c r="AE8" s="1"/>
  <c r="V8"/>
  <c r="X8" s="1"/>
  <c r="X40" s="1"/>
  <c r="T26" i="2" s="1"/>
  <c r="N8" i="13"/>
  <c r="O8" s="1"/>
  <c r="F8"/>
  <c r="H8" s="1"/>
  <c r="AD38" i="12"/>
  <c r="AF38" s="1"/>
  <c r="V38"/>
  <c r="X38" s="1"/>
  <c r="N38"/>
  <c r="O38" s="1"/>
  <c r="AD37"/>
  <c r="AF37" s="1"/>
  <c r="V37"/>
  <c r="X37" s="1"/>
  <c r="N37"/>
  <c r="O37" s="1"/>
  <c r="F37"/>
  <c r="G37" s="1"/>
  <c r="AE36"/>
  <c r="AD36"/>
  <c r="AF36" s="1"/>
  <c r="V36"/>
  <c r="X36" s="1"/>
  <c r="N36"/>
  <c r="O36" s="1"/>
  <c r="F36"/>
  <c r="G36" s="1"/>
  <c r="AD35"/>
  <c r="AF35" s="1"/>
  <c r="V35"/>
  <c r="X35" s="1"/>
  <c r="N35"/>
  <c r="O35" s="1"/>
  <c r="F35"/>
  <c r="G35" s="1"/>
  <c r="AD34"/>
  <c r="AF34" s="1"/>
  <c r="V34"/>
  <c r="X34" s="1"/>
  <c r="N34"/>
  <c r="O34" s="1"/>
  <c r="F34"/>
  <c r="G34" s="1"/>
  <c r="AD33"/>
  <c r="AF33" s="1"/>
  <c r="V33"/>
  <c r="X33" s="1"/>
  <c r="N33"/>
  <c r="O33" s="1"/>
  <c r="F33"/>
  <c r="G33" s="1"/>
  <c r="AD32"/>
  <c r="AF32" s="1"/>
  <c r="V32"/>
  <c r="X32" s="1"/>
  <c r="N32"/>
  <c r="O32" s="1"/>
  <c r="F32"/>
  <c r="G32" s="1"/>
  <c r="AD31"/>
  <c r="AF31" s="1"/>
  <c r="V31"/>
  <c r="X31" s="1"/>
  <c r="N31"/>
  <c r="O31" s="1"/>
  <c r="H31"/>
  <c r="G31"/>
  <c r="F31"/>
  <c r="AD30"/>
  <c r="AF30" s="1"/>
  <c r="V30"/>
  <c r="X30" s="1"/>
  <c r="N30"/>
  <c r="P30" s="1"/>
  <c r="F30"/>
  <c r="H30" s="1"/>
  <c r="AD29"/>
  <c r="AF29" s="1"/>
  <c r="V29"/>
  <c r="X29" s="1"/>
  <c r="N29"/>
  <c r="O29" s="1"/>
  <c r="F29"/>
  <c r="H29" s="1"/>
  <c r="AD28"/>
  <c r="AF28" s="1"/>
  <c r="V28"/>
  <c r="X28" s="1"/>
  <c r="N28"/>
  <c r="O28" s="1"/>
  <c r="F28"/>
  <c r="G28" s="1"/>
  <c r="AE27"/>
  <c r="AD27"/>
  <c r="AF27" s="1"/>
  <c r="V27"/>
  <c r="X27" s="1"/>
  <c r="N27"/>
  <c r="O27" s="1"/>
  <c r="G27"/>
  <c r="F27"/>
  <c r="H27" s="1"/>
  <c r="AD26"/>
  <c r="AF26" s="1"/>
  <c r="V26"/>
  <c r="X26" s="1"/>
  <c r="N26"/>
  <c r="O26" s="1"/>
  <c r="F26"/>
  <c r="G26" s="1"/>
  <c r="AD25"/>
  <c r="AF25" s="1"/>
  <c r="V25"/>
  <c r="X25" s="1"/>
  <c r="N25"/>
  <c r="O25" s="1"/>
  <c r="F25"/>
  <c r="G25" s="1"/>
  <c r="AD24"/>
  <c r="AF24" s="1"/>
  <c r="V24"/>
  <c r="X24" s="1"/>
  <c r="N24"/>
  <c r="P24" s="1"/>
  <c r="F24"/>
  <c r="H24" s="1"/>
  <c r="AD23"/>
  <c r="AF23" s="1"/>
  <c r="V23"/>
  <c r="X23" s="1"/>
  <c r="N23"/>
  <c r="P23" s="1"/>
  <c r="F23"/>
  <c r="G23" s="1"/>
  <c r="AD22"/>
  <c r="AF22" s="1"/>
  <c r="V22"/>
  <c r="X22" s="1"/>
  <c r="N22"/>
  <c r="P22" s="1"/>
  <c r="F22"/>
  <c r="H22" s="1"/>
  <c r="AD21"/>
  <c r="AF21" s="1"/>
  <c r="V21"/>
  <c r="X21" s="1"/>
  <c r="N21"/>
  <c r="P21" s="1"/>
  <c r="F21"/>
  <c r="G21" s="1"/>
  <c r="AD20"/>
  <c r="AF20" s="1"/>
  <c r="V20"/>
  <c r="X20" s="1"/>
  <c r="N20"/>
  <c r="P20" s="1"/>
  <c r="F20"/>
  <c r="G20" s="1"/>
  <c r="AD19"/>
  <c r="AF19" s="1"/>
  <c r="V19"/>
  <c r="X19" s="1"/>
  <c r="N19"/>
  <c r="O19" s="1"/>
  <c r="F19"/>
  <c r="H19" s="1"/>
  <c r="AD18"/>
  <c r="AF18" s="1"/>
  <c r="V18"/>
  <c r="X18" s="1"/>
  <c r="N18"/>
  <c r="O18" s="1"/>
  <c r="F18"/>
  <c r="G18" s="1"/>
  <c r="AD17"/>
  <c r="AF17" s="1"/>
  <c r="V17"/>
  <c r="X17" s="1"/>
  <c r="N17"/>
  <c r="O17" s="1"/>
  <c r="F17"/>
  <c r="G17" s="1"/>
  <c r="AD16"/>
  <c r="AF16" s="1"/>
  <c r="V16"/>
  <c r="X16" s="1"/>
  <c r="N16"/>
  <c r="O16" s="1"/>
  <c r="F16"/>
  <c r="G16" s="1"/>
  <c r="AD15"/>
  <c r="AF15" s="1"/>
  <c r="V15"/>
  <c r="X15" s="1"/>
  <c r="N15"/>
  <c r="O15" s="1"/>
  <c r="F15"/>
  <c r="G15" s="1"/>
  <c r="AD14"/>
  <c r="AF14" s="1"/>
  <c r="V14"/>
  <c r="X14" s="1"/>
  <c r="N14"/>
  <c r="O14" s="1"/>
  <c r="F14"/>
  <c r="G14" s="1"/>
  <c r="AE13"/>
  <c r="AD13"/>
  <c r="AF13" s="1"/>
  <c r="V13"/>
  <c r="X13" s="1"/>
  <c r="N13"/>
  <c r="O13" s="1"/>
  <c r="F13"/>
  <c r="G13" s="1"/>
  <c r="AD12"/>
  <c r="AF12" s="1"/>
  <c r="V12"/>
  <c r="X12" s="1"/>
  <c r="N12"/>
  <c r="O12" s="1"/>
  <c r="F12"/>
  <c r="G12" s="1"/>
  <c r="AD11"/>
  <c r="AF11" s="1"/>
  <c r="V11"/>
  <c r="X11" s="1"/>
  <c r="N11"/>
  <c r="O11" s="1"/>
  <c r="F11"/>
  <c r="G11" s="1"/>
  <c r="AD10"/>
  <c r="AE10" s="1"/>
  <c r="V10"/>
  <c r="X10" s="1"/>
  <c r="N10"/>
  <c r="O10" s="1"/>
  <c r="F10"/>
  <c r="G10" s="1"/>
  <c r="AD9"/>
  <c r="AE9" s="1"/>
  <c r="V9"/>
  <c r="X9" s="1"/>
  <c r="N9"/>
  <c r="O9" s="1"/>
  <c r="F9"/>
  <c r="G9" s="1"/>
  <c r="AD8"/>
  <c r="AE8" s="1"/>
  <c r="V8"/>
  <c r="X8" s="1"/>
  <c r="N8"/>
  <c r="O8" s="1"/>
  <c r="F8"/>
  <c r="G8" s="1"/>
  <c r="AD38" i="11"/>
  <c r="AE38" s="1"/>
  <c r="V38"/>
  <c r="X38" s="1"/>
  <c r="N38"/>
  <c r="O38" s="1"/>
  <c r="F38"/>
  <c r="G38" s="1"/>
  <c r="AD37"/>
  <c r="AE37" s="1"/>
  <c r="V37"/>
  <c r="X37" s="1"/>
  <c r="N37"/>
  <c r="O37" s="1"/>
  <c r="F37"/>
  <c r="G37" s="1"/>
  <c r="AD36"/>
  <c r="AE36" s="1"/>
  <c r="V36"/>
  <c r="X36" s="1"/>
  <c r="N36"/>
  <c r="O36" s="1"/>
  <c r="F36"/>
  <c r="G36" s="1"/>
  <c r="AD35"/>
  <c r="AE35" s="1"/>
  <c r="V35"/>
  <c r="X35" s="1"/>
  <c r="N35"/>
  <c r="O35" s="1"/>
  <c r="F35"/>
  <c r="G35" s="1"/>
  <c r="AD34"/>
  <c r="AE34" s="1"/>
  <c r="V34"/>
  <c r="X34" s="1"/>
  <c r="N34"/>
  <c r="O34" s="1"/>
  <c r="F34"/>
  <c r="G34" s="1"/>
  <c r="AD33"/>
  <c r="AE33" s="1"/>
  <c r="V33"/>
  <c r="X33" s="1"/>
  <c r="N33"/>
  <c r="O33" s="1"/>
  <c r="F33"/>
  <c r="G33" s="1"/>
  <c r="AD32"/>
  <c r="AE32" s="1"/>
  <c r="V32"/>
  <c r="X32" s="1"/>
  <c r="N32"/>
  <c r="O32" s="1"/>
  <c r="F32"/>
  <c r="G32" s="1"/>
  <c r="AD31"/>
  <c r="AE31" s="1"/>
  <c r="V31"/>
  <c r="X31" s="1"/>
  <c r="N31"/>
  <c r="O31" s="1"/>
  <c r="F31"/>
  <c r="G31" s="1"/>
  <c r="AD30"/>
  <c r="AE30" s="1"/>
  <c r="V30"/>
  <c r="X30" s="1"/>
  <c r="N30"/>
  <c r="O30" s="1"/>
  <c r="F30"/>
  <c r="G30" s="1"/>
  <c r="AD29"/>
  <c r="AE29" s="1"/>
  <c r="V29"/>
  <c r="X29" s="1"/>
  <c r="N29"/>
  <c r="O29" s="1"/>
  <c r="F29"/>
  <c r="G29" s="1"/>
  <c r="AD28"/>
  <c r="AE28" s="1"/>
  <c r="V28"/>
  <c r="X28" s="1"/>
  <c r="N28"/>
  <c r="O28" s="1"/>
  <c r="F28"/>
  <c r="G28" s="1"/>
  <c r="AD27"/>
  <c r="AE27" s="1"/>
  <c r="V27"/>
  <c r="X27" s="1"/>
  <c r="N27"/>
  <c r="O27" s="1"/>
  <c r="F27"/>
  <c r="G27" s="1"/>
  <c r="AD26"/>
  <c r="AE26" s="1"/>
  <c r="V26"/>
  <c r="X26" s="1"/>
  <c r="P26"/>
  <c r="N26"/>
  <c r="O26" s="1"/>
  <c r="F26"/>
  <c r="H26" s="1"/>
  <c r="AD25"/>
  <c r="AE25" s="1"/>
  <c r="V25"/>
  <c r="X25" s="1"/>
  <c r="N25"/>
  <c r="O25" s="1"/>
  <c r="F25"/>
  <c r="G25" s="1"/>
  <c r="AD24"/>
  <c r="AE24" s="1"/>
  <c r="V24"/>
  <c r="X24" s="1"/>
  <c r="N24"/>
  <c r="O24" s="1"/>
  <c r="F24"/>
  <c r="H24" s="1"/>
  <c r="AD23"/>
  <c r="AE23" s="1"/>
  <c r="V23"/>
  <c r="X23" s="1"/>
  <c r="N23"/>
  <c r="P23" s="1"/>
  <c r="F23"/>
  <c r="H23" s="1"/>
  <c r="AD22"/>
  <c r="AE22" s="1"/>
  <c r="V22"/>
  <c r="X22" s="1"/>
  <c r="N22"/>
  <c r="O22" s="1"/>
  <c r="G22"/>
  <c r="F22"/>
  <c r="H22" s="1"/>
  <c r="AD21"/>
  <c r="AE21" s="1"/>
  <c r="V21"/>
  <c r="X21" s="1"/>
  <c r="N21"/>
  <c r="O21" s="1"/>
  <c r="F21"/>
  <c r="H21" s="1"/>
  <c r="AD20"/>
  <c r="AE20" s="1"/>
  <c r="V20"/>
  <c r="X20" s="1"/>
  <c r="N20"/>
  <c r="O20" s="1"/>
  <c r="F20"/>
  <c r="H20" s="1"/>
  <c r="AD19"/>
  <c r="AE19" s="1"/>
  <c r="V19"/>
  <c r="X19" s="1"/>
  <c r="N19"/>
  <c r="O19" s="1"/>
  <c r="F19"/>
  <c r="G19" s="1"/>
  <c r="AD18"/>
  <c r="AE18" s="1"/>
  <c r="V18"/>
  <c r="X18" s="1"/>
  <c r="N18"/>
  <c r="O18" s="1"/>
  <c r="F18"/>
  <c r="H18" s="1"/>
  <c r="AD17"/>
  <c r="AE17" s="1"/>
  <c r="V17"/>
  <c r="X17" s="1"/>
  <c r="N17"/>
  <c r="O17" s="1"/>
  <c r="F17"/>
  <c r="G17" s="1"/>
  <c r="AD16"/>
  <c r="AE16" s="1"/>
  <c r="V16"/>
  <c r="X16" s="1"/>
  <c r="N16"/>
  <c r="O16" s="1"/>
  <c r="F16"/>
  <c r="G16" s="1"/>
  <c r="AD15"/>
  <c r="AE15" s="1"/>
  <c r="V15"/>
  <c r="X15" s="1"/>
  <c r="N15"/>
  <c r="O15" s="1"/>
  <c r="F15"/>
  <c r="G15" s="1"/>
  <c r="AD14"/>
  <c r="AE14" s="1"/>
  <c r="V14"/>
  <c r="X14" s="1"/>
  <c r="N14"/>
  <c r="O14" s="1"/>
  <c r="F14"/>
  <c r="G14" s="1"/>
  <c r="AD13"/>
  <c r="AE13" s="1"/>
  <c r="V13"/>
  <c r="X13" s="1"/>
  <c r="N13"/>
  <c r="O13" s="1"/>
  <c r="F13"/>
  <c r="G13" s="1"/>
  <c r="AD12"/>
  <c r="AE12" s="1"/>
  <c r="V12"/>
  <c r="X12" s="1"/>
  <c r="N12"/>
  <c r="O12" s="1"/>
  <c r="F12"/>
  <c r="G12" s="1"/>
  <c r="AD11"/>
  <c r="AE11" s="1"/>
  <c r="V11"/>
  <c r="X11" s="1"/>
  <c r="N11"/>
  <c r="O11" s="1"/>
  <c r="F11"/>
  <c r="H11" s="1"/>
  <c r="AD10"/>
  <c r="AE10" s="1"/>
  <c r="V10"/>
  <c r="W10" s="1"/>
  <c r="N10"/>
  <c r="O10" s="1"/>
  <c r="F10"/>
  <c r="G10" s="1"/>
  <c r="AD9"/>
  <c r="AE9" s="1"/>
  <c r="V9"/>
  <c r="W9" s="1"/>
  <c r="N9"/>
  <c r="P9" s="1"/>
  <c r="F9"/>
  <c r="G9" s="1"/>
  <c r="AD8"/>
  <c r="AE8" s="1"/>
  <c r="V8"/>
  <c r="W8" s="1"/>
  <c r="N8"/>
  <c r="O8" s="1"/>
  <c r="F8"/>
  <c r="G8" s="1"/>
  <c r="AD38" i="10"/>
  <c r="AE38" s="1"/>
  <c r="V38"/>
  <c r="X38" s="1"/>
  <c r="N38"/>
  <c r="O38" s="1"/>
  <c r="F38"/>
  <c r="G38" s="1"/>
  <c r="AD37"/>
  <c r="AE37" s="1"/>
  <c r="V37"/>
  <c r="X37" s="1"/>
  <c r="N37"/>
  <c r="O37" s="1"/>
  <c r="F37"/>
  <c r="G37" s="1"/>
  <c r="AD36"/>
  <c r="AE36" s="1"/>
  <c r="V36"/>
  <c r="X36" s="1"/>
  <c r="N36"/>
  <c r="O36" s="1"/>
  <c r="F36"/>
  <c r="G36" s="1"/>
  <c r="AD35"/>
  <c r="AE35" s="1"/>
  <c r="V35"/>
  <c r="X35" s="1"/>
  <c r="N35"/>
  <c r="O35" s="1"/>
  <c r="F35"/>
  <c r="G35" s="1"/>
  <c r="AD34"/>
  <c r="AE34" s="1"/>
  <c r="V34"/>
  <c r="X34" s="1"/>
  <c r="N34"/>
  <c r="O34" s="1"/>
  <c r="F34"/>
  <c r="G34" s="1"/>
  <c r="AD33"/>
  <c r="AE33" s="1"/>
  <c r="V33"/>
  <c r="X33" s="1"/>
  <c r="N33"/>
  <c r="O33" s="1"/>
  <c r="F33"/>
  <c r="G33" s="1"/>
  <c r="AD32"/>
  <c r="AE32" s="1"/>
  <c r="V32"/>
  <c r="X32" s="1"/>
  <c r="N32"/>
  <c r="O32" s="1"/>
  <c r="F32"/>
  <c r="G32" s="1"/>
  <c r="AD31"/>
  <c r="AE31" s="1"/>
  <c r="W31"/>
  <c r="V31"/>
  <c r="X31" s="1"/>
  <c r="N31"/>
  <c r="O31" s="1"/>
  <c r="F31"/>
  <c r="G31" s="1"/>
  <c r="AD30"/>
  <c r="AE30" s="1"/>
  <c r="V30"/>
  <c r="X30" s="1"/>
  <c r="N30"/>
  <c r="O30" s="1"/>
  <c r="F30"/>
  <c r="G30" s="1"/>
  <c r="AD29"/>
  <c r="AE29" s="1"/>
  <c r="V29"/>
  <c r="X29" s="1"/>
  <c r="N29"/>
  <c r="O29" s="1"/>
  <c r="F29"/>
  <c r="G29" s="1"/>
  <c r="AD28"/>
  <c r="AE28" s="1"/>
  <c r="V28"/>
  <c r="X28" s="1"/>
  <c r="N28"/>
  <c r="O28" s="1"/>
  <c r="F28"/>
  <c r="G28" s="1"/>
  <c r="AD27"/>
  <c r="AE27" s="1"/>
  <c r="V27"/>
  <c r="X27" s="1"/>
  <c r="N27"/>
  <c r="O27" s="1"/>
  <c r="F27"/>
  <c r="G27" s="1"/>
  <c r="AD26"/>
  <c r="AF26" s="1"/>
  <c r="V26"/>
  <c r="X26" s="1"/>
  <c r="N26"/>
  <c r="O26" s="1"/>
  <c r="F26"/>
  <c r="G26" s="1"/>
  <c r="AD25"/>
  <c r="AE25" s="1"/>
  <c r="W25"/>
  <c r="V25"/>
  <c r="X25" s="1"/>
  <c r="N25"/>
  <c r="O25" s="1"/>
  <c r="F25"/>
  <c r="G25" s="1"/>
  <c r="AD24"/>
  <c r="AE24" s="1"/>
  <c r="V24"/>
  <c r="X24" s="1"/>
  <c r="N24"/>
  <c r="O24" s="1"/>
  <c r="F24"/>
  <c r="G24" s="1"/>
  <c r="AD23"/>
  <c r="AE23" s="1"/>
  <c r="V23"/>
  <c r="X23" s="1"/>
  <c r="N23"/>
  <c r="O23" s="1"/>
  <c r="F23"/>
  <c r="G23" s="1"/>
  <c r="AD22"/>
  <c r="AE22" s="1"/>
  <c r="V22"/>
  <c r="X22" s="1"/>
  <c r="N22"/>
  <c r="O22" s="1"/>
  <c r="F22"/>
  <c r="G22" s="1"/>
  <c r="AD21"/>
  <c r="AE21" s="1"/>
  <c r="V21"/>
  <c r="X21" s="1"/>
  <c r="N21"/>
  <c r="O21" s="1"/>
  <c r="F21"/>
  <c r="G21" s="1"/>
  <c r="AD20"/>
  <c r="AF20" s="1"/>
  <c r="V20"/>
  <c r="X20" s="1"/>
  <c r="N20"/>
  <c r="O20" s="1"/>
  <c r="F20"/>
  <c r="G20" s="1"/>
  <c r="AD19"/>
  <c r="AF19" s="1"/>
  <c r="V19"/>
  <c r="X19" s="1"/>
  <c r="N19"/>
  <c r="O19" s="1"/>
  <c r="F19"/>
  <c r="G19" s="1"/>
  <c r="AD18"/>
  <c r="AF18" s="1"/>
  <c r="V18"/>
  <c r="X18" s="1"/>
  <c r="N18"/>
  <c r="O18" s="1"/>
  <c r="F18"/>
  <c r="G18" s="1"/>
  <c r="AD17"/>
  <c r="AE17" s="1"/>
  <c r="V17"/>
  <c r="X17" s="1"/>
  <c r="N17"/>
  <c r="O17" s="1"/>
  <c r="F17"/>
  <c r="G17" s="1"/>
  <c r="AD16"/>
  <c r="AF16" s="1"/>
  <c r="V16"/>
  <c r="X16" s="1"/>
  <c r="N16"/>
  <c r="O16" s="1"/>
  <c r="F16"/>
  <c r="G16" s="1"/>
  <c r="AF15"/>
  <c r="AE15"/>
  <c r="AD15"/>
  <c r="V15"/>
  <c r="X15" s="1"/>
  <c r="N15"/>
  <c r="O15" s="1"/>
  <c r="F15"/>
  <c r="G15" s="1"/>
  <c r="AD14"/>
  <c r="AE14" s="1"/>
  <c r="V14"/>
  <c r="X14" s="1"/>
  <c r="N14"/>
  <c r="O14" s="1"/>
  <c r="F14"/>
  <c r="G14" s="1"/>
  <c r="AD13"/>
  <c r="AE13" s="1"/>
  <c r="V13"/>
  <c r="X13" s="1"/>
  <c r="N13"/>
  <c r="O13" s="1"/>
  <c r="F13"/>
  <c r="G13" s="1"/>
  <c r="AD12"/>
  <c r="AE12" s="1"/>
  <c r="V12"/>
  <c r="X12" s="1"/>
  <c r="N12"/>
  <c r="O12" s="1"/>
  <c r="F12"/>
  <c r="G12" s="1"/>
  <c r="AD11"/>
  <c r="AE11" s="1"/>
  <c r="V11"/>
  <c r="X11" s="1"/>
  <c r="N11"/>
  <c r="O11" s="1"/>
  <c r="F11"/>
  <c r="G11" s="1"/>
  <c r="AD10"/>
  <c r="AE10" s="1"/>
  <c r="V10"/>
  <c r="X10" s="1"/>
  <c r="N10"/>
  <c r="O10" s="1"/>
  <c r="F10"/>
  <c r="G10" s="1"/>
  <c r="AD9"/>
  <c r="AE9" s="1"/>
  <c r="V9"/>
  <c r="X9" s="1"/>
  <c r="N9"/>
  <c r="O9" s="1"/>
  <c r="F9"/>
  <c r="G9" s="1"/>
  <c r="AD8"/>
  <c r="AE8" s="1"/>
  <c r="V8"/>
  <c r="X8" s="1"/>
  <c r="N8"/>
  <c r="O8" s="1"/>
  <c r="F8"/>
  <c r="G8" s="1"/>
  <c r="F37" i="9"/>
  <c r="G37" s="1"/>
  <c r="F38"/>
  <c r="H38" s="1"/>
  <c r="F37" i="8"/>
  <c r="H37" s="1"/>
  <c r="F38"/>
  <c r="G38" s="1"/>
  <c r="F10" i="7"/>
  <c r="F9"/>
  <c r="F8"/>
  <c r="F37"/>
  <c r="G37" s="1"/>
  <c r="AE38" i="9"/>
  <c r="V38"/>
  <c r="X38" s="1"/>
  <c r="N38"/>
  <c r="P38" s="1"/>
  <c r="AE37"/>
  <c r="V37"/>
  <c r="X37" s="1"/>
  <c r="N37"/>
  <c r="P37" s="1"/>
  <c r="AD36"/>
  <c r="AE36" s="1"/>
  <c r="X36"/>
  <c r="W36"/>
  <c r="N36"/>
  <c r="P36" s="1"/>
  <c r="F36"/>
  <c r="H36" s="1"/>
  <c r="AD35"/>
  <c r="AE35" s="1"/>
  <c r="X35"/>
  <c r="W35"/>
  <c r="N35"/>
  <c r="P35" s="1"/>
  <c r="F35"/>
  <c r="H35" s="1"/>
  <c r="AF34"/>
  <c r="AE34"/>
  <c r="AD34"/>
  <c r="X34"/>
  <c r="W34"/>
  <c r="O34"/>
  <c r="N34"/>
  <c r="P34" s="1"/>
  <c r="F34"/>
  <c r="H34" s="1"/>
  <c r="AD33"/>
  <c r="AF33" s="1"/>
  <c r="X33"/>
  <c r="W33"/>
  <c r="N33"/>
  <c r="P33" s="1"/>
  <c r="F33"/>
  <c r="H33" s="1"/>
  <c r="AD32"/>
  <c r="AE32" s="1"/>
  <c r="W32"/>
  <c r="N32"/>
  <c r="P32" s="1"/>
  <c r="F32"/>
  <c r="H32" s="1"/>
  <c r="AD31"/>
  <c r="AE31" s="1"/>
  <c r="X31"/>
  <c r="N31"/>
  <c r="P31" s="1"/>
  <c r="F31"/>
  <c r="H31" s="1"/>
  <c r="AD30"/>
  <c r="AE30" s="1"/>
  <c r="W30"/>
  <c r="O30"/>
  <c r="N30"/>
  <c r="P30" s="1"/>
  <c r="F30"/>
  <c r="H30" s="1"/>
  <c r="AD29"/>
  <c r="AF29" s="1"/>
  <c r="W29"/>
  <c r="N29"/>
  <c r="P29" s="1"/>
  <c r="F29"/>
  <c r="H29" s="1"/>
  <c r="AD28"/>
  <c r="AE28" s="1"/>
  <c r="X28"/>
  <c r="W28"/>
  <c r="V28"/>
  <c r="N28"/>
  <c r="P28" s="1"/>
  <c r="F28"/>
  <c r="H28" s="1"/>
  <c r="AD27"/>
  <c r="AE27" s="1"/>
  <c r="V27"/>
  <c r="W27" s="1"/>
  <c r="O27"/>
  <c r="N27"/>
  <c r="P27" s="1"/>
  <c r="F27"/>
  <c r="H27" s="1"/>
  <c r="AE26"/>
  <c r="AD26"/>
  <c r="AF26" s="1"/>
  <c r="V26"/>
  <c r="W26" s="1"/>
  <c r="N26"/>
  <c r="P26" s="1"/>
  <c r="F26"/>
  <c r="H26" s="1"/>
  <c r="AD25"/>
  <c r="AE25" s="1"/>
  <c r="W25"/>
  <c r="V25"/>
  <c r="X25" s="1"/>
  <c r="N25"/>
  <c r="P25" s="1"/>
  <c r="F25"/>
  <c r="H25" s="1"/>
  <c r="AF24"/>
  <c r="AD24"/>
  <c r="AE24" s="1"/>
  <c r="X24"/>
  <c r="W24"/>
  <c r="V24"/>
  <c r="N24"/>
  <c r="P24" s="1"/>
  <c r="F24"/>
  <c r="H24" s="1"/>
  <c r="AD23"/>
  <c r="AE23" s="1"/>
  <c r="V23"/>
  <c r="W23" s="1"/>
  <c r="O23"/>
  <c r="N23"/>
  <c r="P23" s="1"/>
  <c r="F23"/>
  <c r="H23" s="1"/>
  <c r="AD22"/>
  <c r="AF22" s="1"/>
  <c r="V22"/>
  <c r="W22" s="1"/>
  <c r="N22"/>
  <c r="P22" s="1"/>
  <c r="F22"/>
  <c r="H22" s="1"/>
  <c r="AD21"/>
  <c r="AE21" s="1"/>
  <c r="X21"/>
  <c r="W21"/>
  <c r="V21"/>
  <c r="N21"/>
  <c r="P21" s="1"/>
  <c r="F21"/>
  <c r="H21" s="1"/>
  <c r="AD20"/>
  <c r="AF20" s="1"/>
  <c r="V20"/>
  <c r="W20" s="1"/>
  <c r="O20"/>
  <c r="N20"/>
  <c r="P20" s="1"/>
  <c r="F20"/>
  <c r="H20" s="1"/>
  <c r="AE19"/>
  <c r="AD19"/>
  <c r="AF19" s="1"/>
  <c r="V19"/>
  <c r="X19" s="1"/>
  <c r="N19"/>
  <c r="P19" s="1"/>
  <c r="F19"/>
  <c r="H19" s="1"/>
  <c r="AD18"/>
  <c r="AE18" s="1"/>
  <c r="X18"/>
  <c r="W18"/>
  <c r="V18"/>
  <c r="N18"/>
  <c r="P18" s="1"/>
  <c r="F18"/>
  <c r="H18" s="1"/>
  <c r="AD17"/>
  <c r="AE17" s="1"/>
  <c r="W17"/>
  <c r="V17"/>
  <c r="X17" s="1"/>
  <c r="N17"/>
  <c r="P17" s="1"/>
  <c r="F17"/>
  <c r="H17" s="1"/>
  <c r="AD16"/>
  <c r="AF16" s="1"/>
  <c r="V16"/>
  <c r="W16" s="1"/>
  <c r="N16"/>
  <c r="O16" s="1"/>
  <c r="F16"/>
  <c r="H16" s="1"/>
  <c r="AD15"/>
  <c r="AF15" s="1"/>
  <c r="V15"/>
  <c r="W15" s="1"/>
  <c r="O15"/>
  <c r="N15"/>
  <c r="P15" s="1"/>
  <c r="F15"/>
  <c r="H15" s="1"/>
  <c r="AF14"/>
  <c r="AE14"/>
  <c r="AD14"/>
  <c r="V14"/>
  <c r="X14" s="1"/>
  <c r="O14"/>
  <c r="N14"/>
  <c r="P14" s="1"/>
  <c r="F14"/>
  <c r="H14" s="1"/>
  <c r="AF13"/>
  <c r="AE13"/>
  <c r="AD13"/>
  <c r="V13"/>
  <c r="X13" s="1"/>
  <c r="N13"/>
  <c r="P13" s="1"/>
  <c r="F13"/>
  <c r="H13" s="1"/>
  <c r="AD12"/>
  <c r="AE12" s="1"/>
  <c r="V12"/>
  <c r="W12" s="1"/>
  <c r="O12"/>
  <c r="N12"/>
  <c r="P12" s="1"/>
  <c r="F12"/>
  <c r="H12" s="1"/>
  <c r="AE11"/>
  <c r="AD11"/>
  <c r="AF11" s="1"/>
  <c r="W11"/>
  <c r="V11"/>
  <c r="X11" s="1"/>
  <c r="N11"/>
  <c r="P11" s="1"/>
  <c r="F11"/>
  <c r="H11" s="1"/>
  <c r="AD10"/>
  <c r="AE10" s="1"/>
  <c r="V10"/>
  <c r="W10" s="1"/>
  <c r="N10"/>
  <c r="P10" s="1"/>
  <c r="F10"/>
  <c r="H10" s="1"/>
  <c r="AD9"/>
  <c r="AE9" s="1"/>
  <c r="V9"/>
  <c r="X9" s="1"/>
  <c r="N9"/>
  <c r="P9" s="1"/>
  <c r="F9"/>
  <c r="H9" s="1"/>
  <c r="AD8"/>
  <c r="AE8" s="1"/>
  <c r="V8"/>
  <c r="X8" s="1"/>
  <c r="O8"/>
  <c r="N8"/>
  <c r="P8" s="1"/>
  <c r="F8"/>
  <c r="H8" s="1"/>
  <c r="AD38" i="8"/>
  <c r="AF38" s="1"/>
  <c r="V38"/>
  <c r="X38" s="1"/>
  <c r="N38"/>
  <c r="O38" s="1"/>
  <c r="AF37"/>
  <c r="AD37"/>
  <c r="AE37" s="1"/>
  <c r="W37"/>
  <c r="V37"/>
  <c r="X37" s="1"/>
  <c r="N37"/>
  <c r="P37" s="1"/>
  <c r="AD36"/>
  <c r="AE36" s="1"/>
  <c r="X36"/>
  <c r="V36"/>
  <c r="W36" s="1"/>
  <c r="N36"/>
  <c r="O36" s="1"/>
  <c r="F36"/>
  <c r="H36" s="1"/>
  <c r="AD35"/>
  <c r="AE35" s="1"/>
  <c r="V35"/>
  <c r="W35" s="1"/>
  <c r="P35"/>
  <c r="O35"/>
  <c r="N35"/>
  <c r="F35"/>
  <c r="H35" s="1"/>
  <c r="AD34"/>
  <c r="AE34" s="1"/>
  <c r="X34"/>
  <c r="V34"/>
  <c r="W34" s="1"/>
  <c r="O34"/>
  <c r="N34"/>
  <c r="P34" s="1"/>
  <c r="F34"/>
  <c r="H34" s="1"/>
  <c r="AD33"/>
  <c r="AE33" s="1"/>
  <c r="X33"/>
  <c r="V33"/>
  <c r="W33" s="1"/>
  <c r="N33"/>
  <c r="P33" s="1"/>
  <c r="F33"/>
  <c r="H33" s="1"/>
  <c r="AD32"/>
  <c r="AE32" s="1"/>
  <c r="V32"/>
  <c r="W32" s="1"/>
  <c r="N32"/>
  <c r="O32" s="1"/>
  <c r="F32"/>
  <c r="H32" s="1"/>
  <c r="AD31"/>
  <c r="AE31" s="1"/>
  <c r="V31"/>
  <c r="W31" s="1"/>
  <c r="N31"/>
  <c r="O31" s="1"/>
  <c r="F31"/>
  <c r="H31" s="1"/>
  <c r="AD30"/>
  <c r="AE30" s="1"/>
  <c r="V30"/>
  <c r="W30" s="1"/>
  <c r="N30"/>
  <c r="P30" s="1"/>
  <c r="F30"/>
  <c r="H30" s="1"/>
  <c r="AD29"/>
  <c r="AE29" s="1"/>
  <c r="V29"/>
  <c r="W29" s="1"/>
  <c r="O29"/>
  <c r="N29"/>
  <c r="P29" s="1"/>
  <c r="F29"/>
  <c r="H29" s="1"/>
  <c r="AD28"/>
  <c r="AE28" s="1"/>
  <c r="V28"/>
  <c r="W28" s="1"/>
  <c r="N28"/>
  <c r="O28" s="1"/>
  <c r="F28"/>
  <c r="H28" s="1"/>
  <c r="AD27"/>
  <c r="AE27" s="1"/>
  <c r="V27"/>
  <c r="W27" s="1"/>
  <c r="N27"/>
  <c r="O27" s="1"/>
  <c r="F27"/>
  <c r="H27" s="1"/>
  <c r="AD26"/>
  <c r="AE26" s="1"/>
  <c r="V26"/>
  <c r="W26" s="1"/>
  <c r="P26"/>
  <c r="N26"/>
  <c r="O26" s="1"/>
  <c r="F26"/>
  <c r="H26" s="1"/>
  <c r="AD25"/>
  <c r="AE25" s="1"/>
  <c r="V25"/>
  <c r="W25" s="1"/>
  <c r="N25"/>
  <c r="P25" s="1"/>
  <c r="F25"/>
  <c r="H25" s="1"/>
  <c r="AD24"/>
  <c r="AE24" s="1"/>
  <c r="V24"/>
  <c r="W24" s="1"/>
  <c r="N24"/>
  <c r="O24" s="1"/>
  <c r="F24"/>
  <c r="H24" s="1"/>
  <c r="AD23"/>
  <c r="AE23" s="1"/>
  <c r="V23"/>
  <c r="W23" s="1"/>
  <c r="N23"/>
  <c r="O23" s="1"/>
  <c r="F23"/>
  <c r="H23" s="1"/>
  <c r="AD22"/>
  <c r="AE22" s="1"/>
  <c r="V22"/>
  <c r="W22" s="1"/>
  <c r="N22"/>
  <c r="P22" s="1"/>
  <c r="F22"/>
  <c r="H22" s="1"/>
  <c r="AD21"/>
  <c r="AE21" s="1"/>
  <c r="V21"/>
  <c r="W21" s="1"/>
  <c r="O21"/>
  <c r="N21"/>
  <c r="P21" s="1"/>
  <c r="F21"/>
  <c r="H21" s="1"/>
  <c r="AD20"/>
  <c r="AE20" s="1"/>
  <c r="V20"/>
  <c r="W20" s="1"/>
  <c r="N20"/>
  <c r="P20" s="1"/>
  <c r="F20"/>
  <c r="H20" s="1"/>
  <c r="AD19"/>
  <c r="AE19" s="1"/>
  <c r="V19"/>
  <c r="W19" s="1"/>
  <c r="N19"/>
  <c r="P19" s="1"/>
  <c r="F19"/>
  <c r="H19" s="1"/>
  <c r="AD18"/>
  <c r="AE18" s="1"/>
  <c r="V18"/>
  <c r="W18" s="1"/>
  <c r="N18"/>
  <c r="P18" s="1"/>
  <c r="F18"/>
  <c r="H18" s="1"/>
  <c r="AF17"/>
  <c r="AE17"/>
  <c r="AD17"/>
  <c r="V17"/>
  <c r="X17" s="1"/>
  <c r="N17"/>
  <c r="P17" s="1"/>
  <c r="F17"/>
  <c r="H17" s="1"/>
  <c r="AD16"/>
  <c r="AE16" s="1"/>
  <c r="X16"/>
  <c r="V16"/>
  <c r="W16" s="1"/>
  <c r="N16"/>
  <c r="P16" s="1"/>
  <c r="F16"/>
  <c r="H16" s="1"/>
  <c r="AD15"/>
  <c r="AE15" s="1"/>
  <c r="V15"/>
  <c r="X15" s="1"/>
  <c r="N15"/>
  <c r="P15" s="1"/>
  <c r="F15"/>
  <c r="H15" s="1"/>
  <c r="AD14"/>
  <c r="AE14" s="1"/>
  <c r="V14"/>
  <c r="X14" s="1"/>
  <c r="N14"/>
  <c r="P14" s="1"/>
  <c r="F14"/>
  <c r="H14" s="1"/>
  <c r="AD13"/>
  <c r="AE13" s="1"/>
  <c r="V13"/>
  <c r="W13" s="1"/>
  <c r="N13"/>
  <c r="P13" s="1"/>
  <c r="F13"/>
  <c r="H13" s="1"/>
  <c r="AD12"/>
  <c r="AE12" s="1"/>
  <c r="V12"/>
  <c r="W12" s="1"/>
  <c r="N12"/>
  <c r="P12" s="1"/>
  <c r="F12"/>
  <c r="H12" s="1"/>
  <c r="AD11"/>
  <c r="AF11" s="1"/>
  <c r="V11"/>
  <c r="W11" s="1"/>
  <c r="N11"/>
  <c r="P11" s="1"/>
  <c r="F11"/>
  <c r="H11" s="1"/>
  <c r="AD10"/>
  <c r="AE10" s="1"/>
  <c r="V10"/>
  <c r="W10" s="1"/>
  <c r="N10"/>
  <c r="P10" s="1"/>
  <c r="F10"/>
  <c r="H10" s="1"/>
  <c r="AD9"/>
  <c r="AF9" s="1"/>
  <c r="V9"/>
  <c r="W9" s="1"/>
  <c r="N9"/>
  <c r="P9" s="1"/>
  <c r="F9"/>
  <c r="H9" s="1"/>
  <c r="AD8"/>
  <c r="AF8" s="1"/>
  <c r="V8"/>
  <c r="W8" s="1"/>
  <c r="N8"/>
  <c r="P8" s="1"/>
  <c r="F8"/>
  <c r="H8" s="1"/>
  <c r="F37" i="6"/>
  <c r="H37" s="1"/>
  <c r="F38"/>
  <c r="G38" s="1"/>
  <c r="F37" i="5"/>
  <c r="AD38" i="7"/>
  <c r="AE38" s="1"/>
  <c r="AD37"/>
  <c r="AE37" s="1"/>
  <c r="V37"/>
  <c r="W37" s="1"/>
  <c r="N37"/>
  <c r="P37" s="1"/>
  <c r="AD36"/>
  <c r="AF36" s="1"/>
  <c r="V36"/>
  <c r="W36" s="1"/>
  <c r="N36"/>
  <c r="O36" s="1"/>
  <c r="F36"/>
  <c r="H36" s="1"/>
  <c r="AD35"/>
  <c r="AE35" s="1"/>
  <c r="V35"/>
  <c r="X35" s="1"/>
  <c r="N35"/>
  <c r="O35" s="1"/>
  <c r="F35"/>
  <c r="H35" s="1"/>
  <c r="AF34"/>
  <c r="AE34"/>
  <c r="AD34"/>
  <c r="V34"/>
  <c r="X34" s="1"/>
  <c r="N34"/>
  <c r="O34" s="1"/>
  <c r="F34"/>
  <c r="H34" s="1"/>
  <c r="AD33"/>
  <c r="AF33" s="1"/>
  <c r="V33"/>
  <c r="W33" s="1"/>
  <c r="N33"/>
  <c r="P33" s="1"/>
  <c r="F33"/>
  <c r="H33" s="1"/>
  <c r="AE32"/>
  <c r="AD32"/>
  <c r="AF32" s="1"/>
  <c r="V32"/>
  <c r="W32" s="1"/>
  <c r="N32"/>
  <c r="P32" s="1"/>
  <c r="F32"/>
  <c r="H32" s="1"/>
  <c r="AD31"/>
  <c r="AF31" s="1"/>
  <c r="V31"/>
  <c r="X31" s="1"/>
  <c r="N31"/>
  <c r="P31" s="1"/>
  <c r="F31"/>
  <c r="H31" s="1"/>
  <c r="AF30"/>
  <c r="AD30"/>
  <c r="AE30" s="1"/>
  <c r="V30"/>
  <c r="W30" s="1"/>
  <c r="N30"/>
  <c r="P30" s="1"/>
  <c r="F30"/>
  <c r="H30" s="1"/>
  <c r="AD29"/>
  <c r="AE29" s="1"/>
  <c r="V29"/>
  <c r="X29" s="1"/>
  <c r="N29"/>
  <c r="P29" s="1"/>
  <c r="F29"/>
  <c r="H29" s="1"/>
  <c r="AD28"/>
  <c r="AE28" s="1"/>
  <c r="X28"/>
  <c r="V28"/>
  <c r="W28" s="1"/>
  <c r="N28"/>
  <c r="P28" s="1"/>
  <c r="F28"/>
  <c r="H28" s="1"/>
  <c r="AD27"/>
  <c r="AE27" s="1"/>
  <c r="V27"/>
  <c r="W27" s="1"/>
  <c r="N27"/>
  <c r="P27" s="1"/>
  <c r="F27"/>
  <c r="H27" s="1"/>
  <c r="AD26"/>
  <c r="AF26" s="1"/>
  <c r="V26"/>
  <c r="W26" s="1"/>
  <c r="N26"/>
  <c r="P26" s="1"/>
  <c r="F26"/>
  <c r="H26" s="1"/>
  <c r="AD25"/>
  <c r="AE25" s="1"/>
  <c r="V25"/>
  <c r="X25" s="1"/>
  <c r="N25"/>
  <c r="P25" s="1"/>
  <c r="F25"/>
  <c r="H25" s="1"/>
  <c r="AD24"/>
  <c r="AE24" s="1"/>
  <c r="V24"/>
  <c r="W24" s="1"/>
  <c r="N24"/>
  <c r="P24" s="1"/>
  <c r="F24"/>
  <c r="H24" s="1"/>
  <c r="AD23"/>
  <c r="AE23" s="1"/>
  <c r="W23"/>
  <c r="V23"/>
  <c r="X23" s="1"/>
  <c r="N23"/>
  <c r="P23" s="1"/>
  <c r="F23"/>
  <c r="H23" s="1"/>
  <c r="AD22"/>
  <c r="AE22" s="1"/>
  <c r="V22"/>
  <c r="X22" s="1"/>
  <c r="N22"/>
  <c r="P22" s="1"/>
  <c r="F22"/>
  <c r="H22" s="1"/>
  <c r="AF21"/>
  <c r="AD21"/>
  <c r="AE21" s="1"/>
  <c r="V21"/>
  <c r="X21" s="1"/>
  <c r="N21"/>
  <c r="P21" s="1"/>
  <c r="F21"/>
  <c r="H21" s="1"/>
  <c r="AD20"/>
  <c r="AE20" s="1"/>
  <c r="V20"/>
  <c r="X20" s="1"/>
  <c r="N20"/>
  <c r="P20" s="1"/>
  <c r="F20"/>
  <c r="H20" s="1"/>
  <c r="AF19"/>
  <c r="AE19"/>
  <c r="AD19"/>
  <c r="V19"/>
  <c r="X19" s="1"/>
  <c r="N19"/>
  <c r="P19" s="1"/>
  <c r="F19"/>
  <c r="H19" s="1"/>
  <c r="AD18"/>
  <c r="AE18" s="1"/>
  <c r="X18"/>
  <c r="W18"/>
  <c r="V18"/>
  <c r="N18"/>
  <c r="P18" s="1"/>
  <c r="F18"/>
  <c r="H18" s="1"/>
  <c r="AD17"/>
  <c r="AE17" s="1"/>
  <c r="V17"/>
  <c r="W17" s="1"/>
  <c r="N17"/>
  <c r="P17" s="1"/>
  <c r="F17"/>
  <c r="H17" s="1"/>
  <c r="AF16"/>
  <c r="AD16"/>
  <c r="AE16" s="1"/>
  <c r="V16"/>
  <c r="X16" s="1"/>
  <c r="N16"/>
  <c r="P16" s="1"/>
  <c r="F16"/>
  <c r="H16" s="1"/>
  <c r="AD15"/>
  <c r="AE15" s="1"/>
  <c r="V15"/>
  <c r="W15" s="1"/>
  <c r="N15"/>
  <c r="P15" s="1"/>
  <c r="F15"/>
  <c r="H15" s="1"/>
  <c r="AD14"/>
  <c r="AE14" s="1"/>
  <c r="V14"/>
  <c r="X14" s="1"/>
  <c r="N14"/>
  <c r="P14" s="1"/>
  <c r="F14"/>
  <c r="H14" s="1"/>
  <c r="AF13"/>
  <c r="AD13"/>
  <c r="AE13" s="1"/>
  <c r="V13"/>
  <c r="X13" s="1"/>
  <c r="N13"/>
  <c r="P13" s="1"/>
  <c r="F13"/>
  <c r="H13" s="1"/>
  <c r="AD12"/>
  <c r="AE12" s="1"/>
  <c r="V12"/>
  <c r="X12" s="1"/>
  <c r="N12"/>
  <c r="O12" s="1"/>
  <c r="F12"/>
  <c r="H12" s="1"/>
  <c r="AF11"/>
  <c r="AE11"/>
  <c r="AD11"/>
  <c r="V11"/>
  <c r="X11" s="1"/>
  <c r="N11"/>
  <c r="P11" s="1"/>
  <c r="F11"/>
  <c r="H11" s="1"/>
  <c r="AD10"/>
  <c r="AE10" s="1"/>
  <c r="V10"/>
  <c r="X10" s="1"/>
  <c r="N10"/>
  <c r="O10" s="1"/>
  <c r="H10"/>
  <c r="AD9"/>
  <c r="AF9" s="1"/>
  <c r="V9"/>
  <c r="X9" s="1"/>
  <c r="N9"/>
  <c r="P9" s="1"/>
  <c r="H9"/>
  <c r="AD8"/>
  <c r="AE8" s="1"/>
  <c r="W8"/>
  <c r="V8"/>
  <c r="X8" s="1"/>
  <c r="N8"/>
  <c r="P8" s="1"/>
  <c r="H8"/>
  <c r="AD38" i="6"/>
  <c r="AE38" s="1"/>
  <c r="V38"/>
  <c r="X38" s="1"/>
  <c r="N38"/>
  <c r="O38" s="1"/>
  <c r="AF37"/>
  <c r="AD37"/>
  <c r="AE37" s="1"/>
  <c r="V37"/>
  <c r="W37" s="1"/>
  <c r="N37"/>
  <c r="P37" s="1"/>
  <c r="AD36"/>
  <c r="AE36" s="1"/>
  <c r="V36"/>
  <c r="X36" s="1"/>
  <c r="N36"/>
  <c r="O36" s="1"/>
  <c r="F36"/>
  <c r="H36" s="1"/>
  <c r="AD35"/>
  <c r="AE35" s="1"/>
  <c r="V35"/>
  <c r="W35" s="1"/>
  <c r="N35"/>
  <c r="O35" s="1"/>
  <c r="F35"/>
  <c r="H35" s="1"/>
  <c r="AD34"/>
  <c r="AE34" s="1"/>
  <c r="V34"/>
  <c r="W34" s="1"/>
  <c r="N34"/>
  <c r="O34" s="1"/>
  <c r="F34"/>
  <c r="H34" s="1"/>
  <c r="AD33"/>
  <c r="AE33" s="1"/>
  <c r="V33"/>
  <c r="X33" s="1"/>
  <c r="N33"/>
  <c r="P33" s="1"/>
  <c r="F33"/>
  <c r="H33" s="1"/>
  <c r="AD32"/>
  <c r="AE32" s="1"/>
  <c r="V32"/>
  <c r="X32" s="1"/>
  <c r="N32"/>
  <c r="P32" s="1"/>
  <c r="F32"/>
  <c r="H32" s="1"/>
  <c r="AD31"/>
  <c r="AE31" s="1"/>
  <c r="V31"/>
  <c r="W31" s="1"/>
  <c r="N31"/>
  <c r="P31" s="1"/>
  <c r="F31"/>
  <c r="H31" s="1"/>
  <c r="AD30"/>
  <c r="AE30" s="1"/>
  <c r="V30"/>
  <c r="W30" s="1"/>
  <c r="N30"/>
  <c r="P30" s="1"/>
  <c r="F30"/>
  <c r="H30" s="1"/>
  <c r="AD29"/>
  <c r="AE29" s="1"/>
  <c r="X29"/>
  <c r="V29"/>
  <c r="W29" s="1"/>
  <c r="N29"/>
  <c r="P29" s="1"/>
  <c r="F29"/>
  <c r="H29" s="1"/>
  <c r="AD28"/>
  <c r="AF28" s="1"/>
  <c r="V28"/>
  <c r="W28" s="1"/>
  <c r="N28"/>
  <c r="P28" s="1"/>
  <c r="F28"/>
  <c r="H28" s="1"/>
  <c r="AD27"/>
  <c r="AE27" s="1"/>
  <c r="V27"/>
  <c r="X27" s="1"/>
  <c r="N27"/>
  <c r="P27" s="1"/>
  <c r="F27"/>
  <c r="H27" s="1"/>
  <c r="AE26"/>
  <c r="AD26"/>
  <c r="AF26" s="1"/>
  <c r="V26"/>
  <c r="W26" s="1"/>
  <c r="N26"/>
  <c r="P26" s="1"/>
  <c r="F26"/>
  <c r="H26" s="1"/>
  <c r="AF25"/>
  <c r="AD25"/>
  <c r="AE25" s="1"/>
  <c r="V25"/>
  <c r="X25" s="1"/>
  <c r="N25"/>
  <c r="P25" s="1"/>
  <c r="F25"/>
  <c r="H25" s="1"/>
  <c r="AD24"/>
  <c r="AE24" s="1"/>
  <c r="V24"/>
  <c r="W24" s="1"/>
  <c r="N24"/>
  <c r="P24" s="1"/>
  <c r="F24"/>
  <c r="H24" s="1"/>
  <c r="AE23"/>
  <c r="AD23"/>
  <c r="AF23" s="1"/>
  <c r="V23"/>
  <c r="N23"/>
  <c r="P23" s="1"/>
  <c r="F23"/>
  <c r="H23" s="1"/>
  <c r="AE22"/>
  <c r="AD22"/>
  <c r="AF22" s="1"/>
  <c r="V22"/>
  <c r="X22" s="1"/>
  <c r="N22"/>
  <c r="P22" s="1"/>
  <c r="F22"/>
  <c r="H22" s="1"/>
  <c r="AF21"/>
  <c r="AD21"/>
  <c r="AE21" s="1"/>
  <c r="V21"/>
  <c r="X21" s="1"/>
  <c r="N21"/>
  <c r="P21" s="1"/>
  <c r="F21"/>
  <c r="H21" s="1"/>
  <c r="AF20"/>
  <c r="AD20"/>
  <c r="AE20" s="1"/>
  <c r="V20"/>
  <c r="N20"/>
  <c r="P20" s="1"/>
  <c r="F20"/>
  <c r="H20" s="1"/>
  <c r="AD19"/>
  <c r="AF19" s="1"/>
  <c r="V19"/>
  <c r="N19"/>
  <c r="P19" s="1"/>
  <c r="F19"/>
  <c r="H19" s="1"/>
  <c r="AE18"/>
  <c r="AD18"/>
  <c r="AF18" s="1"/>
  <c r="V18"/>
  <c r="N18"/>
  <c r="P18" s="1"/>
  <c r="F18"/>
  <c r="H18" s="1"/>
  <c r="AD17"/>
  <c r="AF17" s="1"/>
  <c r="X17"/>
  <c r="V17"/>
  <c r="W17" s="1"/>
  <c r="N17"/>
  <c r="P17" s="1"/>
  <c r="F17"/>
  <c r="H17" s="1"/>
  <c r="AD16"/>
  <c r="V16"/>
  <c r="W16" s="1"/>
  <c r="N16"/>
  <c r="F16"/>
  <c r="H16" s="1"/>
  <c r="AD15"/>
  <c r="X15"/>
  <c r="V15"/>
  <c r="W15" s="1"/>
  <c r="N15"/>
  <c r="P15" s="1"/>
  <c r="F15"/>
  <c r="H15" s="1"/>
  <c r="AE14"/>
  <c r="AD14"/>
  <c r="AF14" s="1"/>
  <c r="V14"/>
  <c r="N14"/>
  <c r="P14" s="1"/>
  <c r="F14"/>
  <c r="H14" s="1"/>
  <c r="AE13"/>
  <c r="AD13"/>
  <c r="AF13" s="1"/>
  <c r="V13"/>
  <c r="X13" s="1"/>
  <c r="N13"/>
  <c r="P13" s="1"/>
  <c r="F13"/>
  <c r="H13" s="1"/>
  <c r="AE12"/>
  <c r="AD12"/>
  <c r="AF12" s="1"/>
  <c r="V12"/>
  <c r="X12" s="1"/>
  <c r="N12"/>
  <c r="P12" s="1"/>
  <c r="F12"/>
  <c r="H12" s="1"/>
  <c r="AD11"/>
  <c r="AE11" s="1"/>
  <c r="V11"/>
  <c r="W11" s="1"/>
  <c r="N11"/>
  <c r="P11" s="1"/>
  <c r="F11"/>
  <c r="H11" s="1"/>
  <c r="AF10"/>
  <c r="AD10"/>
  <c r="AE10" s="1"/>
  <c r="V10"/>
  <c r="N10"/>
  <c r="P10" s="1"/>
  <c r="F10"/>
  <c r="H10" s="1"/>
  <c r="AD9"/>
  <c r="AE9" s="1"/>
  <c r="V9"/>
  <c r="W9" s="1"/>
  <c r="N9"/>
  <c r="P9" s="1"/>
  <c r="F9"/>
  <c r="H9" s="1"/>
  <c r="AD8"/>
  <c r="AF8" s="1"/>
  <c r="V8"/>
  <c r="N8"/>
  <c r="P8" s="1"/>
  <c r="F8"/>
  <c r="H8" s="1"/>
  <c r="F37" i="4"/>
  <c r="H37" s="1"/>
  <c r="F38"/>
  <c r="H38" s="1"/>
  <c r="AF37" i="5"/>
  <c r="AD37"/>
  <c r="AE37" s="1"/>
  <c r="V37"/>
  <c r="W37" s="1"/>
  <c r="N37"/>
  <c r="P37" s="1"/>
  <c r="AD36"/>
  <c r="AE36" s="1"/>
  <c r="V36"/>
  <c r="W36" s="1"/>
  <c r="N36"/>
  <c r="O36" s="1"/>
  <c r="F36"/>
  <c r="H36" s="1"/>
  <c r="AF35"/>
  <c r="AD35"/>
  <c r="AE35" s="1"/>
  <c r="V35"/>
  <c r="W35" s="1"/>
  <c r="N35"/>
  <c r="O35" s="1"/>
  <c r="F35"/>
  <c r="H35" s="1"/>
  <c r="AD34"/>
  <c r="AE34" s="1"/>
  <c r="V34"/>
  <c r="X34" s="1"/>
  <c r="N34"/>
  <c r="O34" s="1"/>
  <c r="F34"/>
  <c r="H34" s="1"/>
  <c r="AD33"/>
  <c r="AE33" s="1"/>
  <c r="V33"/>
  <c r="N33"/>
  <c r="O33" s="1"/>
  <c r="F33"/>
  <c r="H33" s="1"/>
  <c r="AD32"/>
  <c r="V32"/>
  <c r="W32" s="1"/>
  <c r="N32"/>
  <c r="O32" s="1"/>
  <c r="F32"/>
  <c r="H32" s="1"/>
  <c r="AD31"/>
  <c r="AE31" s="1"/>
  <c r="V31"/>
  <c r="N31"/>
  <c r="O31" s="1"/>
  <c r="F31"/>
  <c r="H31" s="1"/>
  <c r="AD30"/>
  <c r="X30"/>
  <c r="V30"/>
  <c r="W30" s="1"/>
  <c r="N30"/>
  <c r="O30" s="1"/>
  <c r="F30"/>
  <c r="H30" s="1"/>
  <c r="AD29"/>
  <c r="AE29" s="1"/>
  <c r="V29"/>
  <c r="W29" s="1"/>
  <c r="N29"/>
  <c r="O29" s="1"/>
  <c r="F29"/>
  <c r="H29" s="1"/>
  <c r="AD28"/>
  <c r="V28"/>
  <c r="W28" s="1"/>
  <c r="N28"/>
  <c r="O28" s="1"/>
  <c r="F28"/>
  <c r="H28" s="1"/>
  <c r="AF27"/>
  <c r="AD27"/>
  <c r="AE27" s="1"/>
  <c r="V27"/>
  <c r="W27" s="1"/>
  <c r="N27"/>
  <c r="O27" s="1"/>
  <c r="F27"/>
  <c r="H27" s="1"/>
  <c r="AF26"/>
  <c r="AD26"/>
  <c r="AE26" s="1"/>
  <c r="V26"/>
  <c r="W26" s="1"/>
  <c r="N26"/>
  <c r="O26" s="1"/>
  <c r="F26"/>
  <c r="H26" s="1"/>
  <c r="AD25"/>
  <c r="AF25" s="1"/>
  <c r="V25"/>
  <c r="W25" s="1"/>
  <c r="N25"/>
  <c r="O25" s="1"/>
  <c r="F25"/>
  <c r="H25" s="1"/>
  <c r="AF24"/>
  <c r="AE24"/>
  <c r="AD24"/>
  <c r="V24"/>
  <c r="W24" s="1"/>
  <c r="N24"/>
  <c r="O24" s="1"/>
  <c r="F24"/>
  <c r="H24" s="1"/>
  <c r="AF23"/>
  <c r="AD23"/>
  <c r="AE23" s="1"/>
  <c r="V23"/>
  <c r="W23" s="1"/>
  <c r="N23"/>
  <c r="O23" s="1"/>
  <c r="F23"/>
  <c r="H23" s="1"/>
  <c r="AF22"/>
  <c r="AD22"/>
  <c r="AE22" s="1"/>
  <c r="X22"/>
  <c r="W22"/>
  <c r="V22"/>
  <c r="N22"/>
  <c r="F22"/>
  <c r="H22" s="1"/>
  <c r="AD21"/>
  <c r="V21"/>
  <c r="W21" s="1"/>
  <c r="N21"/>
  <c r="P21" s="1"/>
  <c r="F21"/>
  <c r="H21" s="1"/>
  <c r="AE20"/>
  <c r="AD20"/>
  <c r="AF20" s="1"/>
  <c r="V20"/>
  <c r="N20"/>
  <c r="P20" s="1"/>
  <c r="F20"/>
  <c r="H20" s="1"/>
  <c r="AF19"/>
  <c r="AE19"/>
  <c r="AD19"/>
  <c r="V19"/>
  <c r="X19" s="1"/>
  <c r="N19"/>
  <c r="P19" s="1"/>
  <c r="F19"/>
  <c r="H19" s="1"/>
  <c r="AF18"/>
  <c r="AD18"/>
  <c r="AE18" s="1"/>
  <c r="X18"/>
  <c r="W18"/>
  <c r="V18"/>
  <c r="N18"/>
  <c r="F18"/>
  <c r="H18" s="1"/>
  <c r="AD17"/>
  <c r="V17"/>
  <c r="W17" s="1"/>
  <c r="N17"/>
  <c r="P17" s="1"/>
  <c r="F17"/>
  <c r="H17" s="1"/>
  <c r="AE16"/>
  <c r="AD16"/>
  <c r="AF16" s="1"/>
  <c r="V16"/>
  <c r="O16"/>
  <c r="N16"/>
  <c r="P16" s="1"/>
  <c r="F16"/>
  <c r="H16" s="1"/>
  <c r="AF15"/>
  <c r="AE15"/>
  <c r="AD15"/>
  <c r="V15"/>
  <c r="X15" s="1"/>
  <c r="N15"/>
  <c r="P15" s="1"/>
  <c r="F15"/>
  <c r="H15" s="1"/>
  <c r="AD14"/>
  <c r="V14"/>
  <c r="X14" s="1"/>
  <c r="N14"/>
  <c r="P14" s="1"/>
  <c r="F14"/>
  <c r="H14" s="1"/>
  <c r="AF13"/>
  <c r="AD13"/>
  <c r="AE13" s="1"/>
  <c r="V13"/>
  <c r="X13" s="1"/>
  <c r="O13"/>
  <c r="N13"/>
  <c r="P13" s="1"/>
  <c r="F13"/>
  <c r="H13" s="1"/>
  <c r="AF12"/>
  <c r="AE12"/>
  <c r="AD12"/>
  <c r="V12"/>
  <c r="W12" s="1"/>
  <c r="O12"/>
  <c r="N12"/>
  <c r="P12" s="1"/>
  <c r="F12"/>
  <c r="H12" s="1"/>
  <c r="AD11"/>
  <c r="AF11" s="1"/>
  <c r="V11"/>
  <c r="W11" s="1"/>
  <c r="N11"/>
  <c r="P11" s="1"/>
  <c r="F11"/>
  <c r="H11" s="1"/>
  <c r="AF10"/>
  <c r="AD10"/>
  <c r="AE10" s="1"/>
  <c r="V10"/>
  <c r="W10" s="1"/>
  <c r="N10"/>
  <c r="F10"/>
  <c r="H10" s="1"/>
  <c r="AD9"/>
  <c r="V9"/>
  <c r="W9" s="1"/>
  <c r="N9"/>
  <c r="P9" s="1"/>
  <c r="F9"/>
  <c r="H9" s="1"/>
  <c r="AE8"/>
  <c r="AD8"/>
  <c r="AF8" s="1"/>
  <c r="V8"/>
  <c r="X8" s="1"/>
  <c r="N8"/>
  <c r="P8" s="1"/>
  <c r="F8"/>
  <c r="H8" s="1"/>
  <c r="H40" s="1"/>
  <c r="D18" i="2" s="1"/>
  <c r="AE38" i="4"/>
  <c r="AD38"/>
  <c r="AF38" s="1"/>
  <c r="V38"/>
  <c r="X38" s="1"/>
  <c r="N38"/>
  <c r="P38" s="1"/>
  <c r="AD37"/>
  <c r="V37"/>
  <c r="X37" s="1"/>
  <c r="N37"/>
  <c r="P37" s="1"/>
  <c r="AE36"/>
  <c r="AD36"/>
  <c r="AF36" s="1"/>
  <c r="V36"/>
  <c r="N36"/>
  <c r="P36" s="1"/>
  <c r="F36"/>
  <c r="H36" s="1"/>
  <c r="AF35"/>
  <c r="AE35"/>
  <c r="AD35"/>
  <c r="V35"/>
  <c r="X35" s="1"/>
  <c r="N35"/>
  <c r="P35" s="1"/>
  <c r="F35"/>
  <c r="H35" s="1"/>
  <c r="AF34"/>
  <c r="AD34"/>
  <c r="AE34" s="1"/>
  <c r="X34"/>
  <c r="W34"/>
  <c r="V34"/>
  <c r="N34"/>
  <c r="P34" s="1"/>
  <c r="F34"/>
  <c r="H34" s="1"/>
  <c r="AF33"/>
  <c r="AD33"/>
  <c r="AE33" s="1"/>
  <c r="V33"/>
  <c r="W33" s="1"/>
  <c r="N33"/>
  <c r="F33"/>
  <c r="H33" s="1"/>
  <c r="AD32"/>
  <c r="V32"/>
  <c r="X32" s="1"/>
  <c r="N32"/>
  <c r="P32" s="1"/>
  <c r="F32"/>
  <c r="H32" s="1"/>
  <c r="AF31"/>
  <c r="AE31"/>
  <c r="AD31"/>
  <c r="V31"/>
  <c r="X31" s="1"/>
  <c r="N31"/>
  <c r="P31" s="1"/>
  <c r="F31"/>
  <c r="H31" s="1"/>
  <c r="AD30"/>
  <c r="V30"/>
  <c r="X30" s="1"/>
  <c r="N30"/>
  <c r="P30" s="1"/>
  <c r="F30"/>
  <c r="H30" s="1"/>
  <c r="AF29"/>
  <c r="AD29"/>
  <c r="AE29" s="1"/>
  <c r="V29"/>
  <c r="W29" s="1"/>
  <c r="N29"/>
  <c r="P29" s="1"/>
  <c r="F29"/>
  <c r="H29" s="1"/>
  <c r="AD28"/>
  <c r="AF28" s="1"/>
  <c r="V28"/>
  <c r="W28" s="1"/>
  <c r="N28"/>
  <c r="P28" s="1"/>
  <c r="F28"/>
  <c r="H28" s="1"/>
  <c r="AF27"/>
  <c r="AD27"/>
  <c r="AE27" s="1"/>
  <c r="X27"/>
  <c r="V27"/>
  <c r="W27" s="1"/>
  <c r="N27"/>
  <c r="P27" s="1"/>
  <c r="F27"/>
  <c r="H27" s="1"/>
  <c r="AF26"/>
  <c r="AD26"/>
  <c r="AE26" s="1"/>
  <c r="X26"/>
  <c r="W26"/>
  <c r="V26"/>
  <c r="N26"/>
  <c r="F26"/>
  <c r="H26" s="1"/>
  <c r="AD25"/>
  <c r="V25"/>
  <c r="W25" s="1"/>
  <c r="N25"/>
  <c r="P25" s="1"/>
  <c r="F25"/>
  <c r="H25" s="1"/>
  <c r="AF24"/>
  <c r="AD24"/>
  <c r="AE24" s="1"/>
  <c r="X24"/>
  <c r="W24"/>
  <c r="V24"/>
  <c r="N24"/>
  <c r="F24"/>
  <c r="H24" s="1"/>
  <c r="AD23"/>
  <c r="V23"/>
  <c r="X23" s="1"/>
  <c r="N23"/>
  <c r="P23" s="1"/>
  <c r="F23"/>
  <c r="H23" s="1"/>
  <c r="AF22"/>
  <c r="AE22"/>
  <c r="AD22"/>
  <c r="V22"/>
  <c r="X22" s="1"/>
  <c r="N22"/>
  <c r="P22" s="1"/>
  <c r="F22"/>
  <c r="H22" s="1"/>
  <c r="AD21"/>
  <c r="AF21" s="1"/>
  <c r="V21"/>
  <c r="X21" s="1"/>
  <c r="N21"/>
  <c r="P21" s="1"/>
  <c r="F21"/>
  <c r="H21" s="1"/>
  <c r="AD20"/>
  <c r="X20"/>
  <c r="V20"/>
  <c r="W20" s="1"/>
  <c r="N20"/>
  <c r="P20" s="1"/>
  <c r="F20"/>
  <c r="H20" s="1"/>
  <c r="AE19"/>
  <c r="AD19"/>
  <c r="AF19" s="1"/>
  <c r="V19"/>
  <c r="N19"/>
  <c r="P19" s="1"/>
  <c r="F19"/>
  <c r="H19" s="1"/>
  <c r="AF18"/>
  <c r="AE18"/>
  <c r="AD18"/>
  <c r="V18"/>
  <c r="X18" s="1"/>
  <c r="N18"/>
  <c r="P18" s="1"/>
  <c r="F18"/>
  <c r="H18" s="1"/>
  <c r="AF17"/>
  <c r="AE17"/>
  <c r="AD17"/>
  <c r="V17"/>
  <c r="X17" s="1"/>
  <c r="N17"/>
  <c r="P17" s="1"/>
  <c r="F17"/>
  <c r="H17" s="1"/>
  <c r="AF16"/>
  <c r="AD16"/>
  <c r="AE16" s="1"/>
  <c r="V16"/>
  <c r="X16" s="1"/>
  <c r="O16"/>
  <c r="N16"/>
  <c r="P16" s="1"/>
  <c r="F16"/>
  <c r="H16" s="1"/>
  <c r="AD15"/>
  <c r="AE15" s="1"/>
  <c r="V15"/>
  <c r="X15" s="1"/>
  <c r="N15"/>
  <c r="F15"/>
  <c r="H15" s="1"/>
  <c r="AD14"/>
  <c r="V14"/>
  <c r="W14" s="1"/>
  <c r="N14"/>
  <c r="P14" s="1"/>
  <c r="F14"/>
  <c r="H14" s="1"/>
  <c r="AF13"/>
  <c r="AD13"/>
  <c r="AE13" s="1"/>
  <c r="V13"/>
  <c r="X13" s="1"/>
  <c r="N13"/>
  <c r="P13" s="1"/>
  <c r="F13"/>
  <c r="H13" s="1"/>
  <c r="AF12"/>
  <c r="AD12"/>
  <c r="AE12" s="1"/>
  <c r="V12"/>
  <c r="X12" s="1"/>
  <c r="N12"/>
  <c r="P12" s="1"/>
  <c r="F12"/>
  <c r="H12" s="1"/>
  <c r="AF11"/>
  <c r="AD11"/>
  <c r="AE11" s="1"/>
  <c r="V11"/>
  <c r="W11" s="1"/>
  <c r="N11"/>
  <c r="P11" s="1"/>
  <c r="F11"/>
  <c r="H11" s="1"/>
  <c r="AD10"/>
  <c r="AE10" s="1"/>
  <c r="V10"/>
  <c r="W10" s="1"/>
  <c r="N10"/>
  <c r="P10" s="1"/>
  <c r="F10"/>
  <c r="H10" s="1"/>
  <c r="AD9"/>
  <c r="V9"/>
  <c r="X9" s="1"/>
  <c r="N9"/>
  <c r="P9" s="1"/>
  <c r="F9"/>
  <c r="H9" s="1"/>
  <c r="AF8"/>
  <c r="AD8"/>
  <c r="AE8" s="1"/>
  <c r="V8"/>
  <c r="X8" s="1"/>
  <c r="N8"/>
  <c r="P8" s="1"/>
  <c r="F8"/>
  <c r="H8" s="1"/>
  <c r="H40" s="1"/>
  <c r="F36" i="3"/>
  <c r="G36" s="1"/>
  <c r="F35"/>
  <c r="G35" s="1"/>
  <c r="F34"/>
  <c r="G34" s="1"/>
  <c r="F33"/>
  <c r="G33" s="1"/>
  <c r="F32"/>
  <c r="G32" s="1"/>
  <c r="F31"/>
  <c r="G31" s="1"/>
  <c r="F30"/>
  <c r="G30" s="1"/>
  <c r="F29"/>
  <c r="G29" s="1"/>
  <c r="F28"/>
  <c r="G28" s="1"/>
  <c r="F27"/>
  <c r="G27" s="1"/>
  <c r="F26"/>
  <c r="G26" s="1"/>
  <c r="F25"/>
  <c r="G25" s="1"/>
  <c r="F24"/>
  <c r="G24" s="1"/>
  <c r="F23"/>
  <c r="G23" s="1"/>
  <c r="F22"/>
  <c r="G22" s="1"/>
  <c r="F21"/>
  <c r="G21" s="1"/>
  <c r="F20"/>
  <c r="G20" s="1"/>
  <c r="F19"/>
  <c r="G19" s="1"/>
  <c r="F18"/>
  <c r="G18" s="1"/>
  <c r="F17"/>
  <c r="G17" s="1"/>
  <c r="F16"/>
  <c r="G16" s="1"/>
  <c r="F15"/>
  <c r="G15" s="1"/>
  <c r="F14"/>
  <c r="G14" s="1"/>
  <c r="F13"/>
  <c r="G13" s="1"/>
  <c r="F12"/>
  <c r="G12" s="1"/>
  <c r="F11"/>
  <c r="G11" s="1"/>
  <c r="F10"/>
  <c r="G10" s="1"/>
  <c r="F9"/>
  <c r="G9" s="1"/>
  <c r="F8"/>
  <c r="G8" s="1"/>
  <c r="G39" s="1"/>
  <c r="C16" i="2" s="1"/>
  <c r="AD38" i="1"/>
  <c r="AE38" s="1"/>
  <c r="AD37"/>
  <c r="AF37" s="1"/>
  <c r="AD36"/>
  <c r="AE36" s="1"/>
  <c r="AD35"/>
  <c r="AF35" s="1"/>
  <c r="AD34"/>
  <c r="AE34" s="1"/>
  <c r="AD33"/>
  <c r="AF33" s="1"/>
  <c r="AD32"/>
  <c r="AF32" s="1"/>
  <c r="AD31"/>
  <c r="AF31" s="1"/>
  <c r="AD30"/>
  <c r="AE30" s="1"/>
  <c r="AD29"/>
  <c r="AE29" s="1"/>
  <c r="AD28"/>
  <c r="AE28" s="1"/>
  <c r="AD27"/>
  <c r="AE27" s="1"/>
  <c r="AD26"/>
  <c r="AE26" s="1"/>
  <c r="AD25"/>
  <c r="AE25" s="1"/>
  <c r="AD24"/>
  <c r="AE24" s="1"/>
  <c r="AD23"/>
  <c r="AE23" s="1"/>
  <c r="AD22"/>
  <c r="AF22" s="1"/>
  <c r="AD21"/>
  <c r="AE21" s="1"/>
  <c r="AD20"/>
  <c r="AE20" s="1"/>
  <c r="AD19"/>
  <c r="AE19" s="1"/>
  <c r="AD18"/>
  <c r="AF18" s="1"/>
  <c r="AD17"/>
  <c r="AE17" s="1"/>
  <c r="AD16"/>
  <c r="AE16" s="1"/>
  <c r="AD15"/>
  <c r="AE15" s="1"/>
  <c r="AD14"/>
  <c r="AF14" s="1"/>
  <c r="AD13"/>
  <c r="AE13" s="1"/>
  <c r="AD12"/>
  <c r="AE12" s="1"/>
  <c r="AD11"/>
  <c r="AE11" s="1"/>
  <c r="AD10"/>
  <c r="AE10" s="1"/>
  <c r="AD9"/>
  <c r="AE9" s="1"/>
  <c r="AD8"/>
  <c r="AE8" s="1"/>
  <c r="V38"/>
  <c r="W38" s="1"/>
  <c r="V37"/>
  <c r="W37" s="1"/>
  <c r="V36"/>
  <c r="W36" s="1"/>
  <c r="V35"/>
  <c r="X35" s="1"/>
  <c r="V34"/>
  <c r="X34" s="1"/>
  <c r="V33"/>
  <c r="X33" s="1"/>
  <c r="V32"/>
  <c r="W32" s="1"/>
  <c r="V31"/>
  <c r="X31" s="1"/>
  <c r="V30"/>
  <c r="X30" s="1"/>
  <c r="V29"/>
  <c r="X29" s="1"/>
  <c r="V28"/>
  <c r="X28" s="1"/>
  <c r="V27"/>
  <c r="X27" s="1"/>
  <c r="V26"/>
  <c r="X26" s="1"/>
  <c r="V25"/>
  <c r="X25" s="1"/>
  <c r="V24"/>
  <c r="X24" s="1"/>
  <c r="V23"/>
  <c r="X23" s="1"/>
  <c r="V22"/>
  <c r="X22" s="1"/>
  <c r="V21"/>
  <c r="X21" s="1"/>
  <c r="V20"/>
  <c r="X20" s="1"/>
  <c r="V19"/>
  <c r="X19" s="1"/>
  <c r="V18"/>
  <c r="X18" s="1"/>
  <c r="V17"/>
  <c r="X17" s="1"/>
  <c r="V16"/>
  <c r="X16" s="1"/>
  <c r="V15"/>
  <c r="X15" s="1"/>
  <c r="V14"/>
  <c r="X14" s="1"/>
  <c r="V13"/>
  <c r="X13" s="1"/>
  <c r="V12"/>
  <c r="X12" s="1"/>
  <c r="V11"/>
  <c r="X11" s="1"/>
  <c r="V10"/>
  <c r="X10" s="1"/>
  <c r="V9"/>
  <c r="W9" s="1"/>
  <c r="V8"/>
  <c r="X8" s="1"/>
  <c r="N36"/>
  <c r="O36" s="1"/>
  <c r="N35"/>
  <c r="P35" s="1"/>
  <c r="N34"/>
  <c r="O34" s="1"/>
  <c r="N33"/>
  <c r="P33" s="1"/>
  <c r="N32"/>
  <c r="P32" s="1"/>
  <c r="N31"/>
  <c r="P31" s="1"/>
  <c r="N30"/>
  <c r="O30" s="1"/>
  <c r="N29"/>
  <c r="P29" s="1"/>
  <c r="N28"/>
  <c r="P28" s="1"/>
  <c r="N27"/>
  <c r="P27" s="1"/>
  <c r="N26"/>
  <c r="O26" s="1"/>
  <c r="N25"/>
  <c r="P25" s="1"/>
  <c r="N24"/>
  <c r="O24" s="1"/>
  <c r="N23"/>
  <c r="P23" s="1"/>
  <c r="N22"/>
  <c r="O22" s="1"/>
  <c r="N21"/>
  <c r="P21" s="1"/>
  <c r="N20"/>
  <c r="O20" s="1"/>
  <c r="N19"/>
  <c r="P19" s="1"/>
  <c r="N18"/>
  <c r="O18" s="1"/>
  <c r="N17"/>
  <c r="O17" s="1"/>
  <c r="N16"/>
  <c r="P16" s="1"/>
  <c r="N15"/>
  <c r="P15" s="1"/>
  <c r="N14"/>
  <c r="O14" s="1"/>
  <c r="N13"/>
  <c r="P13" s="1"/>
  <c r="N12"/>
  <c r="O12" s="1"/>
  <c r="N11"/>
  <c r="P11" s="1"/>
  <c r="N10"/>
  <c r="O10" s="1"/>
  <c r="N9"/>
  <c r="P9" s="1"/>
  <c r="N8"/>
  <c r="O8" s="1"/>
  <c r="F33"/>
  <c r="H33" s="1"/>
  <c r="F34"/>
  <c r="G34" s="1"/>
  <c r="F35"/>
  <c r="G35" s="1"/>
  <c r="F36"/>
  <c r="H36" s="1"/>
  <c r="F37"/>
  <c r="H37" s="1"/>
  <c r="F38"/>
  <c r="G38" s="1"/>
  <c r="F13"/>
  <c r="G13" s="1"/>
  <c r="F14"/>
  <c r="G14" s="1"/>
  <c r="F15"/>
  <c r="G15" s="1"/>
  <c r="F16"/>
  <c r="H16" s="1"/>
  <c r="F17"/>
  <c r="G17" s="1"/>
  <c r="F18"/>
  <c r="G18" s="1"/>
  <c r="F19"/>
  <c r="G19" s="1"/>
  <c r="F20"/>
  <c r="G20" s="1"/>
  <c r="F21"/>
  <c r="G21" s="1"/>
  <c r="F22"/>
  <c r="G22" s="1"/>
  <c r="G16"/>
  <c r="F24"/>
  <c r="G24" s="1"/>
  <c r="F25"/>
  <c r="H25" s="1"/>
  <c r="F26"/>
  <c r="G26" s="1"/>
  <c r="F27"/>
  <c r="G27" s="1"/>
  <c r="F28"/>
  <c r="H28" s="1"/>
  <c r="F29"/>
  <c r="H29" s="1"/>
  <c r="F30"/>
  <c r="H30" s="1"/>
  <c r="F31"/>
  <c r="H31" s="1"/>
  <c r="F32"/>
  <c r="H32" s="1"/>
  <c r="AF27" i="2"/>
  <c r="AE27"/>
  <c r="AD27"/>
  <c r="AC27"/>
  <c r="X27"/>
  <c r="W27"/>
  <c r="V27"/>
  <c r="U27"/>
  <c r="P27"/>
  <c r="O27"/>
  <c r="N27"/>
  <c r="M27"/>
  <c r="H27"/>
  <c r="G27"/>
  <c r="F27"/>
  <c r="E27"/>
  <c r="AF9"/>
  <c r="AF30" s="1"/>
  <c r="AE9"/>
  <c r="AD9"/>
  <c r="AC9"/>
  <c r="AB9"/>
  <c r="AB10" s="1"/>
  <c r="AA9"/>
  <c r="X9"/>
  <c r="W9"/>
  <c r="V9"/>
  <c r="U9"/>
  <c r="T9"/>
  <c r="T10" s="1"/>
  <c r="S9"/>
  <c r="P9"/>
  <c r="O9"/>
  <c r="N9"/>
  <c r="M9"/>
  <c r="H9"/>
  <c r="H30" s="1"/>
  <c r="F9"/>
  <c r="E9"/>
  <c r="X9" i="1" l="1"/>
  <c r="P9" i="14"/>
  <c r="P11" i="13"/>
  <c r="P24"/>
  <c r="H33"/>
  <c r="AE37"/>
  <c r="AE13"/>
  <c r="G20"/>
  <c r="AE25"/>
  <c r="H29"/>
  <c r="AE29"/>
  <c r="G15"/>
  <c r="O21"/>
  <c r="AE27"/>
  <c r="AE18" i="12"/>
  <c r="P19"/>
  <c r="AE20"/>
  <c r="O24"/>
  <c r="AE11"/>
  <c r="AE17"/>
  <c r="AE19"/>
  <c r="AE24"/>
  <c r="W8"/>
  <c r="H12"/>
  <c r="AE12"/>
  <c r="AE21"/>
  <c r="H26"/>
  <c r="P28"/>
  <c r="G29"/>
  <c r="P31"/>
  <c r="H33"/>
  <c r="AE33"/>
  <c r="O23" i="11"/>
  <c r="X9"/>
  <c r="AE18" i="10"/>
  <c r="AF17"/>
  <c r="AF22"/>
  <c r="AE16"/>
  <c r="AE20"/>
  <c r="AF18" i="9"/>
  <c r="X23"/>
  <c r="AF25"/>
  <c r="AF35"/>
  <c r="AF8"/>
  <c r="X10"/>
  <c r="O19"/>
  <c r="O25"/>
  <c r="O26"/>
  <c r="X27"/>
  <c r="AF28"/>
  <c r="H37"/>
  <c r="AE8" i="8"/>
  <c r="O9"/>
  <c r="AE11"/>
  <c r="O17"/>
  <c r="P23"/>
  <c r="P27"/>
  <c r="X29"/>
  <c r="O30"/>
  <c r="AE38"/>
  <c r="X10"/>
  <c r="AF14"/>
  <c r="X25"/>
  <c r="X28"/>
  <c r="P31"/>
  <c r="G37"/>
  <c r="AF16"/>
  <c r="AF15" i="7"/>
  <c r="W16"/>
  <c r="AF24"/>
  <c r="O33"/>
  <c r="AF10"/>
  <c r="AF12"/>
  <c r="AF18"/>
  <c r="AF20"/>
  <c r="X24"/>
  <c r="AF25"/>
  <c r="AF29"/>
  <c r="AF35"/>
  <c r="H37"/>
  <c r="AE9"/>
  <c r="AF23"/>
  <c r="O26"/>
  <c r="AF28"/>
  <c r="O8" i="6"/>
  <c r="O22"/>
  <c r="O26"/>
  <c r="W27"/>
  <c r="AF35"/>
  <c r="W36"/>
  <c r="AF11"/>
  <c r="O12"/>
  <c r="X16"/>
  <c r="O21"/>
  <c r="AF24"/>
  <c r="W25"/>
  <c r="X31"/>
  <c r="AF30" i="1"/>
  <c r="AF27"/>
  <c r="AE32"/>
  <c r="T11" i="2"/>
  <c r="S13" s="1"/>
  <c r="AF30" i="10"/>
  <c r="AF14"/>
  <c r="W24"/>
  <c r="AF27"/>
  <c r="AF36"/>
  <c r="AF32"/>
  <c r="AF8"/>
  <c r="W9"/>
  <c r="W26"/>
  <c r="E33" i="2"/>
  <c r="H11" i="13"/>
  <c r="H18"/>
  <c r="P25"/>
  <c r="P8"/>
  <c r="P12"/>
  <c r="X40" i="12"/>
  <c r="T25" i="2" s="1"/>
  <c r="P27" i="12"/>
  <c r="H11"/>
  <c r="H13"/>
  <c r="G19"/>
  <c r="H21"/>
  <c r="H32"/>
  <c r="P10" i="11"/>
  <c r="G23"/>
  <c r="X40" i="10"/>
  <c r="T23" i="2" s="1"/>
  <c r="W13" i="9"/>
  <c r="O35"/>
  <c r="H40"/>
  <c r="D22" i="2" s="1"/>
  <c r="X15" i="7"/>
  <c r="X27"/>
  <c r="W13"/>
  <c r="X17"/>
  <c r="W19"/>
  <c r="O20"/>
  <c r="H40"/>
  <c r="D20" i="2" s="1"/>
  <c r="X9" i="6"/>
  <c r="X30"/>
  <c r="X11"/>
  <c r="W12"/>
  <c r="W21"/>
  <c r="X26"/>
  <c r="O10"/>
  <c r="O14"/>
  <c r="O19"/>
  <c r="O23"/>
  <c r="X10" i="5"/>
  <c r="X23"/>
  <c r="X17"/>
  <c r="W19"/>
  <c r="X21"/>
  <c r="X24"/>
  <c r="X36"/>
  <c r="X9"/>
  <c r="O20"/>
  <c r="O21"/>
  <c r="O39" i="14"/>
  <c r="K8" i="2" s="1"/>
  <c r="K9" s="1"/>
  <c r="P12" i="14"/>
  <c r="P17"/>
  <c r="P19"/>
  <c r="P22"/>
  <c r="P28"/>
  <c r="P33"/>
  <c r="P35"/>
  <c r="P10"/>
  <c r="P23"/>
  <c r="P26"/>
  <c r="P32"/>
  <c r="P37"/>
  <c r="P8"/>
  <c r="P15"/>
  <c r="P18"/>
  <c r="P29"/>
  <c r="P31"/>
  <c r="P34"/>
  <c r="G9"/>
  <c r="G39" s="1"/>
  <c r="C8" i="2" s="1"/>
  <c r="C9" s="1"/>
  <c r="H10" i="14"/>
  <c r="H40" s="1"/>
  <c r="D8" i="2" s="1"/>
  <c r="D9" s="1"/>
  <c r="D10" s="1"/>
  <c r="G13" i="14"/>
  <c r="H14"/>
  <c r="G17"/>
  <c r="H18"/>
  <c r="G21"/>
  <c r="H22"/>
  <c r="G25"/>
  <c r="H26"/>
  <c r="G29"/>
  <c r="H30"/>
  <c r="G33"/>
  <c r="H34"/>
  <c r="G37"/>
  <c r="X40"/>
  <c r="W8"/>
  <c r="AF8"/>
  <c r="W9"/>
  <c r="AF9"/>
  <c r="W10"/>
  <c r="AF10"/>
  <c r="W11"/>
  <c r="AF11"/>
  <c r="W12"/>
  <c r="AF12"/>
  <c r="W13"/>
  <c r="AF13"/>
  <c r="W14"/>
  <c r="AF14"/>
  <c r="W15"/>
  <c r="AF15"/>
  <c r="W16"/>
  <c r="AF16"/>
  <c r="W17"/>
  <c r="AF17"/>
  <c r="W18"/>
  <c r="AF18"/>
  <c r="W19"/>
  <c r="AF19"/>
  <c r="W20"/>
  <c r="AF20"/>
  <c r="W21"/>
  <c r="AF21"/>
  <c r="W22"/>
  <c r="AF22"/>
  <c r="W23"/>
  <c r="AF23"/>
  <c r="W24"/>
  <c r="AF24"/>
  <c r="W25"/>
  <c r="AF25"/>
  <c r="W26"/>
  <c r="AF26"/>
  <c r="W27"/>
  <c r="AF27"/>
  <c r="W28"/>
  <c r="AF28"/>
  <c r="W29"/>
  <c r="AF29"/>
  <c r="W30"/>
  <c r="AF30"/>
  <c r="W31"/>
  <c r="AF31"/>
  <c r="W32"/>
  <c r="AF32"/>
  <c r="W33"/>
  <c r="AF33"/>
  <c r="W34"/>
  <c r="AF34"/>
  <c r="W35"/>
  <c r="AF35"/>
  <c r="W36"/>
  <c r="AF36"/>
  <c r="W37"/>
  <c r="AF37"/>
  <c r="W38"/>
  <c r="AF38"/>
  <c r="W12" i="4"/>
  <c r="X33"/>
  <c r="W17"/>
  <c r="X25"/>
  <c r="O36"/>
  <c r="O38"/>
  <c r="O19"/>
  <c r="G38"/>
  <c r="H23" i="12"/>
  <c r="P15" i="4"/>
  <c r="O15"/>
  <c r="AE14" i="5"/>
  <c r="AF14"/>
  <c r="P18"/>
  <c r="O18"/>
  <c r="W20"/>
  <c r="X20"/>
  <c r="AE21"/>
  <c r="AF21"/>
  <c r="AE15" i="6"/>
  <c r="AF15"/>
  <c r="U33" i="2"/>
  <c r="X30"/>
  <c r="X38" i="1"/>
  <c r="W13" i="4"/>
  <c r="W18"/>
  <c r="O20"/>
  <c r="AE21"/>
  <c r="O9" i="5"/>
  <c r="AF33"/>
  <c r="W34"/>
  <c r="W13" i="6"/>
  <c r="O15"/>
  <c r="W22"/>
  <c r="AE39" i="7"/>
  <c r="AA20" i="2" s="1"/>
  <c r="W19" i="4"/>
  <c r="X19"/>
  <c r="AE20"/>
  <c r="AF20"/>
  <c r="AE23"/>
  <c r="AF23"/>
  <c r="AE25"/>
  <c r="AF25"/>
  <c r="AE30"/>
  <c r="AF30"/>
  <c r="P33"/>
  <c r="O33"/>
  <c r="AE37"/>
  <c r="AF37"/>
  <c r="AE9" i="5"/>
  <c r="AF9"/>
  <c r="AE32"/>
  <c r="AF32"/>
  <c r="W14" i="6"/>
  <c r="X14"/>
  <c r="W23"/>
  <c r="X23"/>
  <c r="O30" i="2"/>
  <c r="N30"/>
  <c r="O25" i="1"/>
  <c r="O31"/>
  <c r="W13"/>
  <c r="W20"/>
  <c r="AF15" i="4"/>
  <c r="O22"/>
  <c r="W35"/>
  <c r="AE11" i="5"/>
  <c r="AE39" s="1"/>
  <c r="O17"/>
  <c r="AE25"/>
  <c r="AF31"/>
  <c r="AE8" i="6"/>
  <c r="AE17"/>
  <c r="AE19"/>
  <c r="AE14" i="4"/>
  <c r="AF14"/>
  <c r="W36"/>
  <c r="X36"/>
  <c r="W16" i="5"/>
  <c r="X16"/>
  <c r="AE17"/>
  <c r="AF17"/>
  <c r="P22"/>
  <c r="O22"/>
  <c r="AE30"/>
  <c r="AF30"/>
  <c r="W33"/>
  <c r="X33"/>
  <c r="W10" i="6"/>
  <c r="X10"/>
  <c r="P16"/>
  <c r="O16"/>
  <c r="W18"/>
  <c r="X18"/>
  <c r="W20"/>
  <c r="X20"/>
  <c r="O27" i="1"/>
  <c r="W30"/>
  <c r="AE28" i="4"/>
  <c r="O9" i="6"/>
  <c r="AF9"/>
  <c r="AE9" i="4"/>
  <c r="AF9"/>
  <c r="P24"/>
  <c r="P40" s="1"/>
  <c r="L17" i="2" s="1"/>
  <c r="O24" i="4"/>
  <c r="P26"/>
  <c r="O26"/>
  <c r="AE32"/>
  <c r="AF32"/>
  <c r="P10" i="5"/>
  <c r="O10"/>
  <c r="AE28"/>
  <c r="AF28"/>
  <c r="W31"/>
  <c r="X31"/>
  <c r="W8" i="6"/>
  <c r="X8"/>
  <c r="AE16"/>
  <c r="AF16"/>
  <c r="W19"/>
  <c r="X19"/>
  <c r="AF40" i="4"/>
  <c r="AE28" i="6"/>
  <c r="O29"/>
  <c r="O30"/>
  <c r="O31"/>
  <c r="AF33"/>
  <c r="W11" i="7"/>
  <c r="W12"/>
  <c r="W21"/>
  <c r="W25"/>
  <c r="AE26"/>
  <c r="O27"/>
  <c r="W29"/>
  <c r="X30"/>
  <c r="AE31"/>
  <c r="O32"/>
  <c r="AE33"/>
  <c r="W35"/>
  <c r="AE36"/>
  <c r="AE9" i="8"/>
  <c r="O10"/>
  <c r="X12"/>
  <c r="O13"/>
  <c r="W14"/>
  <c r="W17"/>
  <c r="O22"/>
  <c r="X24"/>
  <c r="O25"/>
  <c r="X32"/>
  <c r="O33"/>
  <c r="W14" i="9"/>
  <c r="AE15"/>
  <c r="AE16"/>
  <c r="O17"/>
  <c r="W19"/>
  <c r="AE20"/>
  <c r="O21"/>
  <c r="AE22"/>
  <c r="O31"/>
  <c r="W37"/>
  <c r="AF10" i="10"/>
  <c r="W11"/>
  <c r="AF12"/>
  <c r="W16"/>
  <c r="W17"/>
  <c r="W18"/>
  <c r="AE19"/>
  <c r="AE39" s="1"/>
  <c r="AA23" i="2" s="1"/>
  <c r="H24" i="10"/>
  <c r="H25"/>
  <c r="AE26"/>
  <c r="AF28"/>
  <c r="W29"/>
  <c r="AF33"/>
  <c r="AF37"/>
  <c r="W38"/>
  <c r="X8" i="11"/>
  <c r="X40" s="1"/>
  <c r="T24" i="2" s="1"/>
  <c r="O9" i="11"/>
  <c r="O39" s="1"/>
  <c r="K24" i="2" s="1"/>
  <c r="AF31" i="11"/>
  <c r="W32"/>
  <c r="AF33"/>
  <c r="W34"/>
  <c r="AF35"/>
  <c r="W36"/>
  <c r="AF37"/>
  <c r="W38"/>
  <c r="H8" i="12"/>
  <c r="H9"/>
  <c r="AF9"/>
  <c r="AE14"/>
  <c r="O20"/>
  <c r="AE23"/>
  <c r="AE25"/>
  <c r="H28"/>
  <c r="AE29"/>
  <c r="AE37"/>
  <c r="AE38"/>
  <c r="H12" i="13"/>
  <c r="O16"/>
  <c r="O17"/>
  <c r="AE17"/>
  <c r="AE20"/>
  <c r="G25"/>
  <c r="AE26"/>
  <c r="AE28"/>
  <c r="AE30"/>
  <c r="O32"/>
  <c r="AE32"/>
  <c r="O33"/>
  <c r="AE33"/>
  <c r="O34"/>
  <c r="AE34"/>
  <c r="G37" i="6"/>
  <c r="AE39" i="8"/>
  <c r="AA21" i="2" s="1"/>
  <c r="AF10" i="4"/>
  <c r="O12"/>
  <c r="O13"/>
  <c r="O14"/>
  <c r="O17"/>
  <c r="W21"/>
  <c r="O30"/>
  <c r="O35"/>
  <c r="O14" i="5"/>
  <c r="O19"/>
  <c r="AF29"/>
  <c r="AF34"/>
  <c r="AF36"/>
  <c r="AF27" i="6"/>
  <c r="AF32"/>
  <c r="AF36"/>
  <c r="AF8" i="7"/>
  <c r="O11"/>
  <c r="O14"/>
  <c r="AF14"/>
  <c r="AF17"/>
  <c r="O19"/>
  <c r="O22"/>
  <c r="AF22"/>
  <c r="O25"/>
  <c r="X26"/>
  <c r="AF27"/>
  <c r="O29"/>
  <c r="O30"/>
  <c r="X33"/>
  <c r="AF37"/>
  <c r="X9" i="8"/>
  <c r="AF10"/>
  <c r="X13"/>
  <c r="O14"/>
  <c r="O15"/>
  <c r="AF15"/>
  <c r="AF18"/>
  <c r="O20"/>
  <c r="P24"/>
  <c r="X26"/>
  <c r="P28"/>
  <c r="X30"/>
  <c r="P32"/>
  <c r="P36"/>
  <c r="O9" i="9"/>
  <c r="AF9"/>
  <c r="AF10"/>
  <c r="AF12"/>
  <c r="X15"/>
  <c r="X16"/>
  <c r="AF17"/>
  <c r="X20"/>
  <c r="AF21"/>
  <c r="AF23"/>
  <c r="X26"/>
  <c r="AF27"/>
  <c r="O29"/>
  <c r="H38" i="8"/>
  <c r="H40" s="1"/>
  <c r="AF9" i="10"/>
  <c r="W10"/>
  <c r="AF11"/>
  <c r="W12"/>
  <c r="AF21"/>
  <c r="AF23"/>
  <c r="AF24"/>
  <c r="AF25"/>
  <c r="AF29"/>
  <c r="AF35"/>
  <c r="AF38"/>
  <c r="P8" i="11"/>
  <c r="X10"/>
  <c r="P11"/>
  <c r="G21"/>
  <c r="P22"/>
  <c r="W31"/>
  <c r="AF32"/>
  <c r="W33"/>
  <c r="AF34"/>
  <c r="W35"/>
  <c r="AF36"/>
  <c r="W37"/>
  <c r="AF38"/>
  <c r="AF8" i="12"/>
  <c r="AF10"/>
  <c r="W12"/>
  <c r="AE16"/>
  <c r="H18"/>
  <c r="H20"/>
  <c r="O22"/>
  <c r="P26"/>
  <c r="P32"/>
  <c r="AE35"/>
  <c r="AE9" i="13"/>
  <c r="P10"/>
  <c r="AE11"/>
  <c r="AE12"/>
  <c r="P15"/>
  <c r="H17"/>
  <c r="P18"/>
  <c r="O19"/>
  <c r="P23"/>
  <c r="AE24"/>
  <c r="H32"/>
  <c r="G34"/>
  <c r="AE36"/>
  <c r="D17" i="2"/>
  <c r="O28" i="6"/>
  <c r="AF29"/>
  <c r="AF30"/>
  <c r="AF31"/>
  <c r="O33"/>
  <c r="AF34"/>
  <c r="X35"/>
  <c r="O8" i="7"/>
  <c r="O9"/>
  <c r="O15"/>
  <c r="O18"/>
  <c r="W20"/>
  <c r="O23"/>
  <c r="O28"/>
  <c r="W34"/>
  <c r="X8" i="8"/>
  <c r="O16"/>
  <c r="O19"/>
  <c r="X23"/>
  <c r="X27"/>
  <c r="X31"/>
  <c r="X35"/>
  <c r="O10" i="9"/>
  <c r="O11"/>
  <c r="O13"/>
  <c r="O18"/>
  <c r="O22"/>
  <c r="O24"/>
  <c r="O28"/>
  <c r="O32"/>
  <c r="AF13" i="10"/>
  <c r="H17"/>
  <c r="H18"/>
  <c r="W20"/>
  <c r="W27"/>
  <c r="AF31"/>
  <c r="W32"/>
  <c r="AF34"/>
  <c r="AE39" i="11"/>
  <c r="AA24" i="2" s="1"/>
  <c r="G26" i="11"/>
  <c r="W30"/>
  <c r="AE15" i="12"/>
  <c r="AE22"/>
  <c r="P25"/>
  <c r="AE26"/>
  <c r="AE28"/>
  <c r="P29"/>
  <c r="AE30"/>
  <c r="AE31"/>
  <c r="AE32"/>
  <c r="H34"/>
  <c r="AE34"/>
  <c r="AE10" i="13"/>
  <c r="G14"/>
  <c r="AE14"/>
  <c r="AE15"/>
  <c r="AE18"/>
  <c r="AE19"/>
  <c r="O20"/>
  <c r="AE23"/>
  <c r="AE35"/>
  <c r="H38"/>
  <c r="AE38"/>
  <c r="H36"/>
  <c r="H28"/>
  <c r="G13"/>
  <c r="P26"/>
  <c r="P28"/>
  <c r="O29"/>
  <c r="P30"/>
  <c r="O31"/>
  <c r="O35"/>
  <c r="O36"/>
  <c r="P13"/>
  <c r="O22"/>
  <c r="O14"/>
  <c r="G35"/>
  <c r="H37"/>
  <c r="H26"/>
  <c r="G27"/>
  <c r="H30"/>
  <c r="G21"/>
  <c r="G22"/>
  <c r="G23"/>
  <c r="G16"/>
  <c r="P9"/>
  <c r="G9"/>
  <c r="G8"/>
  <c r="H10"/>
  <c r="H35" i="12"/>
  <c r="H37"/>
  <c r="H36"/>
  <c r="O30"/>
  <c r="G30"/>
  <c r="O21"/>
  <c r="O23"/>
  <c r="O39" s="1"/>
  <c r="K25" i="2" s="1"/>
  <c r="G22" i="12"/>
  <c r="G24"/>
  <c r="H25"/>
  <c r="P18"/>
  <c r="H15"/>
  <c r="H17"/>
  <c r="H14"/>
  <c r="H16"/>
  <c r="W11"/>
  <c r="W10"/>
  <c r="W9"/>
  <c r="P24" i="11"/>
  <c r="P25"/>
  <c r="G24"/>
  <c r="H25"/>
  <c r="P21"/>
  <c r="G20"/>
  <c r="G18"/>
  <c r="G11"/>
  <c r="V30" i="2"/>
  <c r="AD30"/>
  <c r="AE30"/>
  <c r="G30"/>
  <c r="M33"/>
  <c r="W30"/>
  <c r="AC33"/>
  <c r="F30"/>
  <c r="F33" s="1"/>
  <c r="P30"/>
  <c r="N33" s="1"/>
  <c r="AB11"/>
  <c r="AA13" s="1"/>
  <c r="W34" i="10"/>
  <c r="W36"/>
  <c r="W33"/>
  <c r="W35"/>
  <c r="W37"/>
  <c r="W28"/>
  <c r="W30"/>
  <c r="H26"/>
  <c r="W21"/>
  <c r="W22"/>
  <c r="W19"/>
  <c r="W23"/>
  <c r="H19"/>
  <c r="H20"/>
  <c r="H21"/>
  <c r="H22"/>
  <c r="H23"/>
  <c r="W14"/>
  <c r="W15"/>
  <c r="W13"/>
  <c r="H16"/>
  <c r="W8"/>
  <c r="O39"/>
  <c r="K23" i="2" s="1"/>
  <c r="G39" i="10"/>
  <c r="C23" i="2" s="1"/>
  <c r="H8" i="10"/>
  <c r="H9"/>
  <c r="AF37" i="9"/>
  <c r="AF36"/>
  <c r="O38"/>
  <c r="AF32"/>
  <c r="AE33"/>
  <c r="AF31"/>
  <c r="AF30"/>
  <c r="AE29"/>
  <c r="AE39" s="1"/>
  <c r="AA22" i="2" s="1"/>
  <c r="O36" i="9"/>
  <c r="X32"/>
  <c r="W31"/>
  <c r="X30"/>
  <c r="X29"/>
  <c r="O33"/>
  <c r="X12"/>
  <c r="X40" s="1"/>
  <c r="T22" i="2" s="1"/>
  <c r="W9" i="9"/>
  <c r="W8"/>
  <c r="X22"/>
  <c r="W8" i="13"/>
  <c r="AF8"/>
  <c r="W9"/>
  <c r="W10"/>
  <c r="W11"/>
  <c r="W12"/>
  <c r="W13"/>
  <c r="W14"/>
  <c r="W15"/>
  <c r="W16"/>
  <c r="AF16"/>
  <c r="W17"/>
  <c r="W18"/>
  <c r="W19"/>
  <c r="W20"/>
  <c r="W21"/>
  <c r="AF21"/>
  <c r="W22"/>
  <c r="AF22"/>
  <c r="W23"/>
  <c r="W24"/>
  <c r="W25"/>
  <c r="W26"/>
  <c r="W27"/>
  <c r="W28"/>
  <c r="W29"/>
  <c r="W30"/>
  <c r="W31"/>
  <c r="W32"/>
  <c r="W33"/>
  <c r="W34"/>
  <c r="W35"/>
  <c r="W36"/>
  <c r="W37"/>
  <c r="W38"/>
  <c r="P37"/>
  <c r="P38"/>
  <c r="W13" i="12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H10"/>
  <c r="P8"/>
  <c r="P9"/>
  <c r="P10"/>
  <c r="P11"/>
  <c r="P12"/>
  <c r="P13"/>
  <c r="P14"/>
  <c r="P15"/>
  <c r="P16"/>
  <c r="P17"/>
  <c r="P33"/>
  <c r="P34"/>
  <c r="P35"/>
  <c r="P36"/>
  <c r="P37"/>
  <c r="P38"/>
  <c r="AF8" i="11"/>
  <c r="AF9"/>
  <c r="AF10"/>
  <c r="W11"/>
  <c r="AF11"/>
  <c r="W12"/>
  <c r="AF12"/>
  <c r="W13"/>
  <c r="AF13"/>
  <c r="W14"/>
  <c r="AF14"/>
  <c r="W15"/>
  <c r="AF15"/>
  <c r="W16"/>
  <c r="AF16"/>
  <c r="W17"/>
  <c r="AF17"/>
  <c r="W18"/>
  <c r="AF18"/>
  <c r="W19"/>
  <c r="AF19"/>
  <c r="W20"/>
  <c r="AF20"/>
  <c r="W21"/>
  <c r="AF21"/>
  <c r="W22"/>
  <c r="AF22"/>
  <c r="W23"/>
  <c r="AF23"/>
  <c r="W24"/>
  <c r="AF24"/>
  <c r="W25"/>
  <c r="AF25"/>
  <c r="W26"/>
  <c r="AF26"/>
  <c r="W27"/>
  <c r="AF27"/>
  <c r="W28"/>
  <c r="AF28"/>
  <c r="W29"/>
  <c r="AF29"/>
  <c r="AF30"/>
  <c r="H8"/>
  <c r="H9"/>
  <c r="H10"/>
  <c r="H12"/>
  <c r="H13"/>
  <c r="H14"/>
  <c r="H15"/>
  <c r="H16"/>
  <c r="H17"/>
  <c r="H19"/>
  <c r="H27"/>
  <c r="H28"/>
  <c r="H29"/>
  <c r="H30"/>
  <c r="H31"/>
  <c r="H32"/>
  <c r="H33"/>
  <c r="H34"/>
  <c r="H35"/>
  <c r="H36"/>
  <c r="H37"/>
  <c r="H38"/>
  <c r="P12"/>
  <c r="P13"/>
  <c r="P14"/>
  <c r="P15"/>
  <c r="P16"/>
  <c r="P17"/>
  <c r="P18"/>
  <c r="P19"/>
  <c r="P20"/>
  <c r="P27"/>
  <c r="P28"/>
  <c r="P29"/>
  <c r="P30"/>
  <c r="P31"/>
  <c r="P32"/>
  <c r="P33"/>
  <c r="P34"/>
  <c r="P35"/>
  <c r="P36"/>
  <c r="P37"/>
  <c r="P38"/>
  <c r="H10" i="10"/>
  <c r="H11"/>
  <c r="H12"/>
  <c r="H13"/>
  <c r="H14"/>
  <c r="H15"/>
  <c r="H27"/>
  <c r="H28"/>
  <c r="H29"/>
  <c r="H30"/>
  <c r="H31"/>
  <c r="H32"/>
  <c r="H33"/>
  <c r="H34"/>
  <c r="H35"/>
  <c r="H36"/>
  <c r="H37"/>
  <c r="H38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G38" i="9"/>
  <c r="X22" i="8"/>
  <c r="X20"/>
  <c r="X18"/>
  <c r="X19"/>
  <c r="X21"/>
  <c r="X11"/>
  <c r="W15"/>
  <c r="O11"/>
  <c r="O12"/>
  <c r="O8"/>
  <c r="O18"/>
  <c r="X32" i="7"/>
  <c r="X36"/>
  <c r="W31"/>
  <c r="O31"/>
  <c r="W22"/>
  <c r="O24"/>
  <c r="O16"/>
  <c r="O21"/>
  <c r="W14"/>
  <c r="O13"/>
  <c r="O17"/>
  <c r="W9"/>
  <c r="W10"/>
  <c r="G8" i="9"/>
  <c r="G9"/>
  <c r="G10"/>
  <c r="G11"/>
  <c r="G12"/>
  <c r="G13"/>
  <c r="G14"/>
  <c r="G15"/>
  <c r="G16"/>
  <c r="P16"/>
  <c r="P40" s="1"/>
  <c r="L22" i="2" s="1"/>
  <c r="G17" i="9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O37"/>
  <c r="W38"/>
  <c r="AF38"/>
  <c r="G8" i="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O37"/>
  <c r="W38"/>
  <c r="AF12"/>
  <c r="AF13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P38"/>
  <c r="P38" i="6"/>
  <c r="H38"/>
  <c r="H40" s="1"/>
  <c r="D19" i="2" s="1"/>
  <c r="W32" i="6"/>
  <c r="W33"/>
  <c r="X34"/>
  <c r="O32"/>
  <c r="X28"/>
  <c r="O24"/>
  <c r="O27"/>
  <c r="O25"/>
  <c r="X24"/>
  <c r="O11"/>
  <c r="O13"/>
  <c r="O18"/>
  <c r="O17"/>
  <c r="O20"/>
  <c r="X35" i="5"/>
  <c r="X32"/>
  <c r="X25"/>
  <c r="X26"/>
  <c r="X27"/>
  <c r="X28"/>
  <c r="X29"/>
  <c r="W13"/>
  <c r="X12"/>
  <c r="X11"/>
  <c r="X40" s="1"/>
  <c r="T18" i="2" s="1"/>
  <c r="W14" i="5"/>
  <c r="W15"/>
  <c r="O11"/>
  <c r="O15"/>
  <c r="W8"/>
  <c r="O8"/>
  <c r="G8" i="7"/>
  <c r="G9"/>
  <c r="G10"/>
  <c r="P10"/>
  <c r="G11"/>
  <c r="G12"/>
  <c r="P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P34"/>
  <c r="G35"/>
  <c r="P35"/>
  <c r="G36"/>
  <c r="P36"/>
  <c r="O37"/>
  <c r="X37"/>
  <c r="AF38"/>
  <c r="AE39" i="6"/>
  <c r="AA19" i="2" s="1"/>
  <c r="G8" i="6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P34"/>
  <c r="G35"/>
  <c r="P35"/>
  <c r="G36"/>
  <c r="P36"/>
  <c r="O37"/>
  <c r="X37"/>
  <c r="W38"/>
  <c r="AF38"/>
  <c r="W37" i="4"/>
  <c r="G37"/>
  <c r="W31"/>
  <c r="W32"/>
  <c r="W30"/>
  <c r="X29"/>
  <c r="O31"/>
  <c r="O34"/>
  <c r="O28"/>
  <c r="O32"/>
  <c r="O29"/>
  <c r="X28"/>
  <c r="W22"/>
  <c r="W23"/>
  <c r="O27"/>
  <c r="O25"/>
  <c r="O23"/>
  <c r="O21"/>
  <c r="W16"/>
  <c r="W15"/>
  <c r="X14"/>
  <c r="O18"/>
  <c r="X11"/>
  <c r="X10"/>
  <c r="X40" s="1"/>
  <c r="W9"/>
  <c r="W8"/>
  <c r="O8"/>
  <c r="O9"/>
  <c r="O10"/>
  <c r="O11"/>
  <c r="G8" i="5"/>
  <c r="G9"/>
  <c r="G10"/>
  <c r="G11"/>
  <c r="G12"/>
  <c r="G13"/>
  <c r="G14"/>
  <c r="G15"/>
  <c r="G16"/>
  <c r="G17"/>
  <c r="G18"/>
  <c r="G19"/>
  <c r="G20"/>
  <c r="G21"/>
  <c r="G22"/>
  <c r="G23"/>
  <c r="P23"/>
  <c r="G24"/>
  <c r="P24"/>
  <c r="G25"/>
  <c r="P25"/>
  <c r="G26"/>
  <c r="P26"/>
  <c r="G27"/>
  <c r="P27"/>
  <c r="G28"/>
  <c r="P28"/>
  <c r="G29"/>
  <c r="P29"/>
  <c r="G30"/>
  <c r="P30"/>
  <c r="G31"/>
  <c r="P31"/>
  <c r="G32"/>
  <c r="P32"/>
  <c r="G33"/>
  <c r="P33"/>
  <c r="G34"/>
  <c r="P34"/>
  <c r="G35"/>
  <c r="P35"/>
  <c r="G36"/>
  <c r="P36"/>
  <c r="O37"/>
  <c r="X37"/>
  <c r="AF38"/>
  <c r="W39" i="3"/>
  <c r="S16" i="2" s="1"/>
  <c r="AE39" i="4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O37"/>
  <c r="W38"/>
  <c r="AE39" i="3"/>
  <c r="AA16" i="2" s="1"/>
  <c r="H8" i="3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W25" i="1"/>
  <c r="P12"/>
  <c r="G37"/>
  <c r="O16"/>
  <c r="O29"/>
  <c r="W26"/>
  <c r="W28"/>
  <c r="W33"/>
  <c r="AF15"/>
  <c r="AE18"/>
  <c r="P20"/>
  <c r="O28"/>
  <c r="O33"/>
  <c r="O35"/>
  <c r="O11"/>
  <c r="H15"/>
  <c r="H14"/>
  <c r="P24"/>
  <c r="O9"/>
  <c r="O19"/>
  <c r="P36"/>
  <c r="AF11"/>
  <c r="AE14"/>
  <c r="W10"/>
  <c r="W12"/>
  <c r="W14"/>
  <c r="W16"/>
  <c r="W21"/>
  <c r="W34"/>
  <c r="W18"/>
  <c r="W29"/>
  <c r="H18"/>
  <c r="P8"/>
  <c r="H19"/>
  <c r="H13"/>
  <c r="O13"/>
  <c r="O15"/>
  <c r="O21"/>
  <c r="O23"/>
  <c r="O32"/>
  <c r="W8"/>
  <c r="W17"/>
  <c r="W22"/>
  <c r="W24"/>
  <c r="X37"/>
  <c r="AF10"/>
  <c r="AF19"/>
  <c r="AE22"/>
  <c r="AF26"/>
  <c r="AE33"/>
  <c r="AF34"/>
  <c r="AE37"/>
  <c r="AF38"/>
  <c r="AF23"/>
  <c r="P17"/>
  <c r="AF8"/>
  <c r="AF12"/>
  <c r="AF16"/>
  <c r="AF20"/>
  <c r="AF24"/>
  <c r="AF28"/>
  <c r="AE31"/>
  <c r="AE35"/>
  <c r="AF36"/>
  <c r="AF9"/>
  <c r="AF13"/>
  <c r="AF17"/>
  <c r="AF21"/>
  <c r="AF25"/>
  <c r="AF29"/>
  <c r="W11"/>
  <c r="W15"/>
  <c r="W19"/>
  <c r="W23"/>
  <c r="W27"/>
  <c r="W31"/>
  <c r="X32"/>
  <c r="W35"/>
  <c r="X36"/>
  <c r="P10"/>
  <c r="P14"/>
  <c r="P18"/>
  <c r="P22"/>
  <c r="P26"/>
  <c r="P30"/>
  <c r="P34"/>
  <c r="H22"/>
  <c r="H17"/>
  <c r="G33"/>
  <c r="G36"/>
  <c r="H21"/>
  <c r="H38"/>
  <c r="H35"/>
  <c r="H20"/>
  <c r="H34"/>
  <c r="H26"/>
  <c r="G25"/>
  <c r="H24"/>
  <c r="G28"/>
  <c r="H27"/>
  <c r="G32"/>
  <c r="G29"/>
  <c r="G30"/>
  <c r="G31"/>
  <c r="F23"/>
  <c r="H23" s="1"/>
  <c r="F12"/>
  <c r="H12" s="1"/>
  <c r="F11"/>
  <c r="H11" s="1"/>
  <c r="F10"/>
  <c r="H10" s="1"/>
  <c r="F9"/>
  <c r="H9" s="1"/>
  <c r="F8"/>
  <c r="H8" s="1"/>
  <c r="P40" i="13" l="1"/>
  <c r="L26" i="2" s="1"/>
  <c r="AE39" i="13"/>
  <c r="AA26" i="2" s="1"/>
  <c r="G39" i="12"/>
  <c r="C25" i="2" s="1"/>
  <c r="AE39" i="12"/>
  <c r="AA25" i="2" s="1"/>
  <c r="AF40" i="9"/>
  <c r="AB22" i="2" s="1"/>
  <c r="P40" i="8"/>
  <c r="L21" i="2" s="1"/>
  <c r="AF40" i="8"/>
  <c r="AB21" i="2" s="1"/>
  <c r="P40" i="7"/>
  <c r="L20" i="2" s="1"/>
  <c r="X40" i="7"/>
  <c r="T20" i="2" s="1"/>
  <c r="O39" i="7"/>
  <c r="K20" i="2" s="1"/>
  <c r="AF40" i="7"/>
  <c r="AB20" i="2" s="1"/>
  <c r="AF40" i="6"/>
  <c r="AB19" i="2" s="1"/>
  <c r="X40" i="1"/>
  <c r="T15" i="2" s="1"/>
  <c r="AF40" i="10"/>
  <c r="AB23" i="2" s="1"/>
  <c r="AF40" i="5"/>
  <c r="AB18" i="2" s="1"/>
  <c r="D11"/>
  <c r="C13" s="1"/>
  <c r="H40" i="13"/>
  <c r="W39" i="12"/>
  <c r="S25" i="2" s="1"/>
  <c r="W39" i="10"/>
  <c r="S23" i="2" s="1"/>
  <c r="W39" i="9"/>
  <c r="S22" i="2" s="1"/>
  <c r="W39" i="8"/>
  <c r="S21" i="2" s="1"/>
  <c r="W39" i="7"/>
  <c r="S20" i="2" s="1"/>
  <c r="G39" i="7"/>
  <c r="C20" i="2" s="1"/>
  <c r="X40" i="6"/>
  <c r="T19" i="2" s="1"/>
  <c r="P40" i="6"/>
  <c r="L19" i="2" s="1"/>
  <c r="W39" i="5"/>
  <c r="S18" i="2" s="1"/>
  <c r="P40" i="5"/>
  <c r="L18" i="2" s="1"/>
  <c r="G40"/>
  <c r="P40" i="14"/>
  <c r="L8" i="2" s="1"/>
  <c r="L9" s="1"/>
  <c r="L10" s="1"/>
  <c r="L11" s="1"/>
  <c r="K13" s="1"/>
  <c r="W39" i="14"/>
  <c r="AF40"/>
  <c r="T17" i="2"/>
  <c r="D21"/>
  <c r="H40" i="3"/>
  <c r="D16" i="2" s="1"/>
  <c r="H40" i="11"/>
  <c r="D24" i="2" s="1"/>
  <c r="P40" i="10"/>
  <c r="L23" i="2" s="1"/>
  <c r="H40" i="10"/>
  <c r="D23" i="2" s="1"/>
  <c r="X40" i="8"/>
  <c r="T21" i="2" s="1"/>
  <c r="P40" i="11"/>
  <c r="L24" i="2" s="1"/>
  <c r="W39" i="1"/>
  <c r="S15" i="2" s="1"/>
  <c r="W39" i="6"/>
  <c r="S19" i="2" s="1"/>
  <c r="AF40" i="11"/>
  <c r="AB24" i="2" s="1"/>
  <c r="P40" i="12"/>
  <c r="L25" i="2" s="1"/>
  <c r="AF40" i="13"/>
  <c r="AB26" i="2" s="1"/>
  <c r="G38"/>
  <c r="G39" i="11"/>
  <c r="C24" i="2" s="1"/>
  <c r="AF40" i="12"/>
  <c r="AB25" i="2" s="1"/>
  <c r="H40" i="12"/>
  <c r="D25" i="2" s="1"/>
  <c r="H40" i="1"/>
  <c r="D15" i="2" s="1"/>
  <c r="P40" i="1"/>
  <c r="L15" i="2" s="1"/>
  <c r="O39" i="1"/>
  <c r="K15" i="2" s="1"/>
  <c r="AF40" i="3"/>
  <c r="AB16" i="2" s="1"/>
  <c r="X40" i="3"/>
  <c r="T16" i="2" s="1"/>
  <c r="O39" i="8"/>
  <c r="K21" i="2" s="1"/>
  <c r="O39" i="9"/>
  <c r="K22" i="2" s="1"/>
  <c r="P40" i="3"/>
  <c r="L16" i="2" s="1"/>
  <c r="O39" i="13"/>
  <c r="K26" i="2" s="1"/>
  <c r="G39" i="13"/>
  <c r="C26" i="2" s="1"/>
  <c r="W39" i="11"/>
  <c r="S24" i="2" s="1"/>
  <c r="V33"/>
  <c r="N36" s="1"/>
  <c r="AD33"/>
  <c r="W39" i="13"/>
  <c r="S26" i="2" s="1"/>
  <c r="G39" i="9"/>
  <c r="C22" i="2" s="1"/>
  <c r="G39" i="8"/>
  <c r="C21" i="2" s="1"/>
  <c r="O39" i="5"/>
  <c r="K18" i="2" s="1"/>
  <c r="O39" i="6"/>
  <c r="K19" i="2" s="1"/>
  <c r="G39" i="6"/>
  <c r="C19" i="2" s="1"/>
  <c r="O39" i="4"/>
  <c r="K17" i="2" s="1"/>
  <c r="W39" i="4"/>
  <c r="S17" i="2" s="1"/>
  <c r="G39" i="5"/>
  <c r="C18" i="2" s="1"/>
  <c r="O39" i="3"/>
  <c r="K16" i="2" s="1"/>
  <c r="G39" i="4"/>
  <c r="C17" i="2" s="1"/>
  <c r="AE39" i="1"/>
  <c r="AA15" i="2" s="1"/>
  <c r="AF40" i="1"/>
  <c r="AB15" i="2" s="1"/>
  <c r="G8" i="1"/>
  <c r="G9"/>
  <c r="G10"/>
  <c r="G11"/>
  <c r="G12"/>
  <c r="G23"/>
  <c r="AB27" i="2" l="1"/>
  <c r="AB28" s="1"/>
  <c r="D27"/>
  <c r="D28" s="1"/>
  <c r="AA27"/>
  <c r="S27"/>
  <c r="T27"/>
  <c r="T28" s="1"/>
  <c r="L27"/>
  <c r="L28" s="1"/>
  <c r="K27"/>
  <c r="G39" i="1"/>
  <c r="C15" i="2" s="1"/>
  <c r="C27" s="1"/>
  <c r="AB29" l="1"/>
  <c r="AA31" s="1"/>
  <c r="AA33" s="1"/>
  <c r="D29"/>
  <c r="C31" s="1"/>
  <c r="C33" s="1"/>
  <c r="T29"/>
  <c r="S31" s="1"/>
  <c r="S33" s="1"/>
  <c r="L29"/>
  <c r="K31" l="1"/>
  <c r="K33" s="1"/>
  <c r="N38" l="1"/>
  <c r="N40" s="1"/>
</calcChain>
</file>

<file path=xl/sharedStrings.xml><?xml version="1.0" encoding="utf-8"?>
<sst xmlns="http://schemas.openxmlformats.org/spreadsheetml/2006/main" count="549" uniqueCount="81">
  <si>
    <t>Nb: les temps de garde supérieurs ou égaux à</t>
  </si>
  <si>
    <t>sont comptées pour une journée</t>
  </si>
  <si>
    <t>ceux inférieurs à</t>
  </si>
  <si>
    <t xml:space="preserve"> sont comptés en nombre d'heures</t>
  </si>
  <si>
    <t>Arrivée</t>
  </si>
  <si>
    <t>départ</t>
  </si>
  <si>
    <t>Temps de garde</t>
  </si>
  <si>
    <t>Journées complètes</t>
  </si>
  <si>
    <t>Heures</t>
  </si>
  <si>
    <t>Total des jours complets</t>
  </si>
  <si>
    <t>Total des heures</t>
  </si>
  <si>
    <t xml:space="preserve">Nom et prénom de l'enfant :  </t>
  </si>
  <si>
    <t>JOURS
(pour journée de 8h et +)</t>
  </si>
  <si>
    <t>HEURES
(pour journée de - 8h)</t>
  </si>
  <si>
    <t xml:space="preserve">Salaires nets impossable
+ indémnités repas et d'entretien </t>
  </si>
  <si>
    <t>salaires net impossable</t>
  </si>
  <si>
    <t>indemnités diverses</t>
  </si>
  <si>
    <t>Entretien</t>
  </si>
  <si>
    <t>Repas fourni par l'ass mat</t>
  </si>
  <si>
    <t>Evaluation repas fourni par les parents</t>
  </si>
  <si>
    <t xml:space="preserve">SOUS TOTAL </t>
  </si>
  <si>
    <t>Divisé par 8h théoriques</t>
  </si>
  <si>
    <t>Nbre de jours total</t>
  </si>
  <si>
    <t>X par 3h SMIC</t>
  </si>
  <si>
    <t xml:space="preserve">Abattement = </t>
  </si>
  <si>
    <t>SOUS TOTAL 2</t>
  </si>
  <si>
    <t xml:space="preserve">TOTAL ANNUEL </t>
  </si>
  <si>
    <t>Somme à déclarer selon le régime du droit commun</t>
  </si>
  <si>
    <t>Total salaires nets impossables</t>
  </si>
  <si>
    <t>Somme à déclarer aux services fiscaux</t>
  </si>
  <si>
    <t>(rubrique salaires)</t>
  </si>
  <si>
    <t>Si total trouver négatif alors déclarer 0€</t>
  </si>
  <si>
    <t xml:space="preserve"> Salaires + Indemnités</t>
  </si>
  <si>
    <t>Ttotal des Abattements</t>
  </si>
  <si>
    <t>Enfant 1</t>
  </si>
  <si>
    <t>Enfant 2</t>
  </si>
  <si>
    <t>Enfant 3</t>
  </si>
  <si>
    <t>Enfant 4</t>
  </si>
  <si>
    <t>Nom:</t>
  </si>
  <si>
    <t>CALENDRIER</t>
  </si>
  <si>
    <t>SMIC</t>
  </si>
  <si>
    <t>SMIC -1</t>
  </si>
  <si>
    <t>1er Janvier</t>
  </si>
  <si>
    <t>1er mai</t>
  </si>
  <si>
    <t>14 juillet</t>
  </si>
  <si>
    <t>15 Aout</t>
  </si>
  <si>
    <t>1er Novembre</t>
  </si>
  <si>
    <t>11 Novembre</t>
  </si>
  <si>
    <t>25 Decembre</t>
  </si>
  <si>
    <t>Pâques</t>
  </si>
  <si>
    <t>Lundi</t>
  </si>
  <si>
    <t>Jeudi Ass</t>
  </si>
  <si>
    <t>Lundi Pend</t>
  </si>
  <si>
    <t>JOURS FERIES</t>
  </si>
  <si>
    <t>Bouton Vacances</t>
  </si>
  <si>
    <t>25 Decembre N-1</t>
  </si>
  <si>
    <t>Epiphanie</t>
  </si>
  <si>
    <t>Chandeleur</t>
  </si>
  <si>
    <t>Mardi Gras</t>
  </si>
  <si>
    <t>Fête des Pères</t>
  </si>
  <si>
    <t>Fête des Mères</t>
  </si>
  <si>
    <t>FÊTES</t>
  </si>
  <si>
    <t>CALCUL DES REVENUS ASSMAT ANNEE</t>
  </si>
  <si>
    <t xml:space="preserve">CALCUL DES REVENUS ASSMAT ANNEE  </t>
  </si>
  <si>
    <t>juin</t>
  </si>
  <si>
    <t>dimanche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</si>
  <si>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</si>
  <si>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</si>
  <si>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</si>
  <si>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</si>
  <si>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</si>
  <si>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</si>
  <si>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</si>
  <si>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</si>
  <si>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</si>
  <si>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</si>
  <si>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</si>
  <si>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</si>
  <si>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Fête de la music</t>
  </si>
  <si>
    <t>Fête des mere</t>
  </si>
  <si>
    <t>Fête des père</t>
  </si>
</sst>
</file>

<file path=xl/styles.xml><?xml version="1.0" encoding="utf-8"?>
<styleSheet xmlns="http://schemas.openxmlformats.org/spreadsheetml/2006/main">
  <numFmts count="17">
    <numFmt numFmtId="44" formatCode="_-* #,##0.00\ &quot;€&quot;_-;\-* #,##0.00\ &quot;€&quot;_-;_-* &quot;-&quot;??\ &quot;€&quot;_-;_-@_-"/>
    <numFmt numFmtId="164" formatCode="[$-F800]dddd\,\ mmmm\ dd\,\ yyyy"/>
    <numFmt numFmtId="165" formatCode="[$-F400]h:mm:ss\ AM/PM"/>
    <numFmt numFmtId="166" formatCode="#,##0.00\ &quot;€&quot;"/>
    <numFmt numFmtId="167" formatCode="h:mm;@"/>
    <numFmt numFmtId="168" formatCode="[$-40C]d\-mmm;@"/>
    <numFmt numFmtId="169" formatCode="[hh]"/>
    <numFmt numFmtId="170" formatCode="[$-40C]d\-mmm\-yy;@"/>
    <numFmt numFmtId="171" formatCode="dd\ mmm\ yy"/>
    <numFmt numFmtId="172" formatCode="[$-40C]mmm\-yy;@"/>
    <numFmt numFmtId="173" formatCode="[$-40C]mmmm\-yy;@"/>
    <numFmt numFmtId="174" formatCode="yyyy"/>
    <numFmt numFmtId="175" formatCode="d/m/yy;@"/>
    <numFmt numFmtId="176" formatCode="dd/mm/yy;@"/>
    <numFmt numFmtId="177" formatCode="dd"/>
    <numFmt numFmtId="178" formatCode="mmmm"/>
    <numFmt numFmtId="179" formatCode="[$-40C]mmmmm;@"/>
  </numFmts>
  <fonts count="3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b/>
      <sz val="14"/>
      <color theme="3"/>
      <name val="Arial"/>
      <family val="2"/>
    </font>
    <font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indexed="12"/>
      <name val="Arial"/>
      <family val="2"/>
    </font>
    <font>
      <sz val="10"/>
      <color rgb="FF0000FF"/>
      <name val="Arial"/>
      <family val="2"/>
    </font>
    <font>
      <b/>
      <sz val="10"/>
      <color rgb="FFFF0000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1"/>
      <color indexed="10"/>
      <name val="Arial"/>
      <family val="2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5" tint="0.59999389629810485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i/>
      <sz val="16"/>
      <name val="Calibri"/>
      <family val="2"/>
      <scheme val="minor"/>
    </font>
    <font>
      <b/>
      <u val="double"/>
      <sz val="14"/>
      <color theme="0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sz val="10"/>
      <name val="Arial"/>
      <family val="2"/>
    </font>
    <font>
      <b/>
      <sz val="18"/>
      <color theme="3"/>
      <name val="Arial"/>
      <family val="2"/>
    </font>
    <font>
      <u/>
      <sz val="11"/>
      <color theme="10"/>
      <name val="Calibri"/>
      <family val="2"/>
    </font>
    <font>
      <u/>
      <sz val="11"/>
      <color theme="0"/>
      <name val="Calibri"/>
      <family val="2"/>
    </font>
    <font>
      <b/>
      <sz val="26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7"/>
      </patternFill>
    </fill>
    <fill>
      <patternFill patternType="solid">
        <fgColor theme="9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3399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medium">
        <color indexed="10"/>
      </left>
      <right/>
      <top style="medium">
        <color indexed="10"/>
      </top>
      <bottom style="medium">
        <color indexed="10"/>
      </bottom>
      <diagonal/>
    </border>
    <border>
      <left/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slantDashDot">
        <color indexed="64"/>
      </right>
      <top/>
      <bottom/>
      <diagonal/>
    </border>
    <border>
      <left style="medium">
        <color indexed="64"/>
      </left>
      <right style="slantDashDot">
        <color indexed="64"/>
      </right>
      <top/>
      <bottom style="medium">
        <color indexed="64"/>
      </bottom>
      <diagonal/>
    </border>
    <border>
      <left style="slantDashDot">
        <color indexed="64"/>
      </left>
      <right style="slantDashDot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ashed">
        <color indexed="64"/>
      </right>
      <top style="medium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double">
        <color auto="1"/>
      </left>
      <right style="dotted">
        <color auto="1"/>
      </right>
      <top style="double">
        <color auto="1"/>
      </top>
      <bottom style="dashed">
        <color auto="1"/>
      </bottom>
      <diagonal/>
    </border>
    <border>
      <left style="dotted">
        <color auto="1"/>
      </left>
      <right style="double">
        <color auto="1"/>
      </right>
      <top style="double">
        <color auto="1"/>
      </top>
      <bottom style="dashed">
        <color auto="1"/>
      </bottom>
      <diagonal/>
    </border>
    <border>
      <left style="double">
        <color auto="1"/>
      </left>
      <right style="dotted">
        <color auto="1"/>
      </right>
      <top style="dashed">
        <color auto="1"/>
      </top>
      <bottom style="double">
        <color auto="1"/>
      </bottom>
      <diagonal/>
    </border>
    <border>
      <left style="dotted">
        <color auto="1"/>
      </left>
      <right style="double">
        <color auto="1"/>
      </right>
      <top style="dashed">
        <color auto="1"/>
      </top>
      <bottom style="double">
        <color auto="1"/>
      </bottom>
      <diagonal/>
    </border>
  </borders>
  <cellStyleXfs count="8">
    <xf numFmtId="0" fontId="0" fillId="0" borderId="0"/>
    <xf numFmtId="0" fontId="2" fillId="0" borderId="0"/>
    <xf numFmtId="44" fontId="5" fillId="0" borderId="0" applyFont="0" applyFill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</cellStyleXfs>
  <cellXfs count="368">
    <xf numFmtId="0" fontId="0" fillId="0" borderId="0" xfId="0"/>
    <xf numFmtId="0" fontId="0" fillId="0" borderId="0" xfId="0" applyAlignment="1">
      <alignment horizontal="center"/>
    </xf>
    <xf numFmtId="0" fontId="5" fillId="0" borderId="5" xfId="1" applyFont="1" applyBorder="1" applyAlignment="1" applyProtection="1">
      <alignment horizontal="center" vertical="center" wrapText="1"/>
      <protection locked="0"/>
    </xf>
    <xf numFmtId="0" fontId="2" fillId="0" borderId="11" xfId="1" applyBorder="1" applyProtection="1"/>
    <xf numFmtId="166" fontId="2" fillId="0" borderId="11" xfId="1" applyNumberFormat="1" applyBorder="1" applyAlignment="1" applyProtection="1">
      <protection locked="0"/>
    </xf>
    <xf numFmtId="166" fontId="2" fillId="0" borderId="5" xfId="1" applyNumberFormat="1" applyBorder="1" applyAlignment="1" applyProtection="1">
      <protection locked="0"/>
    </xf>
    <xf numFmtId="0" fontId="1" fillId="0" borderId="0" xfId="0" applyFont="1" applyAlignment="1">
      <alignment horizontal="center"/>
    </xf>
    <xf numFmtId="0" fontId="0" fillId="0" borderId="0" xfId="0" applyFill="1"/>
    <xf numFmtId="0" fontId="1" fillId="0" borderId="2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0" fontId="1" fillId="0" borderId="0" xfId="0" applyFont="1" applyFill="1"/>
    <xf numFmtId="167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7" fontId="0" fillId="0" borderId="21" xfId="0" applyNumberForma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167" fontId="0" fillId="6" borderId="0" xfId="0" applyNumberForma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167" fontId="0" fillId="6" borderId="21" xfId="0" applyNumberFormat="1" applyFill="1" applyBorder="1" applyAlignment="1">
      <alignment horizontal="center"/>
    </xf>
    <xf numFmtId="0" fontId="0" fillId="6" borderId="0" xfId="0" applyFill="1"/>
    <xf numFmtId="167" fontId="17" fillId="6" borderId="0" xfId="0" applyNumberFormat="1" applyFont="1" applyFill="1" applyBorder="1" applyAlignment="1">
      <alignment horizontal="center"/>
    </xf>
    <xf numFmtId="0" fontId="17" fillId="6" borderId="0" xfId="0" applyFont="1" applyFill="1" applyBorder="1" applyAlignment="1">
      <alignment horizontal="center"/>
    </xf>
    <xf numFmtId="167" fontId="17" fillId="6" borderId="21" xfId="0" applyNumberFormat="1" applyFont="1" applyFill="1" applyBorder="1" applyAlignment="1">
      <alignment horizontal="center"/>
    </xf>
    <xf numFmtId="167" fontId="17" fillId="0" borderId="0" xfId="0" applyNumberFormat="1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167" fontId="17" fillId="0" borderId="21" xfId="0" applyNumberFormat="1" applyFont="1" applyFill="1" applyBorder="1" applyAlignment="1">
      <alignment horizontal="center"/>
    </xf>
    <xf numFmtId="167" fontId="0" fillId="0" borderId="0" xfId="0" applyNumberFormat="1"/>
    <xf numFmtId="1" fontId="0" fillId="0" borderId="0" xfId="0" applyNumberFormat="1"/>
    <xf numFmtId="0" fontId="0" fillId="0" borderId="0" xfId="0" applyNumberFormat="1"/>
    <xf numFmtId="0" fontId="0" fillId="0" borderId="24" xfId="0" applyNumberFormat="1" applyFill="1" applyBorder="1" applyAlignment="1">
      <alignment horizontal="center"/>
    </xf>
    <xf numFmtId="2" fontId="15" fillId="0" borderId="21" xfId="0" applyNumberFormat="1" applyFon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2" fontId="15" fillId="0" borderId="0" xfId="0" applyNumberFormat="1" applyFont="1" applyFill="1" applyBorder="1" applyAlignment="1">
      <alignment horizontal="center"/>
    </xf>
    <xf numFmtId="2" fontId="0" fillId="0" borderId="0" xfId="0" applyNumberFormat="1" applyFill="1"/>
    <xf numFmtId="0" fontId="2" fillId="0" borderId="0" xfId="1" applyProtection="1">
      <protection locked="0"/>
    </xf>
    <xf numFmtId="0" fontId="2" fillId="0" borderId="0" xfId="1" applyFill="1" applyBorder="1" applyProtection="1">
      <protection locked="0"/>
    </xf>
    <xf numFmtId="2" fontId="7" fillId="0" borderId="0" xfId="1" applyNumberFormat="1" applyFont="1" applyFill="1" applyBorder="1" applyAlignment="1" applyProtection="1">
      <protection locked="0"/>
    </xf>
    <xf numFmtId="0" fontId="2" fillId="0" borderId="0" xfId="1" applyFill="1" applyBorder="1" applyAlignment="1" applyProtection="1">
      <alignment horizontal="center"/>
      <protection locked="0"/>
    </xf>
    <xf numFmtId="0" fontId="2" fillId="0" borderId="11" xfId="1" applyNumberFormat="1" applyBorder="1" applyProtection="1"/>
    <xf numFmtId="2" fontId="2" fillId="0" borderId="11" xfId="1" applyNumberFormat="1" applyBorder="1" applyProtection="1"/>
    <xf numFmtId="0" fontId="4" fillId="0" borderId="0" xfId="1" applyFont="1" applyFill="1" applyProtection="1">
      <protection locked="0"/>
    </xf>
    <xf numFmtId="167" fontId="0" fillId="0" borderId="0" xfId="0" applyNumberFormat="1" applyFill="1" applyBorder="1" applyAlignment="1">
      <alignment horizontal="center" vertical="center"/>
    </xf>
    <xf numFmtId="0" fontId="17" fillId="0" borderId="0" xfId="0" applyFont="1" applyFill="1"/>
    <xf numFmtId="167" fontId="14" fillId="0" borderId="0" xfId="0" applyNumberFormat="1" applyFont="1" applyFill="1" applyBorder="1" applyAlignment="1">
      <alignment horizontal="center"/>
    </xf>
    <xf numFmtId="167" fontId="0" fillId="6" borderId="0" xfId="0" applyNumberFormat="1" applyFill="1" applyBorder="1" applyAlignment="1" applyProtection="1">
      <alignment horizontal="center"/>
      <protection locked="0"/>
    </xf>
    <xf numFmtId="167" fontId="0" fillId="0" borderId="0" xfId="0" applyNumberFormat="1" applyFill="1" applyBorder="1" applyAlignment="1" applyProtection="1">
      <alignment horizontal="center"/>
      <protection locked="0"/>
    </xf>
    <xf numFmtId="167" fontId="17" fillId="0" borderId="0" xfId="0" applyNumberFormat="1" applyFont="1" applyFill="1" applyBorder="1" applyAlignment="1" applyProtection="1">
      <alignment horizontal="center"/>
      <protection locked="0"/>
    </xf>
    <xf numFmtId="167" fontId="0" fillId="0" borderId="0" xfId="0" applyNumberForma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0" borderId="10" xfId="1" applyBorder="1" applyAlignment="1" applyProtection="1">
      <alignment horizontal="center" vertical="center" wrapText="1"/>
      <protection locked="0"/>
    </xf>
    <xf numFmtId="20" fontId="18" fillId="0" borderId="0" xfId="0" applyNumberFormat="1" applyFont="1" applyBorder="1" applyAlignment="1">
      <alignment horizontal="center" vertical="center" wrapText="1"/>
    </xf>
    <xf numFmtId="0" fontId="18" fillId="0" borderId="0" xfId="0" applyFont="1" applyBorder="1" applyAlignment="1">
      <alignment vertical="center" wrapText="1"/>
    </xf>
    <xf numFmtId="0" fontId="18" fillId="0" borderId="0" xfId="0" applyFont="1" applyAlignment="1">
      <alignment horizontal="center"/>
    </xf>
    <xf numFmtId="20" fontId="18" fillId="0" borderId="0" xfId="0" applyNumberFormat="1" applyFont="1" applyAlignment="1">
      <alignment horizontal="center"/>
    </xf>
    <xf numFmtId="20" fontId="18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/>
    <xf numFmtId="0" fontId="0" fillId="6" borderId="0" xfId="0" applyFill="1" applyAlignment="1"/>
    <xf numFmtId="0" fontId="0" fillId="0" borderId="18" xfId="0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5" fillId="0" borderId="18" xfId="0" applyFont="1" applyFill="1" applyBorder="1" applyAlignment="1">
      <alignment horizontal="center"/>
    </xf>
    <xf numFmtId="165" fontId="15" fillId="0" borderId="19" xfId="0" applyNumberFormat="1" applyFont="1" applyFill="1" applyBorder="1" applyAlignment="1">
      <alignment horizontal="center"/>
    </xf>
    <xf numFmtId="0" fontId="2" fillId="0" borderId="0" xfId="1" applyProtection="1"/>
    <xf numFmtId="0" fontId="6" fillId="0" borderId="0" xfId="1" applyFont="1" applyBorder="1" applyAlignment="1" applyProtection="1">
      <alignment horizontal="center" vertical="center"/>
    </xf>
    <xf numFmtId="0" fontId="2" fillId="0" borderId="0" xfId="1" applyBorder="1" applyAlignment="1" applyProtection="1">
      <alignment horizontal="center" vertical="center"/>
    </xf>
    <xf numFmtId="0" fontId="2" fillId="0" borderId="7" xfId="1" applyBorder="1" applyAlignment="1" applyProtection="1">
      <alignment horizontal="center" vertical="center" wrapText="1"/>
    </xf>
    <xf numFmtId="0" fontId="2" fillId="0" borderId="0" xfId="1" applyBorder="1" applyAlignment="1" applyProtection="1">
      <alignment vertical="center"/>
    </xf>
    <xf numFmtId="0" fontId="2" fillId="0" borderId="8" xfId="1" applyBorder="1" applyAlignment="1" applyProtection="1">
      <alignment horizontal="center" vertical="center" wrapText="1"/>
    </xf>
    <xf numFmtId="0" fontId="5" fillId="0" borderId="5" xfId="1" applyFont="1" applyBorder="1" applyAlignment="1" applyProtection="1">
      <alignment horizontal="center" vertical="center" wrapText="1"/>
    </xf>
    <xf numFmtId="0" fontId="5" fillId="0" borderId="8" xfId="1" applyFont="1" applyBorder="1" applyAlignment="1" applyProtection="1">
      <alignment horizontal="center" vertical="center" wrapText="1"/>
    </xf>
    <xf numFmtId="173" fontId="5" fillId="0" borderId="11" xfId="1" applyNumberFormat="1" applyFont="1" applyBorder="1" applyProtection="1"/>
    <xf numFmtId="0" fontId="2" fillId="0" borderId="9" xfId="1" applyBorder="1" applyProtection="1"/>
    <xf numFmtId="1" fontId="7" fillId="0" borderId="9" xfId="1" applyNumberFormat="1" applyFont="1" applyBorder="1" applyProtection="1"/>
    <xf numFmtId="166" fontId="8" fillId="0" borderId="11" xfId="1" applyNumberFormat="1" applyFont="1" applyBorder="1" applyAlignment="1" applyProtection="1">
      <alignment horizontal="center" vertical="center" wrapText="1"/>
    </xf>
    <xf numFmtId="166" fontId="2" fillId="0" borderId="11" xfId="1" applyNumberFormat="1" applyBorder="1" applyAlignment="1" applyProtection="1">
      <alignment horizontal="center" vertical="center" wrapText="1"/>
    </xf>
    <xf numFmtId="166" fontId="2" fillId="0" borderId="7" xfId="1" applyNumberFormat="1" applyBorder="1" applyAlignment="1" applyProtection="1">
      <alignment horizontal="center" vertical="center" wrapText="1"/>
    </xf>
    <xf numFmtId="2" fontId="7" fillId="0" borderId="11" xfId="1" applyNumberFormat="1" applyFont="1" applyBorder="1" applyProtection="1"/>
    <xf numFmtId="0" fontId="2" fillId="0" borderId="0" xfId="1" applyBorder="1" applyAlignment="1" applyProtection="1">
      <alignment horizontal="center" vertical="center" wrapText="1"/>
    </xf>
    <xf numFmtId="0" fontId="5" fillId="0" borderId="0" xfId="1" applyFont="1" applyBorder="1" applyAlignment="1" applyProtection="1">
      <alignment horizontal="center" vertical="center" wrapText="1"/>
    </xf>
    <xf numFmtId="2" fontId="7" fillId="0" borderId="4" xfId="1" applyNumberFormat="1" applyFont="1" applyBorder="1" applyAlignment="1" applyProtection="1"/>
    <xf numFmtId="0" fontId="2" fillId="0" borderId="5" xfId="1" applyBorder="1" applyAlignment="1" applyProtection="1">
      <alignment horizontal="center"/>
    </xf>
    <xf numFmtId="0" fontId="2" fillId="0" borderId="6" xfId="1" applyBorder="1" applyAlignment="1" applyProtection="1">
      <alignment horizontal="center"/>
    </xf>
    <xf numFmtId="0" fontId="2" fillId="0" borderId="6" xfId="1" applyBorder="1" applyAlignment="1" applyProtection="1">
      <alignment horizontal="center" vertical="center" wrapText="1"/>
    </xf>
    <xf numFmtId="0" fontId="2" fillId="0" borderId="12" xfId="1" applyBorder="1" applyAlignment="1" applyProtection="1">
      <alignment horizontal="center" vertical="center" wrapText="1"/>
    </xf>
    <xf numFmtId="0" fontId="5" fillId="0" borderId="12" xfId="1" applyFont="1" applyBorder="1" applyAlignment="1" applyProtection="1">
      <alignment horizontal="center" vertical="center" wrapText="1"/>
    </xf>
    <xf numFmtId="172" fontId="5" fillId="0" borderId="11" xfId="1" applyNumberFormat="1" applyFont="1" applyBorder="1" applyProtection="1"/>
    <xf numFmtId="166" fontId="2" fillId="0" borderId="8" xfId="1" applyNumberFormat="1" applyBorder="1" applyAlignment="1" applyProtection="1"/>
    <xf numFmtId="0" fontId="2" fillId="0" borderId="0" xfId="1" applyBorder="1" applyProtection="1"/>
    <xf numFmtId="167" fontId="7" fillId="0" borderId="9" xfId="1" applyNumberFormat="1" applyFont="1" applyBorder="1" applyProtection="1"/>
    <xf numFmtId="166" fontId="7" fillId="0" borderId="11" xfId="1" applyNumberFormat="1" applyFont="1" applyBorder="1" applyAlignment="1" applyProtection="1">
      <alignment horizontal="center"/>
    </xf>
    <xf numFmtId="2" fontId="7" fillId="0" borderId="9" xfId="1" applyNumberFormat="1" applyFont="1" applyBorder="1" applyProtection="1"/>
    <xf numFmtId="166" fontId="7" fillId="0" borderId="7" xfId="1" applyNumberFormat="1" applyFont="1" applyBorder="1" applyAlignment="1" applyProtection="1">
      <alignment horizontal="center"/>
    </xf>
    <xf numFmtId="0" fontId="7" fillId="0" borderId="0" xfId="1" applyFont="1" applyBorder="1" applyProtection="1"/>
    <xf numFmtId="0" fontId="2" fillId="0" borderId="0" xfId="1" applyBorder="1" applyAlignment="1" applyProtection="1"/>
    <xf numFmtId="169" fontId="2" fillId="0" borderId="0" xfId="1" applyNumberFormat="1" applyBorder="1" applyProtection="1"/>
    <xf numFmtId="166" fontId="2" fillId="0" borderId="11" xfId="1" applyNumberFormat="1" applyBorder="1" applyProtection="1"/>
    <xf numFmtId="166" fontId="2" fillId="0" borderId="7" xfId="1" applyNumberFormat="1" applyBorder="1" applyProtection="1"/>
    <xf numFmtId="0" fontId="7" fillId="0" borderId="0" xfId="1" applyFont="1" applyAlignment="1" applyProtection="1"/>
    <xf numFmtId="2" fontId="7" fillId="0" borderId="0" xfId="1" applyNumberFormat="1" applyFont="1" applyBorder="1" applyAlignment="1" applyProtection="1"/>
    <xf numFmtId="0" fontId="2" fillId="0" borderId="0" xfId="1" applyBorder="1" applyAlignment="1" applyProtection="1">
      <alignment horizontal="center"/>
    </xf>
    <xf numFmtId="1" fontId="7" fillId="0" borderId="4" xfId="1" applyNumberFormat="1" applyFont="1" applyBorder="1" applyAlignment="1" applyProtection="1"/>
    <xf numFmtId="1" fontId="7" fillId="0" borderId="5" xfId="1" applyNumberFormat="1" applyFont="1" applyBorder="1" applyAlignment="1" applyProtection="1"/>
    <xf numFmtId="166" fontId="2" fillId="0" borderId="8" xfId="1" applyNumberFormat="1" applyBorder="1" applyAlignment="1" applyProtection="1">
      <alignment horizontal="center"/>
    </xf>
    <xf numFmtId="0" fontId="9" fillId="0" borderId="0" xfId="1" applyFont="1" applyProtection="1"/>
    <xf numFmtId="166" fontId="2" fillId="0" borderId="0" xfId="1" applyNumberFormat="1" applyProtection="1"/>
    <xf numFmtId="2" fontId="2" fillId="0" borderId="0" xfId="1" applyNumberFormat="1" applyProtection="1"/>
    <xf numFmtId="166" fontId="2" fillId="0" borderId="0" xfId="1" applyNumberFormat="1" applyBorder="1" applyProtection="1"/>
    <xf numFmtId="0" fontId="2" fillId="0" borderId="0" xfId="1" applyFill="1" applyBorder="1" applyProtection="1"/>
    <xf numFmtId="166" fontId="2" fillId="0" borderId="0" xfId="1" applyNumberFormat="1" applyFill="1" applyBorder="1" applyAlignment="1" applyProtection="1"/>
    <xf numFmtId="0" fontId="10" fillId="0" borderId="0" xfId="1" applyFont="1" applyProtection="1"/>
    <xf numFmtId="0" fontId="10" fillId="0" borderId="0" xfId="1" applyFont="1" applyBorder="1" applyProtection="1"/>
    <xf numFmtId="0" fontId="11" fillId="0" borderId="0" xfId="1" applyFont="1" applyProtection="1"/>
    <xf numFmtId="166" fontId="10" fillId="3" borderId="13" xfId="1" applyNumberFormat="1" applyFont="1" applyFill="1" applyBorder="1" applyAlignment="1" applyProtection="1">
      <alignment horizontal="center" vertical="center"/>
    </xf>
    <xf numFmtId="166" fontId="12" fillId="0" borderId="0" xfId="1" applyNumberFormat="1" applyFont="1" applyFill="1" applyBorder="1" applyAlignment="1" applyProtection="1">
      <alignment horizontal="center"/>
    </xf>
    <xf numFmtId="0" fontId="11" fillId="0" borderId="0" xfId="1" applyFont="1" applyBorder="1" applyProtection="1"/>
    <xf numFmtId="4" fontId="12" fillId="4" borderId="14" xfId="1" applyNumberFormat="1" applyFont="1" applyFill="1" applyBorder="1" applyAlignment="1" applyProtection="1">
      <alignment horizontal="center" vertical="center"/>
    </xf>
    <xf numFmtId="0" fontId="13" fillId="0" borderId="0" xfId="1" applyFont="1" applyAlignment="1" applyProtection="1">
      <alignment horizontal="center" vertical="center"/>
    </xf>
    <xf numFmtId="171" fontId="0" fillId="6" borderId="0" xfId="0" applyNumberFormat="1" applyFill="1" applyBorder="1" applyAlignment="1">
      <alignment horizontal="center"/>
    </xf>
    <xf numFmtId="167" fontId="0" fillId="0" borderId="23" xfId="0" applyNumberFormat="1" applyFill="1" applyBorder="1" applyAlignment="1" applyProtection="1">
      <alignment horizontal="center"/>
      <protection locked="0"/>
    </xf>
    <xf numFmtId="167" fontId="17" fillId="0" borderId="23" xfId="0" applyNumberFormat="1" applyFont="1" applyFill="1" applyBorder="1" applyAlignment="1">
      <alignment horizontal="center"/>
    </xf>
    <xf numFmtId="0" fontId="17" fillId="0" borderId="23" xfId="0" applyFont="1" applyFill="1" applyBorder="1" applyAlignment="1">
      <alignment horizontal="center"/>
    </xf>
    <xf numFmtId="167" fontId="17" fillId="0" borderId="24" xfId="0" applyNumberFormat="1" applyFont="1" applyFill="1" applyBorder="1" applyAlignment="1">
      <alignment horizontal="center"/>
    </xf>
    <xf numFmtId="0" fontId="19" fillId="0" borderId="0" xfId="0" applyFont="1" applyAlignment="1">
      <alignment horizontal="center" vertical="center" wrapText="1"/>
    </xf>
    <xf numFmtId="0" fontId="1" fillId="0" borderId="17" xfId="0" applyFont="1" applyFill="1" applyBorder="1" applyAlignment="1">
      <alignment horizontal="center"/>
    </xf>
    <xf numFmtId="2" fontId="1" fillId="0" borderId="20" xfId="0" applyNumberFormat="1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0" fontId="1" fillId="6" borderId="20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2" fontId="1" fillId="0" borderId="20" xfId="0" applyNumberFormat="1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168" fontId="0" fillId="6" borderId="0" xfId="0" applyNumberFormat="1" applyFill="1" applyBorder="1" applyAlignment="1">
      <alignment horizontal="center"/>
    </xf>
    <xf numFmtId="168" fontId="0" fillId="6" borderId="23" xfId="0" applyNumberFormat="1" applyFill="1" applyBorder="1" applyAlignment="1">
      <alignment horizontal="center"/>
    </xf>
    <xf numFmtId="167" fontId="0" fillId="0" borderId="23" xfId="0" applyNumberFormat="1" applyFill="1" applyBorder="1" applyAlignment="1">
      <alignment horizontal="center"/>
    </xf>
    <xf numFmtId="167" fontId="0" fillId="0" borderId="24" xfId="0" applyNumberFormat="1" applyFill="1" applyBorder="1" applyAlignment="1">
      <alignment horizontal="center"/>
    </xf>
    <xf numFmtId="168" fontId="17" fillId="6" borderId="0" xfId="0" applyNumberFormat="1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  <xf numFmtId="20" fontId="18" fillId="0" borderId="0" xfId="0" applyNumberFormat="1" applyFont="1" applyBorder="1" applyAlignment="1">
      <alignment horizontal="center"/>
    </xf>
    <xf numFmtId="0" fontId="0" fillId="0" borderId="0" xfId="0" applyBorder="1"/>
    <xf numFmtId="0" fontId="0" fillId="6" borderId="0" xfId="0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/>
    <xf numFmtId="0" fontId="1" fillId="0" borderId="0" xfId="0" applyFont="1" applyFill="1" applyBorder="1"/>
    <xf numFmtId="168" fontId="0" fillId="0" borderId="0" xfId="0" applyNumberFormat="1" applyFill="1" applyBorder="1" applyAlignment="1">
      <alignment horizontal="center"/>
    </xf>
    <xf numFmtId="0" fontId="0" fillId="6" borderId="0" xfId="0" applyFill="1" applyBorder="1"/>
    <xf numFmtId="0" fontId="17" fillId="0" borderId="0" xfId="0" applyFont="1" applyFill="1" applyBorder="1"/>
    <xf numFmtId="0" fontId="17" fillId="6" borderId="0" xfId="0" applyFont="1" applyFill="1" applyBorder="1"/>
    <xf numFmtId="2" fontId="0" fillId="0" borderId="0" xfId="0" applyNumberFormat="1" applyFill="1" applyBorder="1"/>
    <xf numFmtId="167" fontId="0" fillId="6" borderId="23" xfId="0" applyNumberFormat="1" applyFill="1" applyBorder="1" applyAlignment="1">
      <alignment horizontal="center"/>
    </xf>
    <xf numFmtId="0" fontId="0" fillId="6" borderId="23" xfId="0" applyFill="1" applyBorder="1" applyAlignment="1">
      <alignment horizontal="center"/>
    </xf>
    <xf numFmtId="167" fontId="0" fillId="6" borderId="24" xfId="0" applyNumberFormat="1" applyFill="1" applyBorder="1" applyAlignment="1">
      <alignment horizontal="center"/>
    </xf>
    <xf numFmtId="0" fontId="20" fillId="6" borderId="20" xfId="0" applyFont="1" applyFill="1" applyBorder="1" applyAlignment="1">
      <alignment horizontal="center"/>
    </xf>
    <xf numFmtId="0" fontId="1" fillId="6" borderId="22" xfId="0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168" fontId="0" fillId="0" borderId="23" xfId="0" applyNumberFormat="1" applyFill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171" fontId="0" fillId="0" borderId="0" xfId="0" applyNumberFormat="1" applyFill="1" applyBorder="1" applyAlignment="1">
      <alignment horizontal="center"/>
    </xf>
    <xf numFmtId="0" fontId="0" fillId="0" borderId="0" xfId="0" applyFill="1" applyAlignment="1"/>
    <xf numFmtId="0" fontId="17" fillId="0" borderId="0" xfId="0" applyFont="1"/>
    <xf numFmtId="14" fontId="17" fillId="0" borderId="36" xfId="0" applyNumberFormat="1" applyFont="1" applyBorder="1" applyAlignment="1">
      <alignment horizontal="center"/>
    </xf>
    <xf numFmtId="0" fontId="17" fillId="0" borderId="35" xfId="0" applyFont="1" applyBorder="1" applyAlignment="1">
      <alignment horizontal="right"/>
    </xf>
    <xf numFmtId="0" fontId="20" fillId="0" borderId="20" xfId="0" applyFont="1" applyFill="1" applyBorder="1" applyAlignment="1">
      <alignment horizontal="center"/>
    </xf>
    <xf numFmtId="168" fontId="17" fillId="0" borderId="0" xfId="0" applyNumberFormat="1" applyFont="1" applyFill="1" applyBorder="1" applyAlignment="1">
      <alignment horizontal="center"/>
    </xf>
    <xf numFmtId="49" fontId="17" fillId="0" borderId="0" xfId="0" applyNumberFormat="1" applyFont="1" applyBorder="1" applyAlignment="1">
      <alignment horizontal="right"/>
    </xf>
    <xf numFmtId="0" fontId="17" fillId="0" borderId="0" xfId="0" applyFont="1" applyBorder="1" applyAlignment="1">
      <alignment horizontal="right"/>
    </xf>
    <xf numFmtId="16" fontId="17" fillId="0" borderId="0" xfId="0" applyNumberFormat="1" applyFont="1" applyBorder="1" applyAlignment="1">
      <alignment horizontal="right"/>
    </xf>
    <xf numFmtId="170" fontId="0" fillId="0" borderId="40" xfId="0" applyNumberFormat="1" applyBorder="1" applyAlignment="1" applyProtection="1">
      <alignment horizontal="center"/>
      <protection locked="0"/>
    </xf>
    <xf numFmtId="170" fontId="0" fillId="0" borderId="41" xfId="0" applyNumberFormat="1" applyBorder="1" applyAlignment="1" applyProtection="1">
      <alignment horizontal="center"/>
      <protection locked="0"/>
    </xf>
    <xf numFmtId="0" fontId="0" fillId="0" borderId="42" xfId="0" applyBorder="1" applyAlignment="1" applyProtection="1">
      <alignment horizontal="center"/>
      <protection locked="0"/>
    </xf>
    <xf numFmtId="171" fontId="17" fillId="0" borderId="0" xfId="0" applyNumberFormat="1" applyFont="1" applyFill="1" applyBorder="1" applyAlignment="1">
      <alignment horizontal="center"/>
    </xf>
    <xf numFmtId="167" fontId="22" fillId="0" borderId="0" xfId="0" applyNumberFormat="1" applyFont="1" applyFill="1" applyBorder="1" applyAlignment="1" applyProtection="1">
      <alignment horizontal="center"/>
      <protection locked="0"/>
    </xf>
    <xf numFmtId="167" fontId="22" fillId="0" borderId="0" xfId="0" applyNumberFormat="1" applyFont="1" applyFill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167" fontId="22" fillId="0" borderId="21" xfId="0" applyNumberFormat="1" applyFont="1" applyFill="1" applyBorder="1" applyAlignment="1">
      <alignment horizontal="center"/>
    </xf>
    <xf numFmtId="14" fontId="17" fillId="0" borderId="43" xfId="0" applyNumberFormat="1" applyFont="1" applyBorder="1" applyAlignment="1">
      <alignment horizontal="center"/>
    </xf>
    <xf numFmtId="14" fontId="17" fillId="0" borderId="44" xfId="0" applyNumberFormat="1" applyFont="1" applyBorder="1" applyAlignment="1">
      <alignment horizontal="center"/>
    </xf>
    <xf numFmtId="0" fontId="0" fillId="0" borderId="45" xfId="0" applyBorder="1" applyAlignment="1">
      <alignment horizontal="center"/>
    </xf>
    <xf numFmtId="14" fontId="0" fillId="0" borderId="39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14" fontId="17" fillId="0" borderId="0" xfId="0" applyNumberFormat="1" applyFont="1" applyBorder="1" applyAlignment="1">
      <alignment horizontal="right"/>
    </xf>
    <xf numFmtId="14" fontId="0" fillId="0" borderId="34" xfId="0" applyNumberFormat="1" applyBorder="1" applyAlignment="1">
      <alignment horizontal="center"/>
    </xf>
    <xf numFmtId="14" fontId="0" fillId="0" borderId="36" xfId="0" applyNumberFormat="1" applyBorder="1" applyAlignment="1">
      <alignment horizontal="center"/>
    </xf>
    <xf numFmtId="0" fontId="0" fillId="0" borderId="0" xfId="0" applyBorder="1" applyAlignment="1">
      <alignment horizontal="right"/>
    </xf>
    <xf numFmtId="0" fontId="0" fillId="0" borderId="0" xfId="0" applyBorder="1" applyAlignment="1" applyProtection="1">
      <alignment horizontal="center"/>
      <protection locked="0"/>
    </xf>
    <xf numFmtId="0" fontId="17" fillId="0" borderId="0" xfId="0" applyFont="1" applyFill="1" applyBorder="1" applyAlignment="1"/>
    <xf numFmtId="0" fontId="0" fillId="0" borderId="38" xfId="0" applyBorder="1" applyAlignment="1">
      <alignment horizontal="right"/>
    </xf>
    <xf numFmtId="14" fontId="17" fillId="0" borderId="33" xfId="0" applyNumberFormat="1" applyFont="1" applyBorder="1" applyAlignment="1">
      <alignment horizontal="right"/>
    </xf>
    <xf numFmtId="0" fontId="24" fillId="0" borderId="32" xfId="0" applyFont="1" applyBorder="1" applyAlignment="1">
      <alignment horizontal="right" vertical="center" textRotation="90"/>
    </xf>
    <xf numFmtId="49" fontId="17" fillId="0" borderId="33" xfId="0" applyNumberFormat="1" applyFont="1" applyBorder="1" applyAlignment="1">
      <alignment horizontal="right"/>
    </xf>
    <xf numFmtId="14" fontId="17" fillId="0" borderId="34" xfId="0" applyNumberFormat="1" applyFont="1" applyBorder="1" applyAlignment="1">
      <alignment horizontal="center"/>
    </xf>
    <xf numFmtId="0" fontId="24" fillId="0" borderId="35" xfId="0" applyFont="1" applyBorder="1" applyAlignment="1">
      <alignment horizontal="right" vertical="center" textRotation="90"/>
    </xf>
    <xf numFmtId="0" fontId="24" fillId="0" borderId="37" xfId="0" applyFont="1" applyBorder="1" applyAlignment="1">
      <alignment horizontal="right" vertical="center" textRotation="90"/>
    </xf>
    <xf numFmtId="49" fontId="24" fillId="0" borderId="32" xfId="0" applyNumberFormat="1" applyFont="1" applyBorder="1" applyAlignment="1">
      <alignment horizontal="right" vertical="center" textRotation="90"/>
    </xf>
    <xf numFmtId="49" fontId="24" fillId="0" borderId="35" xfId="0" applyNumberFormat="1" applyFont="1" applyBorder="1" applyAlignment="1">
      <alignment horizontal="right" vertical="center" textRotation="90"/>
    </xf>
    <xf numFmtId="49" fontId="24" fillId="0" borderId="37" xfId="0" applyNumberFormat="1" applyFont="1" applyBorder="1" applyAlignment="1">
      <alignment horizontal="right" vertical="center" textRotation="90"/>
    </xf>
    <xf numFmtId="0" fontId="3" fillId="0" borderId="1" xfId="1" applyFont="1" applyFill="1" applyBorder="1" applyAlignment="1" applyProtection="1">
      <alignment vertical="center" wrapText="1"/>
    </xf>
    <xf numFmtId="0" fontId="3" fillId="0" borderId="2" xfId="1" applyFont="1" applyFill="1" applyBorder="1" applyAlignment="1" applyProtection="1">
      <alignment vertical="center" wrapText="1"/>
    </xf>
    <xf numFmtId="0" fontId="3" fillId="0" borderId="3" xfId="1" applyFont="1" applyFill="1" applyBorder="1" applyAlignment="1" applyProtection="1">
      <alignment vertical="center" wrapText="1"/>
    </xf>
    <xf numFmtId="174" fontId="17" fillId="0" borderId="0" xfId="0" applyNumberFormat="1" applyFont="1"/>
    <xf numFmtId="170" fontId="17" fillId="0" borderId="0" xfId="0" applyNumberFormat="1" applyFont="1"/>
    <xf numFmtId="0" fontId="28" fillId="0" borderId="0" xfId="0" applyFont="1" applyFill="1" applyBorder="1" applyAlignment="1">
      <alignment horizontal="center"/>
    </xf>
    <xf numFmtId="164" fontId="17" fillId="0" borderId="0" xfId="0" applyNumberFormat="1" applyFont="1" applyFill="1" applyBorder="1" applyAlignment="1"/>
    <xf numFmtId="14" fontId="14" fillId="0" borderId="0" xfId="0" applyNumberFormat="1" applyFont="1" applyFill="1" applyBorder="1" applyAlignment="1">
      <alignment horizontal="right"/>
    </xf>
    <xf numFmtId="0" fontId="29" fillId="0" borderId="2" xfId="1" applyFont="1" applyFill="1" applyBorder="1" applyAlignment="1" applyProtection="1">
      <alignment vertical="center" wrapText="1"/>
    </xf>
    <xf numFmtId="164" fontId="17" fillId="0" borderId="0" xfId="0" applyNumberFormat="1" applyFont="1" applyBorder="1" applyAlignment="1">
      <alignment horizontal="right"/>
    </xf>
    <xf numFmtId="175" fontId="0" fillId="0" borderId="0" xfId="0" applyNumberFormat="1"/>
    <xf numFmtId="0" fontId="0" fillId="0" borderId="0" xfId="0" applyAlignment="1">
      <alignment wrapText="1"/>
    </xf>
    <xf numFmtId="177" fontId="0" fillId="0" borderId="0" xfId="0" applyNumberFormat="1" applyAlignment="1">
      <alignment horizontal="right" wrapText="1"/>
    </xf>
    <xf numFmtId="178" fontId="0" fillId="0" borderId="0" xfId="0" applyNumberFormat="1" applyAlignment="1">
      <alignment wrapText="1"/>
    </xf>
    <xf numFmtId="164" fontId="0" fillId="0" borderId="0" xfId="0" applyNumberFormat="1"/>
    <xf numFmtId="179" fontId="0" fillId="0" borderId="0" xfId="0" applyNumberFormat="1" applyAlignment="1">
      <alignment wrapText="1"/>
    </xf>
    <xf numFmtId="176" fontId="0" fillId="0" borderId="0" xfId="0" applyNumberFormat="1" applyAlignment="1">
      <alignment wrapText="1"/>
    </xf>
    <xf numFmtId="0" fontId="0" fillId="0" borderId="49" xfId="0" applyBorder="1" applyAlignment="1">
      <alignment horizontal="center" vertical="center"/>
    </xf>
    <xf numFmtId="0" fontId="0" fillId="0" borderId="49" xfId="0" applyBorder="1" applyAlignment="1">
      <alignment vertical="center"/>
    </xf>
    <xf numFmtId="1" fontId="0" fillId="0" borderId="0" xfId="0" applyNumberForma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176" fontId="0" fillId="0" borderId="50" xfId="0" applyNumberFormat="1" applyBorder="1" applyAlignment="1">
      <alignment horizontal="center" wrapText="1"/>
    </xf>
    <xf numFmtId="176" fontId="0" fillId="0" borderId="51" xfId="0" applyNumberFormat="1" applyBorder="1" applyAlignment="1">
      <alignment horizontal="center" wrapText="1"/>
    </xf>
    <xf numFmtId="0" fontId="0" fillId="0" borderId="52" xfId="0" applyFill="1" applyBorder="1" applyAlignment="1">
      <alignment horizontal="center"/>
    </xf>
    <xf numFmtId="0" fontId="0" fillId="0" borderId="53" xfId="0" applyFill="1" applyBorder="1" applyAlignment="1">
      <alignment horizontal="center"/>
    </xf>
    <xf numFmtId="0" fontId="0" fillId="0" borderId="53" xfId="0" applyBorder="1" applyAlignment="1">
      <alignment horizontal="right" wrapText="1"/>
    </xf>
    <xf numFmtId="14" fontId="0" fillId="0" borderId="50" xfId="0" applyNumberFormat="1" applyBorder="1" applyAlignment="1">
      <alignment horizontal="right" wrapText="1"/>
    </xf>
    <xf numFmtId="14" fontId="0" fillId="0" borderId="51" xfId="0" applyNumberFormat="1" applyBorder="1" applyAlignment="1">
      <alignment horizontal="right" wrapText="1"/>
    </xf>
    <xf numFmtId="14" fontId="17" fillId="0" borderId="38" xfId="0" applyNumberFormat="1" applyFont="1" applyBorder="1" applyAlignment="1">
      <alignment horizontal="right"/>
    </xf>
    <xf numFmtId="170" fontId="0" fillId="0" borderId="40" xfId="0" applyNumberFormat="1" applyFill="1" applyBorder="1" applyAlignment="1" applyProtection="1">
      <alignment horizontal="center"/>
      <protection locked="0"/>
    </xf>
    <xf numFmtId="0" fontId="30" fillId="19" borderId="54" xfId="7" applyFill="1" applyBorder="1" applyAlignment="1" applyProtection="1">
      <alignment horizontal="center"/>
    </xf>
    <xf numFmtId="0" fontId="30" fillId="18" borderId="54" xfId="7" applyFill="1" applyBorder="1" applyAlignment="1" applyProtection="1">
      <alignment horizontal="center"/>
    </xf>
    <xf numFmtId="0" fontId="30" fillId="17" borderId="54" xfId="7" applyFill="1" applyBorder="1" applyAlignment="1" applyProtection="1">
      <alignment horizontal="center"/>
    </xf>
    <xf numFmtId="0" fontId="30" fillId="4" borderId="54" xfId="7" applyFill="1" applyBorder="1" applyAlignment="1" applyProtection="1">
      <alignment horizontal="center"/>
    </xf>
    <xf numFmtId="0" fontId="30" fillId="16" borderId="54" xfId="7" applyFill="1" applyBorder="1" applyAlignment="1" applyProtection="1">
      <alignment horizontal="center"/>
    </xf>
    <xf numFmtId="0" fontId="30" fillId="20" borderId="54" xfId="7" applyFill="1" applyBorder="1" applyAlignment="1" applyProtection="1">
      <alignment horizontal="center"/>
    </xf>
    <xf numFmtId="0" fontId="30" fillId="3" borderId="54" xfId="7" applyFill="1" applyBorder="1" applyAlignment="1" applyProtection="1">
      <alignment horizontal="center"/>
    </xf>
    <xf numFmtId="0" fontId="31" fillId="21" borderId="54" xfId="7" applyFont="1" applyFill="1" applyBorder="1" applyAlignment="1" applyProtection="1">
      <alignment horizontal="center"/>
    </xf>
    <xf numFmtId="0" fontId="30" fillId="22" borderId="54" xfId="7" applyFill="1" applyBorder="1" applyAlignment="1" applyProtection="1">
      <alignment horizontal="center"/>
    </xf>
    <xf numFmtId="0" fontId="30" fillId="23" borderId="54" xfId="7" applyFill="1" applyBorder="1" applyAlignment="1" applyProtection="1">
      <alignment horizontal="center"/>
    </xf>
    <xf numFmtId="0" fontId="30" fillId="24" borderId="54" xfId="7" applyFill="1" applyBorder="1" applyAlignment="1" applyProtection="1">
      <alignment horizontal="center"/>
    </xf>
    <xf numFmtId="0" fontId="30" fillId="25" borderId="54" xfId="7" applyFill="1" applyBorder="1" applyAlignment="1" applyProtection="1">
      <alignment horizontal="center"/>
    </xf>
    <xf numFmtId="0" fontId="21" fillId="0" borderId="0" xfId="0" applyFont="1" applyBorder="1" applyAlignment="1">
      <alignment horizontal="center" vertical="center"/>
    </xf>
    <xf numFmtId="49" fontId="0" fillId="0" borderId="0" xfId="0" applyNumberFormat="1"/>
    <xf numFmtId="0" fontId="0" fillId="6" borderId="0" xfId="0" applyFill="1" applyBorder="1" applyAlignment="1"/>
    <xf numFmtId="0" fontId="25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 applyProtection="1">
      <alignment horizontal="center" vertical="center"/>
      <protection locked="0"/>
    </xf>
    <xf numFmtId="0" fontId="26" fillId="0" borderId="0" xfId="0" applyFont="1" applyFill="1" applyBorder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7" fillId="0" borderId="0" xfId="0" applyFont="1" applyFill="1" applyAlignment="1" applyProtection="1">
      <alignment horizontal="center" vertical="center"/>
      <protection locked="0"/>
    </xf>
    <xf numFmtId="0" fontId="0" fillId="0" borderId="61" xfId="0" applyBorder="1" applyAlignment="1">
      <alignment horizontal="center" vertical="center" wrapText="1"/>
    </xf>
    <xf numFmtId="0" fontId="0" fillId="0" borderId="62" xfId="0" applyBorder="1" applyAlignment="1" applyProtection="1">
      <alignment horizontal="center" vertical="center" wrapText="1"/>
      <protection locked="0"/>
    </xf>
    <xf numFmtId="0" fontId="0" fillId="0" borderId="63" xfId="0" applyBorder="1" applyAlignment="1">
      <alignment horizontal="center" vertical="center" wrapText="1"/>
    </xf>
    <xf numFmtId="0" fontId="0" fillId="0" borderId="64" xfId="0" applyBorder="1" applyAlignment="1" applyProtection="1">
      <alignment horizontal="center" vertical="center" wrapText="1"/>
      <protection locked="0"/>
    </xf>
    <xf numFmtId="0" fontId="17" fillId="0" borderId="0" xfId="0" applyFont="1" applyAlignment="1">
      <alignment horizontal="right"/>
    </xf>
    <xf numFmtId="0" fontId="17" fillId="0" borderId="0" xfId="0" applyFont="1" applyBorder="1" applyAlignment="1">
      <alignment horizontal="right"/>
    </xf>
    <xf numFmtId="0" fontId="14" fillId="0" borderId="0" xfId="0" applyFont="1" applyAlignment="1">
      <alignment horizontal="right"/>
    </xf>
    <xf numFmtId="0" fontId="14" fillId="0" borderId="0" xfId="0" applyFont="1" applyBorder="1" applyAlignment="1">
      <alignment horizontal="right"/>
    </xf>
    <xf numFmtId="49" fontId="24" fillId="0" borderId="46" xfId="0" applyNumberFormat="1" applyFont="1" applyBorder="1" applyAlignment="1">
      <alignment horizontal="right" vertical="center" textRotation="90"/>
    </xf>
    <xf numFmtId="49" fontId="24" fillId="0" borderId="47" xfId="0" applyNumberFormat="1" applyFont="1" applyBorder="1" applyAlignment="1">
      <alignment horizontal="right" vertical="center" textRotation="90"/>
    </xf>
    <xf numFmtId="49" fontId="24" fillId="0" borderId="48" xfId="0" applyNumberFormat="1" applyFont="1" applyBorder="1" applyAlignment="1">
      <alignment horizontal="right" vertical="center" textRotation="90"/>
    </xf>
    <xf numFmtId="0" fontId="32" fillId="12" borderId="55" xfId="0" applyFont="1" applyFill="1" applyBorder="1" applyAlignment="1">
      <alignment horizontal="center" vertical="center"/>
    </xf>
    <xf numFmtId="0" fontId="32" fillId="12" borderId="56" xfId="0" applyFont="1" applyFill="1" applyBorder="1" applyAlignment="1">
      <alignment horizontal="center" vertical="center"/>
    </xf>
    <xf numFmtId="0" fontId="32" fillId="12" borderId="57" xfId="0" applyFont="1" applyFill="1" applyBorder="1" applyAlignment="1">
      <alignment horizontal="center" vertical="center"/>
    </xf>
    <xf numFmtId="0" fontId="32" fillId="12" borderId="58" xfId="0" applyFont="1" applyFill="1" applyBorder="1" applyAlignment="1">
      <alignment horizontal="center" vertical="center"/>
    </xf>
    <xf numFmtId="0" fontId="32" fillId="12" borderId="59" xfId="0" applyFont="1" applyFill="1" applyBorder="1" applyAlignment="1">
      <alignment horizontal="center" vertical="center"/>
    </xf>
    <xf numFmtId="0" fontId="32" fillId="12" borderId="60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right" vertical="center" textRotation="90"/>
    </xf>
    <xf numFmtId="0" fontId="24" fillId="0" borderId="47" xfId="0" applyFont="1" applyBorder="1" applyAlignment="1">
      <alignment horizontal="right" vertical="center" textRotation="90"/>
    </xf>
    <xf numFmtId="0" fontId="17" fillId="5" borderId="0" xfId="0" applyFont="1" applyFill="1" applyBorder="1" applyAlignment="1">
      <alignment horizontal="center"/>
    </xf>
    <xf numFmtId="0" fontId="26" fillId="13" borderId="0" xfId="0" applyFont="1" applyFill="1" applyBorder="1" applyAlignment="1">
      <alignment horizontal="center" vertical="center"/>
    </xf>
    <xf numFmtId="0" fontId="26" fillId="11" borderId="0" xfId="0" applyFont="1" applyFill="1" applyBorder="1" applyAlignment="1">
      <alignment horizontal="center" vertical="center"/>
    </xf>
    <xf numFmtId="0" fontId="26" fillId="14" borderId="0" xfId="0" applyFont="1" applyFill="1" applyAlignment="1">
      <alignment horizontal="center" vertical="center"/>
    </xf>
    <xf numFmtId="0" fontId="27" fillId="14" borderId="0" xfId="0" applyFont="1" applyFill="1" applyAlignment="1" applyProtection="1">
      <alignment horizontal="center" vertical="center"/>
      <protection locked="0"/>
    </xf>
    <xf numFmtId="0" fontId="27" fillId="11" borderId="0" xfId="0" applyFont="1" applyFill="1" applyBorder="1" applyAlignment="1" applyProtection="1">
      <alignment horizontal="center" vertical="center"/>
      <protection locked="0"/>
    </xf>
    <xf numFmtId="0" fontId="25" fillId="13" borderId="0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26" fillId="15" borderId="0" xfId="0" applyFont="1" applyFill="1" applyAlignment="1">
      <alignment horizontal="center" vertical="center"/>
    </xf>
    <xf numFmtId="0" fontId="27" fillId="15" borderId="0" xfId="0" applyFont="1" applyFill="1" applyAlignment="1" applyProtection="1">
      <alignment horizontal="center" vertical="center"/>
      <protection locked="0"/>
    </xf>
    <xf numFmtId="0" fontId="21" fillId="0" borderId="0" xfId="0" applyFont="1" applyBorder="1" applyAlignment="1">
      <alignment horizontal="center" vertical="center"/>
    </xf>
    <xf numFmtId="0" fontId="3" fillId="0" borderId="2" xfId="1" applyFont="1" applyFill="1" applyBorder="1" applyAlignment="1" applyProtection="1">
      <alignment horizontal="right" vertical="center" wrapText="1"/>
    </xf>
    <xf numFmtId="0" fontId="2" fillId="0" borderId="7" xfId="1" applyBorder="1" applyAlignment="1" applyProtection="1">
      <alignment horizontal="center" vertical="center" wrapText="1"/>
    </xf>
    <xf numFmtId="0" fontId="2" fillId="0" borderId="10" xfId="1" applyBorder="1" applyAlignment="1" applyProtection="1">
      <alignment horizontal="center" vertical="center" wrapText="1"/>
    </xf>
    <xf numFmtId="0" fontId="18" fillId="10" borderId="29" xfId="6" applyBorder="1" applyAlignment="1" applyProtection="1">
      <alignment horizontal="center" vertical="center"/>
    </xf>
    <xf numFmtId="0" fontId="18" fillId="10" borderId="30" xfId="6" applyBorder="1" applyAlignment="1" applyProtection="1">
      <alignment horizontal="center" vertical="center"/>
    </xf>
    <xf numFmtId="0" fontId="18" fillId="10" borderId="31" xfId="6" applyBorder="1" applyAlignment="1" applyProtection="1">
      <alignment horizontal="center" vertical="center"/>
    </xf>
    <xf numFmtId="0" fontId="18" fillId="9" borderId="27" xfId="5" applyBorder="1" applyAlignment="1" applyProtection="1">
      <alignment horizontal="center" vertical="center" wrapText="1"/>
    </xf>
    <xf numFmtId="0" fontId="18" fillId="9" borderId="28" xfId="5" applyBorder="1" applyAlignment="1" applyProtection="1">
      <alignment horizontal="center" vertical="center" wrapText="1"/>
    </xf>
    <xf numFmtId="0" fontId="5" fillId="0" borderId="10" xfId="1" applyFont="1" applyBorder="1" applyAlignment="1" applyProtection="1">
      <alignment horizontal="center" vertical="center" wrapText="1"/>
    </xf>
    <xf numFmtId="0" fontId="2" fillId="0" borderId="7" xfId="1" applyBorder="1" applyAlignment="1" applyProtection="1">
      <alignment horizontal="center"/>
    </xf>
    <xf numFmtId="0" fontId="2" fillId="0" borderId="10" xfId="1" applyBorder="1" applyAlignment="1" applyProtection="1">
      <alignment horizontal="center"/>
    </xf>
    <xf numFmtId="0" fontId="18" fillId="7" borderId="27" xfId="3" applyBorder="1" applyAlignment="1" applyProtection="1">
      <alignment horizontal="center" vertical="center" wrapText="1"/>
    </xf>
    <xf numFmtId="0" fontId="18" fillId="7" borderId="28" xfId="3" applyBorder="1" applyAlignment="1" applyProtection="1">
      <alignment horizontal="center" vertical="center" wrapText="1"/>
    </xf>
    <xf numFmtId="0" fontId="18" fillId="7" borderId="29" xfId="3" applyBorder="1" applyAlignment="1" applyProtection="1">
      <alignment horizontal="center" vertical="center"/>
    </xf>
    <xf numFmtId="0" fontId="18" fillId="7" borderId="30" xfId="3" applyBorder="1" applyProtection="1"/>
    <xf numFmtId="0" fontId="18" fillId="7" borderId="31" xfId="3" applyBorder="1" applyProtection="1"/>
    <xf numFmtId="0" fontId="18" fillId="8" borderId="27" xfId="4" applyBorder="1" applyAlignment="1" applyProtection="1">
      <alignment horizontal="center" vertical="center" wrapText="1"/>
    </xf>
    <xf numFmtId="0" fontId="18" fillId="8" borderId="28" xfId="4" applyBorder="1" applyAlignment="1" applyProtection="1">
      <alignment horizontal="center" vertical="center" wrapText="1"/>
    </xf>
    <xf numFmtId="0" fontId="18" fillId="8" borderId="29" xfId="4" applyBorder="1" applyAlignment="1" applyProtection="1">
      <alignment horizontal="center" vertical="center"/>
    </xf>
    <xf numFmtId="0" fontId="18" fillId="8" borderId="30" xfId="4" applyBorder="1" applyAlignment="1" applyProtection="1">
      <alignment horizontal="center" vertical="center"/>
    </xf>
    <xf numFmtId="0" fontId="18" fillId="8" borderId="31" xfId="4" applyBorder="1" applyAlignment="1" applyProtection="1">
      <alignment horizontal="center" vertical="center"/>
    </xf>
    <xf numFmtId="0" fontId="18" fillId="10" borderId="27" xfId="6" applyBorder="1" applyAlignment="1" applyProtection="1">
      <alignment horizontal="center" vertical="center" wrapText="1"/>
    </xf>
    <xf numFmtId="0" fontId="18" fillId="10" borderId="28" xfId="6" applyBorder="1" applyAlignment="1" applyProtection="1">
      <alignment horizontal="center" vertical="center" wrapText="1"/>
    </xf>
    <xf numFmtId="0" fontId="18" fillId="9" borderId="29" xfId="5" applyBorder="1" applyAlignment="1" applyProtection="1">
      <alignment horizontal="center" vertical="center"/>
    </xf>
    <xf numFmtId="0" fontId="18" fillId="9" borderId="30" xfId="5" applyBorder="1" applyAlignment="1" applyProtection="1">
      <alignment horizontal="center" vertical="center"/>
    </xf>
    <xf numFmtId="0" fontId="18" fillId="9" borderId="31" xfId="5" applyBorder="1" applyAlignment="1" applyProtection="1">
      <alignment horizontal="center" vertical="center"/>
    </xf>
    <xf numFmtId="0" fontId="5" fillId="0" borderId="4" xfId="1" applyFont="1" applyBorder="1" applyAlignment="1" applyProtection="1">
      <alignment horizontal="center" vertical="center" wrapText="1"/>
    </xf>
    <xf numFmtId="0" fontId="2" fillId="0" borderId="6" xfId="1" applyBorder="1" applyAlignment="1" applyProtection="1">
      <alignment horizontal="center" vertical="center" wrapText="1"/>
    </xf>
    <xf numFmtId="0" fontId="2" fillId="0" borderId="5" xfId="1" applyBorder="1" applyAlignment="1" applyProtection="1">
      <alignment horizontal="center" vertical="center" wrapText="1"/>
    </xf>
    <xf numFmtId="0" fontId="5" fillId="0" borderId="9" xfId="1" applyFont="1" applyBorder="1" applyAlignment="1" applyProtection="1">
      <alignment horizontal="center" vertical="center" wrapText="1"/>
    </xf>
    <xf numFmtId="0" fontId="2" fillId="0" borderId="4" xfId="1" applyBorder="1" applyAlignment="1" applyProtection="1">
      <alignment horizontal="center"/>
    </xf>
    <xf numFmtId="0" fontId="0" fillId="0" borderId="5" xfId="0" applyBorder="1" applyProtection="1"/>
    <xf numFmtId="0" fontId="2" fillId="0" borderId="5" xfId="1" applyBorder="1" applyAlignment="1" applyProtection="1">
      <alignment horizontal="center"/>
    </xf>
    <xf numFmtId="0" fontId="0" fillId="0" borderId="10" xfId="0" applyBorder="1" applyProtection="1"/>
    <xf numFmtId="0" fontId="0" fillId="0" borderId="6" xfId="0" applyBorder="1" applyProtection="1"/>
    <xf numFmtId="0" fontId="0" fillId="0" borderId="7" xfId="0" applyBorder="1" applyProtection="1"/>
    <xf numFmtId="0" fontId="5" fillId="0" borderId="26" xfId="1" applyFont="1" applyBorder="1" applyAlignment="1" applyProtection="1">
      <alignment horizontal="center" vertical="center" wrapText="1"/>
    </xf>
    <xf numFmtId="0" fontId="0" fillId="0" borderId="12" xfId="0" applyBorder="1" applyProtection="1"/>
    <xf numFmtId="0" fontId="0" fillId="0" borderId="25" xfId="0" applyBorder="1" applyProtection="1"/>
    <xf numFmtId="0" fontId="7" fillId="0" borderId="4" xfId="1" applyFont="1" applyBorder="1" applyAlignment="1" applyProtection="1">
      <alignment horizontal="center"/>
    </xf>
    <xf numFmtId="0" fontId="7" fillId="0" borderId="5" xfId="1" applyFont="1" applyBorder="1" applyAlignment="1" applyProtection="1">
      <alignment horizontal="center"/>
    </xf>
    <xf numFmtId="44" fontId="0" fillId="0" borderId="4" xfId="2" applyFont="1" applyBorder="1" applyAlignment="1" applyProtection="1">
      <alignment horizontal="center"/>
    </xf>
    <xf numFmtId="44" fontId="0" fillId="0" borderId="5" xfId="2" applyFont="1" applyBorder="1" applyAlignment="1" applyProtection="1">
      <alignment horizontal="center"/>
    </xf>
    <xf numFmtId="166" fontId="2" fillId="0" borderId="4" xfId="1" applyNumberFormat="1" applyBorder="1" applyAlignment="1" applyProtection="1">
      <alignment horizontal="center"/>
    </xf>
    <xf numFmtId="166" fontId="2" fillId="0" borderId="6" xfId="1" applyNumberFormat="1" applyBorder="1" applyAlignment="1" applyProtection="1">
      <alignment horizontal="center"/>
    </xf>
    <xf numFmtId="166" fontId="2" fillId="0" borderId="5" xfId="1" applyNumberFormat="1" applyBorder="1" applyAlignment="1" applyProtection="1">
      <alignment horizontal="center"/>
    </xf>
    <xf numFmtId="166" fontId="10" fillId="0" borderId="4" xfId="1" applyNumberFormat="1" applyFont="1" applyBorder="1" applyAlignment="1" applyProtection="1">
      <alignment horizontal="center" vertical="center"/>
    </xf>
    <xf numFmtId="166" fontId="10" fillId="0" borderId="5" xfId="1" applyNumberFormat="1" applyFont="1" applyBorder="1" applyAlignment="1" applyProtection="1">
      <alignment horizontal="center" vertical="center"/>
    </xf>
    <xf numFmtId="166" fontId="12" fillId="2" borderId="15" xfId="1" applyNumberFormat="1" applyFont="1" applyFill="1" applyBorder="1" applyAlignment="1" applyProtection="1">
      <alignment horizontal="center" vertical="center"/>
    </xf>
    <xf numFmtId="166" fontId="12" fillId="2" borderId="16" xfId="1" applyNumberFormat="1" applyFont="1" applyFill="1" applyBorder="1" applyAlignment="1" applyProtection="1">
      <alignment horizontal="center" vertical="center"/>
    </xf>
    <xf numFmtId="0" fontId="13" fillId="0" borderId="0" xfId="1" applyFont="1" applyAlignment="1" applyProtection="1">
      <alignment horizontal="center" vertical="center"/>
    </xf>
    <xf numFmtId="0" fontId="5" fillId="0" borderId="0" xfId="1" applyFont="1" applyAlignment="1" applyProtection="1">
      <alignment horizontal="right"/>
    </xf>
    <xf numFmtId="0" fontId="5" fillId="0" borderId="8" xfId="1" applyFont="1" applyBorder="1" applyAlignment="1" applyProtection="1">
      <alignment horizontal="right"/>
    </xf>
    <xf numFmtId="0" fontId="18" fillId="7" borderId="17" xfId="3" applyBorder="1" applyAlignment="1" applyProtection="1">
      <alignment horizontal="center" vertical="center"/>
      <protection locked="0"/>
    </xf>
    <xf numFmtId="0" fontId="18" fillId="7" borderId="18" xfId="3" applyBorder="1" applyAlignment="1" applyProtection="1">
      <alignment horizontal="center" vertical="center"/>
      <protection locked="0"/>
    </xf>
    <xf numFmtId="0" fontId="18" fillId="7" borderId="19" xfId="3" applyBorder="1" applyAlignment="1" applyProtection="1">
      <alignment horizontal="center" vertical="center"/>
      <protection locked="0"/>
    </xf>
    <xf numFmtId="0" fontId="18" fillId="7" borderId="20" xfId="3" applyBorder="1" applyAlignment="1" applyProtection="1">
      <alignment horizontal="center" vertical="center"/>
      <protection locked="0"/>
    </xf>
    <xf numFmtId="0" fontId="18" fillId="7" borderId="0" xfId="3" applyBorder="1" applyAlignment="1" applyProtection="1">
      <alignment horizontal="center" vertical="center"/>
      <protection locked="0"/>
    </xf>
    <xf numFmtId="0" fontId="18" fillId="7" borderId="21" xfId="3" applyBorder="1" applyAlignment="1" applyProtection="1">
      <alignment horizontal="center" vertical="center"/>
      <protection locked="0"/>
    </xf>
    <xf numFmtId="0" fontId="18" fillId="8" borderId="17" xfId="4" applyBorder="1" applyAlignment="1" applyProtection="1">
      <alignment horizontal="center" vertical="center"/>
      <protection locked="0"/>
    </xf>
    <xf numFmtId="0" fontId="18" fillId="8" borderId="18" xfId="4" applyBorder="1" applyAlignment="1" applyProtection="1">
      <alignment horizontal="center" vertical="center"/>
      <protection locked="0"/>
    </xf>
    <xf numFmtId="0" fontId="18" fillId="8" borderId="19" xfId="4" applyBorder="1" applyAlignment="1" applyProtection="1">
      <alignment horizontal="center" vertical="center"/>
      <protection locked="0"/>
    </xf>
    <xf numFmtId="0" fontId="18" fillId="8" borderId="20" xfId="4" applyBorder="1" applyAlignment="1" applyProtection="1">
      <alignment horizontal="center" vertical="center"/>
      <protection locked="0"/>
    </xf>
    <xf numFmtId="0" fontId="18" fillId="8" borderId="0" xfId="4" applyBorder="1" applyAlignment="1" applyProtection="1">
      <alignment horizontal="center" vertical="center"/>
      <protection locked="0"/>
    </xf>
    <xf numFmtId="0" fontId="18" fillId="8" borderId="21" xfId="4" applyBorder="1" applyAlignment="1" applyProtection="1">
      <alignment horizontal="center" vertical="center"/>
      <protection locked="0"/>
    </xf>
    <xf numFmtId="0" fontId="18" fillId="10" borderId="17" xfId="6" applyBorder="1" applyAlignment="1" applyProtection="1">
      <alignment horizontal="center" vertical="center"/>
      <protection locked="0"/>
    </xf>
    <xf numFmtId="0" fontId="18" fillId="10" borderId="18" xfId="6" applyBorder="1" applyAlignment="1" applyProtection="1">
      <alignment horizontal="center" vertical="center"/>
      <protection locked="0"/>
    </xf>
    <xf numFmtId="0" fontId="18" fillId="10" borderId="19" xfId="6" applyBorder="1" applyAlignment="1" applyProtection="1">
      <alignment horizontal="center" vertical="center"/>
      <protection locked="0"/>
    </xf>
    <xf numFmtId="0" fontId="18" fillId="10" borderId="20" xfId="6" applyBorder="1" applyAlignment="1" applyProtection="1">
      <alignment horizontal="center" vertical="center"/>
      <protection locked="0"/>
    </xf>
    <xf numFmtId="0" fontId="18" fillId="10" borderId="0" xfId="6" applyBorder="1" applyAlignment="1" applyProtection="1">
      <alignment horizontal="center" vertical="center"/>
      <protection locked="0"/>
    </xf>
    <xf numFmtId="0" fontId="18" fillId="10" borderId="21" xfId="6" applyBorder="1" applyAlignment="1" applyProtection="1">
      <alignment horizontal="center" vertical="center"/>
      <protection locked="0"/>
    </xf>
    <xf numFmtId="0" fontId="18" fillId="9" borderId="17" xfId="5" applyBorder="1" applyAlignment="1" applyProtection="1">
      <alignment horizontal="center" vertical="center"/>
      <protection locked="0"/>
    </xf>
    <xf numFmtId="0" fontId="18" fillId="9" borderId="18" xfId="5" applyBorder="1" applyAlignment="1" applyProtection="1">
      <alignment horizontal="center" vertical="center"/>
      <protection locked="0"/>
    </xf>
    <xf numFmtId="0" fontId="18" fillId="9" borderId="19" xfId="5" applyBorder="1" applyAlignment="1" applyProtection="1">
      <alignment horizontal="center" vertical="center"/>
      <protection locked="0"/>
    </xf>
    <xf numFmtId="0" fontId="18" fillId="9" borderId="20" xfId="5" applyBorder="1" applyAlignment="1" applyProtection="1">
      <alignment horizontal="center" vertical="center"/>
      <protection locked="0"/>
    </xf>
    <xf numFmtId="0" fontId="18" fillId="9" borderId="0" xfId="5" applyBorder="1" applyAlignment="1" applyProtection="1">
      <alignment horizontal="center" vertical="center"/>
      <protection locked="0"/>
    </xf>
    <xf numFmtId="0" fontId="18" fillId="9" borderId="21" xfId="5" applyBorder="1" applyAlignment="1" applyProtection="1">
      <alignment horizontal="center" vertical="center"/>
      <protection locked="0"/>
    </xf>
    <xf numFmtId="0" fontId="18" fillId="0" borderId="0" xfId="0" applyFont="1" applyAlignment="1">
      <alignment horizontal="center" vertical="center" wrapText="1"/>
    </xf>
    <xf numFmtId="0" fontId="0" fillId="6" borderId="0" xfId="0" applyFill="1" applyAlignment="1">
      <alignment horizontal="center"/>
    </xf>
    <xf numFmtId="0" fontId="17" fillId="0" borderId="0" xfId="0" applyFont="1" applyFill="1" applyAlignment="1">
      <alignment horizontal="center"/>
    </xf>
    <xf numFmtId="0" fontId="18" fillId="0" borderId="0" xfId="0" applyFont="1" applyBorder="1" applyAlignment="1">
      <alignment horizontal="center" vertical="center" wrapText="1"/>
    </xf>
    <xf numFmtId="0" fontId="0" fillId="6" borderId="0" xfId="0" applyFill="1" applyBorder="1" applyAlignment="1">
      <alignment horizontal="center"/>
    </xf>
    <xf numFmtId="0" fontId="23" fillId="0" borderId="0" xfId="0" applyFont="1" applyAlignment="1">
      <alignment horizontal="left" vertical="center"/>
    </xf>
  </cellXfs>
  <cellStyles count="8">
    <cellStyle name="Accent1" xfId="3" builtinId="29"/>
    <cellStyle name="Accent2" xfId="4" builtinId="33"/>
    <cellStyle name="Accent4" xfId="5" builtinId="41"/>
    <cellStyle name="Accent6" xfId="6" builtinId="49"/>
    <cellStyle name="Euro" xfId="2"/>
    <cellStyle name="Lien hypertexte" xfId="7" builtinId="8"/>
    <cellStyle name="Normal" xfId="0" builtinId="0"/>
    <cellStyle name="Normal 2" xfId="1"/>
  </cellStyles>
  <dxfs count="47">
    <dxf>
      <fill>
        <gradientFill degree="90">
          <stop position="0">
            <color rgb="FFFF0000"/>
          </stop>
          <stop position="0.5">
            <color rgb="FFFF5050"/>
          </stop>
          <stop position="1">
            <color rgb="FFFF0000"/>
          </stop>
        </gradientFill>
      </fill>
    </dxf>
    <dxf>
      <font>
        <color auto="1"/>
      </font>
      <fill>
        <gradientFill degree="90">
          <stop position="0">
            <color rgb="FF92D050"/>
          </stop>
          <stop position="0.5">
            <color theme="6" tint="0.40000610370189521"/>
          </stop>
          <stop position="1">
            <color rgb="FF92D050"/>
          </stop>
        </gradientFill>
      </fill>
    </dxf>
    <dxf>
      <font>
        <color auto="1"/>
      </font>
      <fill>
        <gradientFill degree="90">
          <stop position="0">
            <color rgb="FF92D050"/>
          </stop>
          <stop position="0.5">
            <color theme="6" tint="0.40000610370189521"/>
          </stop>
          <stop position="1">
            <color rgb="FF92D050"/>
          </stop>
        </gradientFill>
      </fill>
    </dxf>
    <dxf>
      <fill>
        <gradientFill degree="90">
          <stop position="0">
            <color rgb="FFFF0000"/>
          </stop>
          <stop position="0.5">
            <color rgb="FFFF5050"/>
          </stop>
          <stop position="1">
            <color rgb="FFFF0000"/>
          </stop>
        </gradientFill>
      </fill>
    </dxf>
    <dxf>
      <font>
        <color auto="1"/>
      </font>
      <fill>
        <gradientFill degree="90">
          <stop position="0">
            <color rgb="FF92D050"/>
          </stop>
          <stop position="0.5">
            <color theme="6" tint="0.40000610370189521"/>
          </stop>
          <stop position="1">
            <color rgb="FF92D050"/>
          </stop>
        </gradientFill>
      </fill>
    </dxf>
    <dxf>
      <font>
        <color auto="1"/>
      </font>
      <fill>
        <gradientFill degree="90">
          <stop position="0">
            <color rgb="FF92D050"/>
          </stop>
          <stop position="0.5">
            <color theme="6" tint="0.40000610370189521"/>
          </stop>
          <stop position="1">
            <color rgb="FF92D050"/>
          </stop>
        </gradientFill>
      </fill>
    </dxf>
    <dxf>
      <fill>
        <gradientFill degree="90">
          <stop position="0">
            <color rgb="FFFF0000"/>
          </stop>
          <stop position="0.5">
            <color rgb="FFFF5050"/>
          </stop>
          <stop position="1">
            <color rgb="FFFF0000"/>
          </stop>
        </gradientFill>
      </fill>
    </dxf>
    <dxf>
      <font>
        <color auto="1"/>
      </font>
      <fill>
        <gradientFill degree="90">
          <stop position="0">
            <color rgb="FF92D050"/>
          </stop>
          <stop position="0.5">
            <color theme="6" tint="0.40000610370189521"/>
          </stop>
          <stop position="1">
            <color rgb="FF92D050"/>
          </stop>
        </gradientFill>
      </fill>
    </dxf>
    <dxf>
      <font>
        <color auto="1"/>
      </font>
      <fill>
        <gradientFill degree="90">
          <stop position="0">
            <color rgb="FF92D050"/>
          </stop>
          <stop position="0.5">
            <color theme="6" tint="0.40000610370189521"/>
          </stop>
          <stop position="1">
            <color rgb="FF92D050"/>
          </stop>
        </gradientFill>
      </fill>
    </dxf>
    <dxf>
      <fill>
        <gradientFill degree="90">
          <stop position="0">
            <color rgb="FFFF0000"/>
          </stop>
          <stop position="0.5">
            <color rgb="FFFF5050"/>
          </stop>
          <stop position="1">
            <color rgb="FFFF0000"/>
          </stop>
        </gradientFill>
      </fill>
    </dxf>
    <dxf>
      <font>
        <color auto="1"/>
      </font>
      <fill>
        <gradientFill degree="90">
          <stop position="0">
            <color rgb="FF92D050"/>
          </stop>
          <stop position="0.5">
            <color theme="6" tint="0.40000610370189521"/>
          </stop>
          <stop position="1">
            <color rgb="FF92D050"/>
          </stop>
        </gradientFill>
      </fill>
    </dxf>
    <dxf>
      <font>
        <color auto="1"/>
      </font>
      <fill>
        <gradientFill degree="90">
          <stop position="0">
            <color rgb="FF92D050"/>
          </stop>
          <stop position="0.5">
            <color theme="6" tint="0.40000610370189521"/>
          </stop>
          <stop position="1">
            <color rgb="FF92D050"/>
          </stop>
        </gradientFill>
      </fill>
    </dxf>
    <dxf>
      <fill>
        <gradientFill degree="90">
          <stop position="0">
            <color rgb="FFFF0000"/>
          </stop>
          <stop position="0.5">
            <color rgb="FFFF5050"/>
          </stop>
          <stop position="1">
            <color rgb="FFFF0000"/>
          </stop>
        </gradientFill>
      </fill>
    </dxf>
    <dxf>
      <font>
        <color auto="1"/>
      </font>
      <fill>
        <gradientFill degree="90">
          <stop position="0">
            <color rgb="FF92D050"/>
          </stop>
          <stop position="0.5">
            <color theme="6" tint="0.40000610370189521"/>
          </stop>
          <stop position="1">
            <color rgb="FF92D050"/>
          </stop>
        </gradientFill>
      </fill>
    </dxf>
    <dxf>
      <font>
        <color auto="1"/>
      </font>
      <fill>
        <gradientFill degree="90">
          <stop position="0">
            <color rgb="FF92D050"/>
          </stop>
          <stop position="0.5">
            <color theme="6" tint="0.40000610370189521"/>
          </stop>
          <stop position="1">
            <color rgb="FF92D050"/>
          </stop>
        </gradientFill>
      </fill>
    </dxf>
    <dxf>
      <fill>
        <gradientFill degree="90">
          <stop position="0">
            <color rgb="FFFF0000"/>
          </stop>
          <stop position="0.5">
            <color rgb="FFFF5050"/>
          </stop>
          <stop position="1">
            <color rgb="FFFF0000"/>
          </stop>
        </gradientFill>
      </fill>
    </dxf>
    <dxf>
      <font>
        <color auto="1"/>
      </font>
      <fill>
        <gradientFill degree="90">
          <stop position="0">
            <color rgb="FF92D050"/>
          </stop>
          <stop position="0.5">
            <color theme="6" tint="0.40000610370189521"/>
          </stop>
          <stop position="1">
            <color rgb="FF92D050"/>
          </stop>
        </gradientFill>
      </fill>
    </dxf>
    <dxf>
      <font>
        <color auto="1"/>
      </font>
      <fill>
        <gradientFill degree="90">
          <stop position="0">
            <color rgb="FF92D050"/>
          </stop>
          <stop position="0.5">
            <color theme="6" tint="0.40000610370189521"/>
          </stop>
          <stop position="1">
            <color rgb="FF92D050"/>
          </stop>
        </gradientFill>
      </fill>
    </dxf>
    <dxf>
      <fill>
        <gradientFill degree="90">
          <stop position="0">
            <color theme="3" tint="0.40000610370189521"/>
          </stop>
          <stop position="0.5">
            <color theme="4" tint="0.40000610370189521"/>
          </stop>
          <stop position="1">
            <color theme="3" tint="0.40000610370189521"/>
          </stop>
        </gradientFill>
      </fill>
    </dxf>
    <dxf>
      <fill>
        <gradientFill degree="90">
          <stop position="0">
            <color rgb="FFFF0000"/>
          </stop>
          <stop position="0.5">
            <color rgb="FFFF5050"/>
          </stop>
          <stop position="1">
            <color rgb="FFFF0000"/>
          </stop>
        </gradientFill>
      </fill>
    </dxf>
    <dxf>
      <font>
        <color auto="1"/>
      </font>
      <fill>
        <gradientFill degree="90">
          <stop position="0">
            <color rgb="FF92D050"/>
          </stop>
          <stop position="0.5">
            <color theme="6" tint="0.40000610370189521"/>
          </stop>
          <stop position="1">
            <color rgb="FF92D050"/>
          </stop>
        </gradientFill>
      </fill>
    </dxf>
    <dxf>
      <font>
        <color auto="1"/>
      </font>
      <fill>
        <gradientFill degree="90">
          <stop position="0">
            <color rgb="FF92D050"/>
          </stop>
          <stop position="0.5">
            <color theme="6" tint="0.40000610370189521"/>
          </stop>
          <stop position="1">
            <color rgb="FF92D050"/>
          </stop>
        </gradientFill>
      </fill>
    </dxf>
    <dxf>
      <fill>
        <gradientFill degree="90">
          <stop position="0">
            <color theme="3" tint="0.40000610370189521"/>
          </stop>
          <stop position="0.5">
            <color theme="4" tint="0.59999389629810485"/>
          </stop>
          <stop position="1">
            <color theme="3" tint="0.40000610370189521"/>
          </stop>
        </gradientFill>
      </fill>
    </dxf>
    <dxf>
      <fill>
        <gradientFill degree="90">
          <stop position="0">
            <color rgb="FFFF0000"/>
          </stop>
          <stop position="0.5">
            <color rgb="FFFF5050"/>
          </stop>
          <stop position="1">
            <color rgb="FFFF0000"/>
          </stop>
        </gradientFill>
      </fill>
    </dxf>
    <dxf>
      <font>
        <color auto="1"/>
      </font>
      <fill>
        <gradientFill degree="90">
          <stop position="0">
            <color rgb="FF92D050"/>
          </stop>
          <stop position="0.5">
            <color theme="6" tint="0.40000610370189521"/>
          </stop>
          <stop position="1">
            <color rgb="FF92D050"/>
          </stop>
        </gradientFill>
      </fill>
    </dxf>
    <dxf>
      <font>
        <color auto="1"/>
      </font>
      <fill>
        <gradientFill degree="90">
          <stop position="0">
            <color rgb="FF92D050"/>
          </stop>
          <stop position="0.5">
            <color theme="6" tint="0.40000610370189521"/>
          </stop>
          <stop position="1">
            <color rgb="FF92D050"/>
          </stop>
        </gradientFill>
      </fill>
    </dxf>
    <dxf>
      <fill>
        <gradientFill degree="90">
          <stop position="0">
            <color theme="3" tint="0.40000610370189521"/>
          </stop>
          <stop position="0.5">
            <color theme="4" tint="0.59999389629810485"/>
          </stop>
          <stop position="1">
            <color theme="3" tint="0.40000610370189521"/>
          </stop>
        </gradientFill>
      </fill>
    </dxf>
    <dxf>
      <fill>
        <gradientFill degree="90">
          <stop position="0">
            <color rgb="FFFF0000"/>
          </stop>
          <stop position="0.5">
            <color rgb="FFFF5050"/>
          </stop>
          <stop position="1">
            <color rgb="FFFF0000"/>
          </stop>
        </gradientFill>
      </fill>
    </dxf>
    <dxf>
      <font>
        <color auto="1"/>
      </font>
      <fill>
        <gradientFill degree="90">
          <stop position="0">
            <color rgb="FF92D050"/>
          </stop>
          <stop position="0.5">
            <color theme="6" tint="0.40000610370189521"/>
          </stop>
          <stop position="1">
            <color rgb="FF92D050"/>
          </stop>
        </gradientFill>
      </fill>
    </dxf>
    <dxf>
      <font>
        <color auto="1"/>
      </font>
      <fill>
        <gradientFill degree="90">
          <stop position="0">
            <color rgb="FF92D050"/>
          </stop>
          <stop position="0.5">
            <color theme="6" tint="0.40000610370189521"/>
          </stop>
          <stop position="1">
            <color rgb="FF92D050"/>
          </stop>
        </gradientFill>
      </fill>
    </dxf>
    <dxf>
      <fill>
        <gradientFill degree="90">
          <stop position="0">
            <color theme="3" tint="0.40000610370189521"/>
          </stop>
          <stop position="0.5">
            <color theme="4" tint="0.59999389629810485"/>
          </stop>
          <stop position="1">
            <color theme="3" tint="0.40000610370189521"/>
          </stop>
        </gradientFill>
      </fill>
    </dxf>
    <dxf>
      <fill>
        <gradientFill degree="90">
          <stop position="0">
            <color theme="3" tint="0.40000610370189521"/>
          </stop>
          <stop position="0.5">
            <color theme="4" tint="0.59999389629810485"/>
          </stop>
          <stop position="1">
            <color theme="3" tint="0.40000610370189521"/>
          </stop>
        </gradientFill>
      </fill>
    </dxf>
    <dxf>
      <fill>
        <gradientFill degree="90">
          <stop position="0">
            <color rgb="FFFF0000"/>
          </stop>
          <stop position="0.5">
            <color rgb="FFFF5050"/>
          </stop>
          <stop position="1">
            <color rgb="FFFF0000"/>
          </stop>
        </gradientFill>
      </fill>
    </dxf>
    <dxf>
      <font>
        <color auto="1"/>
      </font>
      <fill>
        <gradientFill degree="90">
          <stop position="0">
            <color rgb="FF92D050"/>
          </stop>
          <stop position="0.5">
            <color theme="6" tint="0.40000610370189521"/>
          </stop>
          <stop position="1">
            <color rgb="FF92D050"/>
          </stop>
        </gradientFill>
      </fill>
    </dxf>
    <dxf>
      <font>
        <color auto="1"/>
      </font>
      <fill>
        <gradientFill degree="90">
          <stop position="0">
            <color rgb="FF92D050"/>
          </stop>
          <stop position="0.5">
            <color theme="6" tint="0.40000610370189521"/>
          </stop>
          <stop position="1">
            <color rgb="FF92D050"/>
          </stop>
        </gradientFill>
      </fill>
    </dxf>
    <dxf>
      <fill>
        <gradientFill degree="90">
          <stop position="0">
            <color theme="3" tint="0.40000610370189521"/>
          </stop>
          <stop position="0.5">
            <color theme="4" tint="0.59999389629810485"/>
          </stop>
          <stop position="1">
            <color theme="3" tint="0.40000610370189521"/>
          </stop>
        </gradientFill>
      </fill>
    </dxf>
    <dxf>
      <fill>
        <gradientFill degree="90">
          <stop position="0">
            <color rgb="FFFF0000"/>
          </stop>
          <stop position="0.5">
            <color rgb="FFFF5050"/>
          </stop>
          <stop position="1">
            <color rgb="FFFF0000"/>
          </stop>
        </gradientFill>
      </fill>
    </dxf>
    <dxf>
      <font>
        <color auto="1"/>
      </font>
      <fill>
        <gradientFill degree="90">
          <stop position="0">
            <color rgb="FF92D050"/>
          </stop>
          <stop position="0.5">
            <color theme="6" tint="0.40000610370189521"/>
          </stop>
          <stop position="1">
            <color rgb="FF92D050"/>
          </stop>
        </gradientFill>
      </fill>
    </dxf>
    <dxf>
      <font>
        <color auto="1"/>
      </font>
      <fill>
        <gradientFill degree="90">
          <stop position="0">
            <color rgb="FF92D050"/>
          </stop>
          <stop position="0.5">
            <color theme="6" tint="0.40000610370189521"/>
          </stop>
          <stop position="1">
            <color rgb="FF92D050"/>
          </stop>
        </gradientFill>
      </fill>
    </dxf>
    <dxf>
      <fill>
        <gradientFill degree="90">
          <stop position="0">
            <color theme="3" tint="0.40000610370189521"/>
          </stop>
          <stop position="0.5">
            <color theme="4" tint="0.40000610370189521"/>
          </stop>
          <stop position="1">
            <color theme="3" tint="0.40000610370189521"/>
          </stop>
        </gradientFill>
      </fill>
    </dxf>
    <dxf>
      <fill>
        <gradientFill degree="90">
          <stop position="0">
            <color rgb="FFFF0000"/>
          </stop>
          <stop position="0.5">
            <color rgb="FFFF5050"/>
          </stop>
          <stop position="1">
            <color rgb="FFFF0000"/>
          </stop>
        </gradientFill>
      </fill>
    </dxf>
    <dxf>
      <font>
        <color auto="1"/>
      </font>
      <fill>
        <gradientFill degree="90">
          <stop position="0">
            <color rgb="FF92D050"/>
          </stop>
          <stop position="0.5">
            <color theme="6" tint="0.40000610370189521"/>
          </stop>
          <stop position="1">
            <color rgb="FF92D050"/>
          </stop>
        </gradientFill>
      </fill>
    </dxf>
    <dxf>
      <font>
        <color auto="1"/>
      </font>
      <fill>
        <gradientFill degree="90">
          <stop position="0">
            <color rgb="FF92D050"/>
          </stop>
          <stop position="0.5">
            <color theme="6" tint="0.40000610370189521"/>
          </stop>
          <stop position="1">
            <color rgb="FF92D050"/>
          </stop>
        </gradientFill>
      </fill>
    </dxf>
    <dxf>
      <fill>
        <gradientFill degree="90">
          <stop position="0">
            <color rgb="FFFF0000"/>
          </stop>
          <stop position="0.5">
            <color rgb="FFFF5050"/>
          </stop>
          <stop position="1">
            <color rgb="FFFF0000"/>
          </stop>
        </gradientFill>
      </fill>
    </dxf>
    <dxf>
      <font>
        <color auto="1"/>
      </font>
      <fill>
        <gradientFill degree="90">
          <stop position="0">
            <color rgb="FF92D050"/>
          </stop>
          <stop position="0.5">
            <color theme="6" tint="0.40000610370189521"/>
          </stop>
          <stop position="1">
            <color rgb="FF92D050"/>
          </stop>
        </gradientFill>
      </fill>
    </dxf>
    <dxf>
      <font>
        <color auto="1"/>
      </font>
      <fill>
        <gradientFill degree="90">
          <stop position="0">
            <color rgb="FF92D050"/>
          </stop>
          <stop position="0.5">
            <color theme="6" tint="0.40000610370189521"/>
          </stop>
          <stop position="1">
            <color rgb="FF92D050"/>
          </stop>
        </gradientFill>
      </fill>
    </dxf>
    <dxf>
      <fill>
        <patternFill>
          <bgColor theme="6"/>
        </patternFill>
      </fill>
    </dxf>
  </dxfs>
  <tableStyles count="1" defaultTableStyle="TableStyleMedium2" defaultPivotStyle="PivotStyleLight16">
    <tableStyle name="Style de tableau croisé dynamique 1" table="0" count="1">
      <tableStyleElement type="pageFieldValues" dxfId="46"/>
    </tableStyle>
  </tableStyles>
  <colors>
    <mruColors>
      <color rgb="FFFF3399"/>
      <color rgb="FFFF5050"/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JANVIER!A1"/><Relationship Id="rId13" Type="http://schemas.openxmlformats.org/officeDocument/2006/relationships/hyperlink" Target="#JUILLET!A1"/><Relationship Id="rId18" Type="http://schemas.openxmlformats.org/officeDocument/2006/relationships/hyperlink" Target="#AVRIL!A1"/><Relationship Id="rId3" Type="http://schemas.openxmlformats.org/officeDocument/2006/relationships/image" Target="../media/image3.png"/><Relationship Id="rId7" Type="http://schemas.openxmlformats.org/officeDocument/2006/relationships/hyperlink" Target="#DECEMBRE!A1"/><Relationship Id="rId12" Type="http://schemas.openxmlformats.org/officeDocument/2006/relationships/hyperlink" Target="#JUIN!A1"/><Relationship Id="rId17" Type="http://schemas.openxmlformats.org/officeDocument/2006/relationships/hyperlink" Target="#Calcul_Impots!A1"/><Relationship Id="rId2" Type="http://schemas.openxmlformats.org/officeDocument/2006/relationships/image" Target="../media/image2.png"/><Relationship Id="rId16" Type="http://schemas.openxmlformats.org/officeDocument/2006/relationships/hyperlink" Target="#AOUT!A1"/><Relationship Id="rId1" Type="http://schemas.openxmlformats.org/officeDocument/2006/relationships/image" Target="../media/image1.png"/><Relationship Id="rId6" Type="http://schemas.openxmlformats.org/officeDocument/2006/relationships/hyperlink" Target="#SEPTEMBRE!A1"/><Relationship Id="rId11" Type="http://schemas.openxmlformats.org/officeDocument/2006/relationships/hyperlink" Target="#MAI!A1"/><Relationship Id="rId5" Type="http://schemas.openxmlformats.org/officeDocument/2006/relationships/hyperlink" Target="#'DECEMBRE_-1'!A1"/><Relationship Id="rId15" Type="http://schemas.openxmlformats.org/officeDocument/2006/relationships/hyperlink" Target="#NOVEMBRE!A1"/><Relationship Id="rId10" Type="http://schemas.openxmlformats.org/officeDocument/2006/relationships/hyperlink" Target="#MARS!A1"/><Relationship Id="rId4" Type="http://schemas.openxmlformats.org/officeDocument/2006/relationships/image" Target="../media/image4.png"/><Relationship Id="rId9" Type="http://schemas.openxmlformats.org/officeDocument/2006/relationships/hyperlink" Target="#FEVRIER!A1"/><Relationship Id="rId14" Type="http://schemas.openxmlformats.org/officeDocument/2006/relationships/hyperlink" Target="#OCTOBR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Table 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Table 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'Table '!A1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Table 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Table '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Table '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Table '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'Table '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'Table '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'Table '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'Table '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'Table '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'Table '!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'Table 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428625</xdr:colOff>
      <xdr:row>36</xdr:row>
      <xdr:rowOff>180976</xdr:rowOff>
    </xdr:from>
    <xdr:to>
      <xdr:col>41</xdr:col>
      <xdr:colOff>293687</xdr:colOff>
      <xdr:row>38</xdr:row>
      <xdr:rowOff>9525</xdr:rowOff>
    </xdr:to>
    <xdr:pic>
      <xdr:nvPicPr>
        <xdr:cNvPr id="4" name="Image 3" descr="ed--piphani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686175" y="3886201"/>
          <a:ext cx="292099" cy="219074"/>
        </a:xfrm>
        <a:prstGeom prst="rect">
          <a:avLst/>
        </a:prstGeom>
      </xdr:spPr>
    </xdr:pic>
    <xdr:clientData/>
  </xdr:twoCellAnchor>
  <xdr:twoCellAnchor>
    <xdr:from>
      <xdr:col>3</xdr:col>
      <xdr:colOff>866775</xdr:colOff>
      <xdr:row>1</xdr:row>
      <xdr:rowOff>114300</xdr:rowOff>
    </xdr:from>
    <xdr:to>
      <xdr:col>3</xdr:col>
      <xdr:colOff>866776</xdr:colOff>
      <xdr:row>2</xdr:row>
      <xdr:rowOff>57150</xdr:rowOff>
    </xdr:to>
    <xdr:cxnSp macro="">
      <xdr:nvCxnSpPr>
        <xdr:cNvPr id="6" name="Connecteur droit avec flèche 5"/>
        <xdr:cNvCxnSpPr/>
      </xdr:nvCxnSpPr>
      <xdr:spPr>
        <a:xfrm>
          <a:off x="6467475" y="114300"/>
          <a:ext cx="1" cy="200025"/>
        </a:xfrm>
        <a:prstGeom prst="straightConnector1">
          <a:avLst/>
        </a:prstGeom>
        <a:ln w="19050" cmpd="sng">
          <a:solidFill>
            <a:schemeClr val="bg1"/>
          </a:solidFill>
          <a:tailEnd type="arrow"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0"/>
          </a:lightRig>
        </a:scene3d>
        <a:sp3d prstMaterial="matte">
          <a:bevelT w="0" h="0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857250</xdr:colOff>
      <xdr:row>1</xdr:row>
      <xdr:rowOff>133350</xdr:rowOff>
    </xdr:from>
    <xdr:to>
      <xdr:col>7</xdr:col>
      <xdr:colOff>857251</xdr:colOff>
      <xdr:row>2</xdr:row>
      <xdr:rowOff>76200</xdr:rowOff>
    </xdr:to>
    <xdr:cxnSp macro="">
      <xdr:nvCxnSpPr>
        <xdr:cNvPr id="12" name="Connecteur droit avec flèche 11"/>
        <xdr:cNvCxnSpPr/>
      </xdr:nvCxnSpPr>
      <xdr:spPr>
        <a:xfrm>
          <a:off x="9124950" y="133350"/>
          <a:ext cx="1" cy="200025"/>
        </a:xfrm>
        <a:prstGeom prst="straightConnector1">
          <a:avLst/>
        </a:prstGeom>
        <a:ln w="19050" cmpd="sng">
          <a:solidFill>
            <a:schemeClr val="bg1"/>
          </a:solidFill>
          <a:tailEnd type="arrow"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0"/>
          </a:lightRig>
        </a:scene3d>
        <a:sp3d prstMaterial="matte">
          <a:bevelT w="0" h="0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857250</xdr:colOff>
      <xdr:row>4</xdr:row>
      <xdr:rowOff>142875</xdr:rowOff>
    </xdr:from>
    <xdr:to>
      <xdr:col>3</xdr:col>
      <xdr:colOff>857251</xdr:colOff>
      <xdr:row>5</xdr:row>
      <xdr:rowOff>85725</xdr:rowOff>
    </xdr:to>
    <xdr:cxnSp macro="">
      <xdr:nvCxnSpPr>
        <xdr:cNvPr id="13" name="Connecteur droit avec flèche 12"/>
        <xdr:cNvCxnSpPr/>
      </xdr:nvCxnSpPr>
      <xdr:spPr>
        <a:xfrm>
          <a:off x="11753850" y="142875"/>
          <a:ext cx="1" cy="200025"/>
        </a:xfrm>
        <a:prstGeom prst="straightConnector1">
          <a:avLst/>
        </a:prstGeom>
        <a:ln w="19050" cmpd="sng">
          <a:solidFill>
            <a:schemeClr val="bg1"/>
          </a:solidFill>
          <a:tailEnd type="arrow"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0"/>
          </a:lightRig>
        </a:scene3d>
        <a:sp3d prstMaterial="matte">
          <a:bevelT w="0" h="0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866775</xdr:colOff>
      <xdr:row>4</xdr:row>
      <xdr:rowOff>123825</xdr:rowOff>
    </xdr:from>
    <xdr:to>
      <xdr:col>7</xdr:col>
      <xdr:colOff>866776</xdr:colOff>
      <xdr:row>5</xdr:row>
      <xdr:rowOff>66675</xdr:rowOff>
    </xdr:to>
    <xdr:cxnSp macro="">
      <xdr:nvCxnSpPr>
        <xdr:cNvPr id="14" name="Connecteur droit avec flèche 13"/>
        <xdr:cNvCxnSpPr/>
      </xdr:nvCxnSpPr>
      <xdr:spPr>
        <a:xfrm>
          <a:off x="14392275" y="123825"/>
          <a:ext cx="1" cy="200025"/>
        </a:xfrm>
        <a:prstGeom prst="straightConnector1">
          <a:avLst/>
        </a:prstGeom>
        <a:ln w="19050" cmpd="sng">
          <a:solidFill>
            <a:schemeClr val="bg1"/>
          </a:solidFill>
          <a:tailEnd type="arrow"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0"/>
          </a:lightRig>
        </a:scene3d>
        <a:sp3d prstMaterial="matte">
          <a:bevelT w="0" h="0"/>
        </a:sp3d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26</xdr:col>
      <xdr:colOff>361951</xdr:colOff>
      <xdr:row>38</xdr:row>
      <xdr:rowOff>9524</xdr:rowOff>
    </xdr:from>
    <xdr:to>
      <xdr:col>41</xdr:col>
      <xdr:colOff>304799</xdr:colOff>
      <xdr:row>39</xdr:row>
      <xdr:rowOff>15081</xdr:rowOff>
    </xdr:to>
    <xdr:pic>
      <xdr:nvPicPr>
        <xdr:cNvPr id="8" name="Image 7" descr="915286b5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619501" y="4095749"/>
          <a:ext cx="304800" cy="196057"/>
        </a:xfrm>
        <a:prstGeom prst="rect">
          <a:avLst/>
        </a:prstGeom>
      </xdr:spPr>
    </xdr:pic>
    <xdr:clientData/>
  </xdr:twoCellAnchor>
  <xdr:twoCellAnchor editAs="oneCell">
    <xdr:from>
      <xdr:col>26</xdr:col>
      <xdr:colOff>307731</xdr:colOff>
      <xdr:row>39</xdr:row>
      <xdr:rowOff>7429</xdr:rowOff>
    </xdr:from>
    <xdr:to>
      <xdr:col>41</xdr:col>
      <xdr:colOff>406644</xdr:colOff>
      <xdr:row>40</xdr:row>
      <xdr:rowOff>36635</xdr:rowOff>
    </xdr:to>
    <xdr:pic>
      <xdr:nvPicPr>
        <xdr:cNvPr id="10" name="Image 9" descr="Mardi-Gras-Mask-psd22481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568212" y="4279025"/>
          <a:ext cx="406644" cy="219706"/>
        </a:xfrm>
        <a:prstGeom prst="rect">
          <a:avLst/>
        </a:prstGeom>
      </xdr:spPr>
    </xdr:pic>
    <xdr:clientData/>
  </xdr:twoCellAnchor>
  <xdr:twoCellAnchor editAs="oneCell">
    <xdr:from>
      <xdr:col>26</xdr:col>
      <xdr:colOff>131884</xdr:colOff>
      <xdr:row>40</xdr:row>
      <xdr:rowOff>0</xdr:rowOff>
    </xdr:from>
    <xdr:to>
      <xdr:col>41</xdr:col>
      <xdr:colOff>315058</xdr:colOff>
      <xdr:row>41</xdr:row>
      <xdr:rowOff>0</xdr:rowOff>
    </xdr:to>
    <xdr:pic>
      <xdr:nvPicPr>
        <xdr:cNvPr id="18" name="Image 17" descr="fete_de_la_musique_mondorf_2014_-_logo_0.pn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392365" y="4462096"/>
          <a:ext cx="315058" cy="190500"/>
        </a:xfrm>
        <a:prstGeom prst="rect">
          <a:avLst/>
        </a:prstGeom>
      </xdr:spPr>
    </xdr:pic>
    <xdr:clientData/>
  </xdr:twoCellAnchor>
  <xdr:twoCellAnchor>
    <xdr:from>
      <xdr:col>1</xdr:col>
      <xdr:colOff>476250</xdr:colOff>
      <xdr:row>1</xdr:row>
      <xdr:rowOff>0</xdr:rowOff>
    </xdr:from>
    <xdr:to>
      <xdr:col>1</xdr:col>
      <xdr:colOff>733425</xdr:colOff>
      <xdr:row>6</xdr:row>
      <xdr:rowOff>19050</xdr:rowOff>
    </xdr:to>
    <xdr:sp macro="" textlink="">
      <xdr:nvSpPr>
        <xdr:cNvPr id="11" name="Accolade ouvrante 10"/>
        <xdr:cNvSpPr/>
      </xdr:nvSpPr>
      <xdr:spPr>
        <a:xfrm>
          <a:off x="476250" y="876300"/>
          <a:ext cx="257175" cy="1152525"/>
        </a:xfrm>
        <a:prstGeom prst="lef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169863</xdr:colOff>
      <xdr:row>10</xdr:row>
      <xdr:rowOff>26193</xdr:rowOff>
    </xdr:from>
    <xdr:to>
      <xdr:col>8</xdr:col>
      <xdr:colOff>7938</xdr:colOff>
      <xdr:row>12</xdr:row>
      <xdr:rowOff>45243</xdr:rowOff>
    </xdr:to>
    <xdr:sp macro="" textlink="">
      <xdr:nvSpPr>
        <xdr:cNvPr id="20" name="Rectangle à coins arrondis 19">
          <a:hlinkClick xmlns:r="http://schemas.openxmlformats.org/officeDocument/2006/relationships" r:id="rId5"/>
        </xdr:cNvPr>
        <xdr:cNvSpPr/>
      </xdr:nvSpPr>
      <xdr:spPr>
        <a:xfrm>
          <a:off x="3665538" y="2216943"/>
          <a:ext cx="1590675" cy="40005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0" i="0">
              <a:solidFill>
                <a:schemeClr val="bg1"/>
              </a:solidFill>
              <a:latin typeface="Monotype Corsiva" pitchFamily="66" charset="0"/>
              <a:cs typeface="Arabic Typesetting" pitchFamily="66" charset="-78"/>
            </a:rPr>
            <a:t>DECEMBRE -1</a:t>
          </a:r>
        </a:p>
      </xdr:txBody>
    </xdr:sp>
    <xdr:clientData/>
  </xdr:twoCellAnchor>
  <xdr:twoCellAnchor>
    <xdr:from>
      <xdr:col>1</xdr:col>
      <xdr:colOff>134938</xdr:colOff>
      <xdr:row>18</xdr:row>
      <xdr:rowOff>92868</xdr:rowOff>
    </xdr:from>
    <xdr:to>
      <xdr:col>3</xdr:col>
      <xdr:colOff>87313</xdr:colOff>
      <xdr:row>20</xdr:row>
      <xdr:rowOff>111918</xdr:rowOff>
    </xdr:to>
    <xdr:sp macro="" textlink="">
      <xdr:nvSpPr>
        <xdr:cNvPr id="29" name="Rectangle à coins arrondis 28">
          <a:hlinkClick xmlns:r="http://schemas.openxmlformats.org/officeDocument/2006/relationships" r:id="rId6"/>
        </xdr:cNvPr>
        <xdr:cNvSpPr/>
      </xdr:nvSpPr>
      <xdr:spPr>
        <a:xfrm>
          <a:off x="134938" y="3807618"/>
          <a:ext cx="1590675" cy="4000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0" i="0">
              <a:solidFill>
                <a:schemeClr val="bg1"/>
              </a:solidFill>
              <a:latin typeface="Monotype Corsiva" pitchFamily="66" charset="0"/>
              <a:cs typeface="Arabic Typesetting" pitchFamily="66" charset="-78"/>
            </a:rPr>
            <a:t>SEPTEMBRE</a:t>
          </a:r>
        </a:p>
      </xdr:txBody>
    </xdr:sp>
    <xdr:clientData/>
  </xdr:twoCellAnchor>
  <xdr:twoCellAnchor>
    <xdr:from>
      <xdr:col>8</xdr:col>
      <xdr:colOff>190500</xdr:colOff>
      <xdr:row>18</xdr:row>
      <xdr:rowOff>73818</xdr:rowOff>
    </xdr:from>
    <xdr:to>
      <xdr:col>10</xdr:col>
      <xdr:colOff>28575</xdr:colOff>
      <xdr:row>20</xdr:row>
      <xdr:rowOff>92868</xdr:rowOff>
    </xdr:to>
    <xdr:sp macro="" textlink="">
      <xdr:nvSpPr>
        <xdr:cNvPr id="30" name="Rectangle à coins arrondis 29">
          <a:hlinkClick xmlns:r="http://schemas.openxmlformats.org/officeDocument/2006/relationships" r:id="rId7"/>
        </xdr:cNvPr>
        <xdr:cNvSpPr/>
      </xdr:nvSpPr>
      <xdr:spPr>
        <a:xfrm>
          <a:off x="5438775" y="3788568"/>
          <a:ext cx="1590675" cy="4000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0" i="0">
              <a:solidFill>
                <a:schemeClr val="bg1"/>
              </a:solidFill>
              <a:latin typeface="Monotype Corsiva" pitchFamily="66" charset="0"/>
              <a:cs typeface="Arabic Typesetting" pitchFamily="66" charset="-78"/>
            </a:rPr>
            <a:t>DECEMBRE</a:t>
          </a:r>
        </a:p>
      </xdr:txBody>
    </xdr:sp>
    <xdr:clientData/>
  </xdr:twoCellAnchor>
  <xdr:twoCellAnchor>
    <xdr:from>
      <xdr:col>1</xdr:col>
      <xdr:colOff>142875</xdr:colOff>
      <xdr:row>12</xdr:row>
      <xdr:rowOff>165553</xdr:rowOff>
    </xdr:from>
    <xdr:to>
      <xdr:col>3</xdr:col>
      <xdr:colOff>95250</xdr:colOff>
      <xdr:row>14</xdr:row>
      <xdr:rowOff>184603</xdr:rowOff>
    </xdr:to>
    <xdr:sp macro="" textlink="">
      <xdr:nvSpPr>
        <xdr:cNvPr id="40" name="Rectangle à coins arrondis 39">
          <a:hlinkClick xmlns:r="http://schemas.openxmlformats.org/officeDocument/2006/relationships" r:id="rId8"/>
        </xdr:cNvPr>
        <xdr:cNvSpPr/>
      </xdr:nvSpPr>
      <xdr:spPr>
        <a:xfrm>
          <a:off x="142875" y="2737303"/>
          <a:ext cx="1590675" cy="4000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0" i="0">
              <a:solidFill>
                <a:schemeClr val="bg1"/>
              </a:solidFill>
              <a:latin typeface="Monotype Corsiva" pitchFamily="66" charset="0"/>
              <a:cs typeface="Arabic Typesetting" pitchFamily="66" charset="-78"/>
            </a:rPr>
            <a:t>JANVIER</a:t>
          </a:r>
        </a:p>
      </xdr:txBody>
    </xdr:sp>
    <xdr:clientData/>
  </xdr:twoCellAnchor>
  <xdr:twoCellAnchor>
    <xdr:from>
      <xdr:col>3</xdr:col>
      <xdr:colOff>246063</xdr:colOff>
      <xdr:row>12</xdr:row>
      <xdr:rowOff>166347</xdr:rowOff>
    </xdr:from>
    <xdr:to>
      <xdr:col>5</xdr:col>
      <xdr:colOff>84138</xdr:colOff>
      <xdr:row>14</xdr:row>
      <xdr:rowOff>185397</xdr:rowOff>
    </xdr:to>
    <xdr:sp macro="" textlink="">
      <xdr:nvSpPr>
        <xdr:cNvPr id="41" name="Rectangle à coins arrondis 40">
          <a:hlinkClick xmlns:r="http://schemas.openxmlformats.org/officeDocument/2006/relationships" r:id="rId9"/>
        </xdr:cNvPr>
        <xdr:cNvSpPr/>
      </xdr:nvSpPr>
      <xdr:spPr>
        <a:xfrm>
          <a:off x="1884363" y="2738097"/>
          <a:ext cx="1590675" cy="4000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0" i="0">
              <a:solidFill>
                <a:schemeClr val="bg1"/>
              </a:solidFill>
              <a:latin typeface="Monotype Corsiva" pitchFamily="66" charset="0"/>
              <a:cs typeface="Arabic Typesetting" pitchFamily="66" charset="-78"/>
            </a:rPr>
            <a:t>FEVRIER</a:t>
          </a:r>
        </a:p>
      </xdr:txBody>
    </xdr:sp>
    <xdr:clientData/>
  </xdr:twoCellAnchor>
  <xdr:twoCellAnchor>
    <xdr:from>
      <xdr:col>6</xdr:col>
      <xdr:colOff>173038</xdr:colOff>
      <xdr:row>12</xdr:row>
      <xdr:rowOff>166347</xdr:rowOff>
    </xdr:from>
    <xdr:to>
      <xdr:col>8</xdr:col>
      <xdr:colOff>11113</xdr:colOff>
      <xdr:row>14</xdr:row>
      <xdr:rowOff>185397</xdr:rowOff>
    </xdr:to>
    <xdr:sp macro="" textlink="">
      <xdr:nvSpPr>
        <xdr:cNvPr id="42" name="Rectangle à coins arrondis 41">
          <a:hlinkClick xmlns:r="http://schemas.openxmlformats.org/officeDocument/2006/relationships" r:id="rId10"/>
        </xdr:cNvPr>
        <xdr:cNvSpPr/>
      </xdr:nvSpPr>
      <xdr:spPr>
        <a:xfrm>
          <a:off x="3668713" y="2738097"/>
          <a:ext cx="1590675" cy="4000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0" i="0">
              <a:solidFill>
                <a:schemeClr val="bg1"/>
              </a:solidFill>
              <a:latin typeface="Monotype Corsiva" pitchFamily="66" charset="0"/>
              <a:cs typeface="Arabic Typesetting" pitchFamily="66" charset="-78"/>
            </a:rPr>
            <a:t>MARS</a:t>
          </a:r>
        </a:p>
      </xdr:txBody>
    </xdr:sp>
    <xdr:clientData/>
  </xdr:twoCellAnchor>
  <xdr:twoCellAnchor>
    <xdr:from>
      <xdr:col>1</xdr:col>
      <xdr:colOff>133350</xdr:colOff>
      <xdr:row>15</xdr:row>
      <xdr:rowOff>128700</xdr:rowOff>
    </xdr:from>
    <xdr:to>
      <xdr:col>3</xdr:col>
      <xdr:colOff>85725</xdr:colOff>
      <xdr:row>17</xdr:row>
      <xdr:rowOff>147750</xdr:rowOff>
    </xdr:to>
    <xdr:sp macro="" textlink="">
      <xdr:nvSpPr>
        <xdr:cNvPr id="43" name="Rectangle à coins arrondis 42">
          <a:hlinkClick xmlns:r="http://schemas.openxmlformats.org/officeDocument/2006/relationships" r:id="rId11"/>
        </xdr:cNvPr>
        <xdr:cNvSpPr/>
      </xdr:nvSpPr>
      <xdr:spPr>
        <a:xfrm>
          <a:off x="133350" y="3271950"/>
          <a:ext cx="1590675" cy="4000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0" i="0">
              <a:solidFill>
                <a:schemeClr val="bg1"/>
              </a:solidFill>
              <a:latin typeface="Monotype Corsiva" pitchFamily="66" charset="0"/>
              <a:cs typeface="Arabic Typesetting" pitchFamily="66" charset="-78"/>
            </a:rPr>
            <a:t>MAI</a:t>
          </a:r>
        </a:p>
      </xdr:txBody>
    </xdr:sp>
    <xdr:clientData/>
  </xdr:twoCellAnchor>
  <xdr:twoCellAnchor>
    <xdr:from>
      <xdr:col>3</xdr:col>
      <xdr:colOff>246063</xdr:colOff>
      <xdr:row>15</xdr:row>
      <xdr:rowOff>125526</xdr:rowOff>
    </xdr:from>
    <xdr:to>
      <xdr:col>5</xdr:col>
      <xdr:colOff>84138</xdr:colOff>
      <xdr:row>17</xdr:row>
      <xdr:rowOff>144576</xdr:rowOff>
    </xdr:to>
    <xdr:sp macro="" textlink="">
      <xdr:nvSpPr>
        <xdr:cNvPr id="44" name="Rectangle à coins arrondis 43">
          <a:hlinkClick xmlns:r="http://schemas.openxmlformats.org/officeDocument/2006/relationships" r:id="rId12"/>
        </xdr:cNvPr>
        <xdr:cNvSpPr/>
      </xdr:nvSpPr>
      <xdr:spPr>
        <a:xfrm>
          <a:off x="1884363" y="3268776"/>
          <a:ext cx="1590675" cy="4000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0" i="0">
              <a:solidFill>
                <a:schemeClr val="bg1"/>
              </a:solidFill>
              <a:latin typeface="Monotype Corsiva" pitchFamily="66" charset="0"/>
              <a:cs typeface="Arabic Typesetting" pitchFamily="66" charset="-78"/>
            </a:rPr>
            <a:t>JUIN</a:t>
          </a:r>
        </a:p>
      </xdr:txBody>
    </xdr:sp>
    <xdr:clientData/>
  </xdr:twoCellAnchor>
  <xdr:twoCellAnchor>
    <xdr:from>
      <xdr:col>6</xdr:col>
      <xdr:colOff>173038</xdr:colOff>
      <xdr:row>15</xdr:row>
      <xdr:rowOff>125526</xdr:rowOff>
    </xdr:from>
    <xdr:to>
      <xdr:col>8</xdr:col>
      <xdr:colOff>11113</xdr:colOff>
      <xdr:row>17</xdr:row>
      <xdr:rowOff>144576</xdr:rowOff>
    </xdr:to>
    <xdr:sp macro="" textlink="">
      <xdr:nvSpPr>
        <xdr:cNvPr id="45" name="Rectangle à coins arrondis 44">
          <a:hlinkClick xmlns:r="http://schemas.openxmlformats.org/officeDocument/2006/relationships" r:id="rId13"/>
        </xdr:cNvPr>
        <xdr:cNvSpPr/>
      </xdr:nvSpPr>
      <xdr:spPr>
        <a:xfrm>
          <a:off x="3668713" y="3268776"/>
          <a:ext cx="1590675" cy="4000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0" i="0">
              <a:solidFill>
                <a:schemeClr val="bg1"/>
              </a:solidFill>
              <a:latin typeface="Monotype Corsiva" pitchFamily="66" charset="0"/>
              <a:cs typeface="Arabic Typesetting" pitchFamily="66" charset="-78"/>
            </a:rPr>
            <a:t>JUILLET</a:t>
          </a:r>
        </a:p>
      </xdr:txBody>
    </xdr:sp>
    <xdr:clientData/>
  </xdr:twoCellAnchor>
  <xdr:twoCellAnchor>
    <xdr:from>
      <xdr:col>3</xdr:col>
      <xdr:colOff>246063</xdr:colOff>
      <xdr:row>18</xdr:row>
      <xdr:rowOff>84704</xdr:rowOff>
    </xdr:from>
    <xdr:to>
      <xdr:col>5</xdr:col>
      <xdr:colOff>84138</xdr:colOff>
      <xdr:row>20</xdr:row>
      <xdr:rowOff>103754</xdr:rowOff>
    </xdr:to>
    <xdr:sp macro="" textlink="">
      <xdr:nvSpPr>
        <xdr:cNvPr id="46" name="Rectangle à coins arrondis 45">
          <a:hlinkClick xmlns:r="http://schemas.openxmlformats.org/officeDocument/2006/relationships" r:id="rId14"/>
        </xdr:cNvPr>
        <xdr:cNvSpPr/>
      </xdr:nvSpPr>
      <xdr:spPr>
        <a:xfrm>
          <a:off x="1884363" y="3799454"/>
          <a:ext cx="1590675" cy="4000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0" i="0">
              <a:solidFill>
                <a:schemeClr val="bg1"/>
              </a:solidFill>
              <a:latin typeface="Monotype Corsiva" pitchFamily="66" charset="0"/>
              <a:cs typeface="Arabic Typesetting" pitchFamily="66" charset="-78"/>
            </a:rPr>
            <a:t>OCTOBRE</a:t>
          </a:r>
        </a:p>
      </xdr:txBody>
    </xdr:sp>
    <xdr:clientData/>
  </xdr:twoCellAnchor>
  <xdr:twoCellAnchor>
    <xdr:from>
      <xdr:col>6</xdr:col>
      <xdr:colOff>173038</xdr:colOff>
      <xdr:row>18</xdr:row>
      <xdr:rowOff>84704</xdr:rowOff>
    </xdr:from>
    <xdr:to>
      <xdr:col>8</xdr:col>
      <xdr:colOff>11113</xdr:colOff>
      <xdr:row>20</xdr:row>
      <xdr:rowOff>103754</xdr:rowOff>
    </xdr:to>
    <xdr:sp macro="" textlink="">
      <xdr:nvSpPr>
        <xdr:cNvPr id="47" name="Rectangle à coins arrondis 46">
          <a:hlinkClick xmlns:r="http://schemas.openxmlformats.org/officeDocument/2006/relationships" r:id="rId15"/>
        </xdr:cNvPr>
        <xdr:cNvSpPr/>
      </xdr:nvSpPr>
      <xdr:spPr>
        <a:xfrm>
          <a:off x="3668713" y="3799454"/>
          <a:ext cx="1590675" cy="4000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0" i="0">
              <a:solidFill>
                <a:schemeClr val="bg1"/>
              </a:solidFill>
              <a:latin typeface="Monotype Corsiva" pitchFamily="66" charset="0"/>
              <a:cs typeface="Arabic Typesetting" pitchFamily="66" charset="-78"/>
            </a:rPr>
            <a:t>NOVEMBRE</a:t>
          </a:r>
        </a:p>
      </xdr:txBody>
    </xdr:sp>
    <xdr:clientData/>
  </xdr:twoCellAnchor>
  <xdr:twoCellAnchor>
    <xdr:from>
      <xdr:col>8</xdr:col>
      <xdr:colOff>190500</xdr:colOff>
      <xdr:row>15</xdr:row>
      <xdr:rowOff>128700</xdr:rowOff>
    </xdr:from>
    <xdr:to>
      <xdr:col>10</xdr:col>
      <xdr:colOff>28575</xdr:colOff>
      <xdr:row>17</xdr:row>
      <xdr:rowOff>147750</xdr:rowOff>
    </xdr:to>
    <xdr:sp macro="" textlink="">
      <xdr:nvSpPr>
        <xdr:cNvPr id="48" name="Rectangle à coins arrondis 47">
          <a:hlinkClick xmlns:r="http://schemas.openxmlformats.org/officeDocument/2006/relationships" r:id="rId16"/>
        </xdr:cNvPr>
        <xdr:cNvSpPr/>
      </xdr:nvSpPr>
      <xdr:spPr>
        <a:xfrm>
          <a:off x="5438775" y="3271950"/>
          <a:ext cx="1590675" cy="4000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0" i="0">
              <a:solidFill>
                <a:schemeClr val="bg1"/>
              </a:solidFill>
              <a:latin typeface="Monotype Corsiva" pitchFamily="66" charset="0"/>
              <a:cs typeface="Arabic Typesetting" pitchFamily="66" charset="-78"/>
            </a:rPr>
            <a:t>AOUT</a:t>
          </a:r>
        </a:p>
      </xdr:txBody>
    </xdr:sp>
    <xdr:clientData/>
  </xdr:twoCellAnchor>
  <xdr:twoCellAnchor>
    <xdr:from>
      <xdr:col>3</xdr:col>
      <xdr:colOff>266700</xdr:colOff>
      <xdr:row>10</xdr:row>
      <xdr:rowOff>26193</xdr:rowOff>
    </xdr:from>
    <xdr:to>
      <xdr:col>6</xdr:col>
      <xdr:colOff>0</xdr:colOff>
      <xdr:row>12</xdr:row>
      <xdr:rowOff>45243</xdr:rowOff>
    </xdr:to>
    <xdr:sp macro="" textlink="">
      <xdr:nvSpPr>
        <xdr:cNvPr id="49" name="Rectangle à coins arrondis 48">
          <a:hlinkClick xmlns:r="http://schemas.openxmlformats.org/officeDocument/2006/relationships" r:id="rId17"/>
        </xdr:cNvPr>
        <xdr:cNvSpPr/>
      </xdr:nvSpPr>
      <xdr:spPr>
        <a:xfrm>
          <a:off x="1905000" y="2216943"/>
          <a:ext cx="1590675" cy="40005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0" i="0">
              <a:solidFill>
                <a:schemeClr val="bg1"/>
              </a:solidFill>
              <a:latin typeface="Monotype Corsiva" pitchFamily="66" charset="0"/>
              <a:cs typeface="Arabic Typesetting" pitchFamily="66" charset="-78"/>
            </a:rPr>
            <a:t>Calcul</a:t>
          </a:r>
          <a:r>
            <a:rPr lang="fr-FR" sz="1400" b="0" i="0" baseline="0">
              <a:solidFill>
                <a:schemeClr val="bg1"/>
              </a:solidFill>
              <a:latin typeface="Monotype Corsiva" pitchFamily="66" charset="0"/>
              <a:cs typeface="Arabic Typesetting" pitchFamily="66" charset="-78"/>
            </a:rPr>
            <a:t> Impots</a:t>
          </a:r>
          <a:endParaRPr lang="fr-FR" sz="1400" b="0" i="0">
            <a:solidFill>
              <a:schemeClr val="bg1"/>
            </a:solidFill>
            <a:latin typeface="Monotype Corsiva" pitchFamily="66" charset="0"/>
            <a:cs typeface="Arabic Typesetting" pitchFamily="66" charset="-78"/>
          </a:endParaRPr>
        </a:p>
      </xdr:txBody>
    </xdr:sp>
    <xdr:clientData/>
  </xdr:twoCellAnchor>
  <xdr:twoCellAnchor>
    <xdr:from>
      <xdr:col>8</xdr:col>
      <xdr:colOff>171450</xdr:colOff>
      <xdr:row>12</xdr:row>
      <xdr:rowOff>165553</xdr:rowOff>
    </xdr:from>
    <xdr:to>
      <xdr:col>10</xdr:col>
      <xdr:colOff>9525</xdr:colOff>
      <xdr:row>14</xdr:row>
      <xdr:rowOff>184603</xdr:rowOff>
    </xdr:to>
    <xdr:sp macro="" textlink="">
      <xdr:nvSpPr>
        <xdr:cNvPr id="50" name="Rectangle à coins arrondis 49">
          <a:hlinkClick xmlns:r="http://schemas.openxmlformats.org/officeDocument/2006/relationships" r:id="rId18"/>
        </xdr:cNvPr>
        <xdr:cNvSpPr/>
      </xdr:nvSpPr>
      <xdr:spPr>
        <a:xfrm>
          <a:off x="5419725" y="2737303"/>
          <a:ext cx="1590675" cy="40005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0" i="0">
              <a:solidFill>
                <a:schemeClr val="bg1"/>
              </a:solidFill>
              <a:latin typeface="Monotype Corsiva" pitchFamily="66" charset="0"/>
              <a:cs typeface="Arabic Typesetting" pitchFamily="66" charset="-78"/>
            </a:rPr>
            <a:t>AVRIL</a:t>
          </a:r>
        </a:p>
      </xdr:txBody>
    </xdr:sp>
    <xdr:clientData/>
  </xdr:twoCellAnchor>
  <xdr:twoCellAnchor>
    <xdr:from>
      <xdr:col>9</xdr:col>
      <xdr:colOff>95250</xdr:colOff>
      <xdr:row>4</xdr:row>
      <xdr:rowOff>0</xdr:rowOff>
    </xdr:from>
    <xdr:to>
      <xdr:col>10</xdr:col>
      <xdr:colOff>361950</xdr:colOff>
      <xdr:row>6</xdr:row>
      <xdr:rowOff>38100</xdr:rowOff>
    </xdr:to>
    <xdr:sp macro="" textlink="">
      <xdr:nvSpPr>
        <xdr:cNvPr id="26" name="Rectangle à coins arrondis 25"/>
        <xdr:cNvSpPr/>
      </xdr:nvSpPr>
      <xdr:spPr>
        <a:xfrm>
          <a:off x="6981825" y="838200"/>
          <a:ext cx="1143000" cy="571500"/>
        </a:xfrm>
        <a:prstGeom prst="wedgeRoundRectCallout">
          <a:avLst>
            <a:gd name="adj1" fmla="val -59166"/>
            <a:gd name="adj2" fmla="val 114167"/>
            <a:gd name="adj3" fmla="val 16667"/>
          </a:avLst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>
              <a:solidFill>
                <a:schemeClr val="bg1"/>
              </a:solidFill>
              <a:latin typeface="Monotype Corsiva" pitchFamily="66" charset="0"/>
            </a:rPr>
            <a:t>Changement</a:t>
          </a:r>
          <a:r>
            <a:rPr lang="fr-FR" sz="1400" b="1" i="1" baseline="0">
              <a:solidFill>
                <a:schemeClr val="bg1"/>
              </a:solidFill>
              <a:latin typeface="Monotype Corsiva" pitchFamily="66" charset="0"/>
            </a:rPr>
            <a:t> d'année</a:t>
          </a:r>
          <a:endParaRPr lang="fr-FR" sz="1400" b="1" i="1">
            <a:solidFill>
              <a:schemeClr val="bg1"/>
            </a:solidFill>
            <a:latin typeface="Monotype Corsiva" pitchFamily="66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0</xdr:row>
      <xdr:rowOff>38100</xdr:rowOff>
    </xdr:from>
    <xdr:to>
      <xdr:col>4</xdr:col>
      <xdr:colOff>504825</xdr:colOff>
      <xdr:row>0</xdr:row>
      <xdr:rowOff>352425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866900" y="38100"/>
          <a:ext cx="1238250" cy="3143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>
              <a:solidFill>
                <a:schemeClr val="bg1"/>
              </a:solidFill>
              <a:latin typeface="Monotype Corsiva" pitchFamily="66" charset="0"/>
            </a:rPr>
            <a:t>ACCEUIL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352425</xdr:colOff>
      <xdr:row>0</xdr:row>
      <xdr:rowOff>133351</xdr:rowOff>
    </xdr:from>
    <xdr:to>
      <xdr:col>19</xdr:col>
      <xdr:colOff>19049</xdr:colOff>
      <xdr:row>2</xdr:row>
      <xdr:rowOff>57151</xdr:rowOff>
    </xdr:to>
    <xdr:sp macro="[0]!Vacances" textlink="">
      <xdr:nvSpPr>
        <xdr:cNvPr id="7" name="Rectangle à coins arrondis 6"/>
        <xdr:cNvSpPr/>
      </xdr:nvSpPr>
      <xdr:spPr>
        <a:xfrm>
          <a:off x="7658100" y="133351"/>
          <a:ext cx="1990724" cy="342900"/>
        </a:xfrm>
        <a:prstGeom prst="roundRect">
          <a:avLst>
            <a:gd name="adj" fmla="val 50000"/>
          </a:avLst>
        </a:prstGeom>
        <a:solidFill>
          <a:schemeClr val="accent2">
            <a:lumMod val="40000"/>
            <a:lumOff val="60000"/>
          </a:schemeClr>
        </a:solidFill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>
              <a:solidFill>
                <a:schemeClr val="tx1"/>
              </a:solidFill>
            </a:rPr>
            <a:t>Vacances</a:t>
          </a:r>
        </a:p>
      </xdr:txBody>
    </xdr:sp>
    <xdr:clientData fLocksWithSheet="0"/>
  </xdr:twoCellAnchor>
  <xdr:twoCellAnchor>
    <xdr:from>
      <xdr:col>12</xdr:col>
      <xdr:colOff>28575</xdr:colOff>
      <xdr:row>0</xdr:row>
      <xdr:rowOff>123825</xdr:rowOff>
    </xdr:from>
    <xdr:to>
      <xdr:col>13</xdr:col>
      <xdr:colOff>628650</xdr:colOff>
      <xdr:row>2</xdr:row>
      <xdr:rowOff>19050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057900" y="123825"/>
          <a:ext cx="1238250" cy="3143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>
              <a:solidFill>
                <a:schemeClr val="bg1"/>
              </a:solidFill>
              <a:latin typeface="Monotype Corsiva" pitchFamily="66" charset="0"/>
            </a:rPr>
            <a:t>ACCEUIL</a:t>
          </a:r>
        </a:p>
      </xdr:txBody>
    </xdr:sp>
    <xdr:clientData fLock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333375</xdr:colOff>
      <xdr:row>0</xdr:row>
      <xdr:rowOff>104775</xdr:rowOff>
    </xdr:from>
    <xdr:to>
      <xdr:col>18</xdr:col>
      <xdr:colOff>685799</xdr:colOff>
      <xdr:row>2</xdr:row>
      <xdr:rowOff>28575</xdr:rowOff>
    </xdr:to>
    <xdr:sp macro="[0]!Vacances" textlink="">
      <xdr:nvSpPr>
        <xdr:cNvPr id="5" name="Rectangle à coins arrondis 4"/>
        <xdr:cNvSpPr/>
      </xdr:nvSpPr>
      <xdr:spPr>
        <a:xfrm>
          <a:off x="7705725" y="104775"/>
          <a:ext cx="1990724" cy="342900"/>
        </a:xfrm>
        <a:prstGeom prst="roundRect">
          <a:avLst>
            <a:gd name="adj" fmla="val 50000"/>
          </a:avLst>
        </a:prstGeom>
        <a:solidFill>
          <a:schemeClr val="accent2">
            <a:lumMod val="40000"/>
            <a:lumOff val="60000"/>
          </a:schemeClr>
        </a:solidFill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>
              <a:solidFill>
                <a:schemeClr val="tx1"/>
              </a:solidFill>
            </a:rPr>
            <a:t>Vacances</a:t>
          </a:r>
        </a:p>
      </xdr:txBody>
    </xdr:sp>
    <xdr:clientData fLocksWithSheet="0"/>
  </xdr:twoCellAnchor>
  <xdr:twoCellAnchor editAs="oneCell">
    <xdr:from>
      <xdr:col>5</xdr:col>
      <xdr:colOff>559593</xdr:colOff>
      <xdr:row>11</xdr:row>
      <xdr:rowOff>178594</xdr:rowOff>
    </xdr:from>
    <xdr:to>
      <xdr:col>6</xdr:col>
      <xdr:colOff>208755</xdr:colOff>
      <xdr:row>13</xdr:row>
      <xdr:rowOff>16668</xdr:rowOff>
    </xdr:to>
    <xdr:pic>
      <xdr:nvPicPr>
        <xdr:cNvPr id="3" name="Image 2" descr="ed--piphani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76562" y="2690813"/>
          <a:ext cx="292099" cy="219074"/>
        </a:xfrm>
        <a:prstGeom prst="rect">
          <a:avLst/>
        </a:prstGeom>
      </xdr:spPr>
    </xdr:pic>
    <xdr:clientData/>
  </xdr:twoCellAnchor>
  <xdr:twoCellAnchor>
    <xdr:from>
      <xdr:col>12</xdr:col>
      <xdr:colOff>0</xdr:colOff>
      <xdr:row>0</xdr:row>
      <xdr:rowOff>85725</xdr:rowOff>
    </xdr:from>
    <xdr:to>
      <xdr:col>13</xdr:col>
      <xdr:colOff>600075</xdr:colOff>
      <xdr:row>1</xdr:row>
      <xdr:rowOff>190500</xdr:rowOff>
    </xdr:to>
    <xdr:sp macro="" textlink="">
      <xdr:nvSpPr>
        <xdr:cNvPr id="4" name="Rectangle à coins arrondis 3">
          <a:hlinkClick xmlns:r="http://schemas.openxmlformats.org/officeDocument/2006/relationships" r:id="rId2"/>
        </xdr:cNvPr>
        <xdr:cNvSpPr/>
      </xdr:nvSpPr>
      <xdr:spPr>
        <a:xfrm>
          <a:off x="6096000" y="85725"/>
          <a:ext cx="1238250" cy="3143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>
              <a:solidFill>
                <a:schemeClr val="bg1"/>
              </a:solidFill>
              <a:latin typeface="Monotype Corsiva" pitchFamily="66" charset="0"/>
            </a:rPr>
            <a:t>ACCEUIL</a:t>
          </a:r>
        </a:p>
      </xdr:txBody>
    </xdr:sp>
    <xdr:clientData fLock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352425</xdr:colOff>
      <xdr:row>0</xdr:row>
      <xdr:rowOff>104775</xdr:rowOff>
    </xdr:from>
    <xdr:to>
      <xdr:col>19</xdr:col>
      <xdr:colOff>66674</xdr:colOff>
      <xdr:row>2</xdr:row>
      <xdr:rowOff>66675</xdr:rowOff>
    </xdr:to>
    <xdr:sp macro="[0]!Vacances" textlink="">
      <xdr:nvSpPr>
        <xdr:cNvPr id="4" name="Rectangle à coins arrondis 3"/>
        <xdr:cNvSpPr/>
      </xdr:nvSpPr>
      <xdr:spPr>
        <a:xfrm>
          <a:off x="7439025" y="104775"/>
          <a:ext cx="1990724" cy="342900"/>
        </a:xfrm>
        <a:prstGeom prst="roundRect">
          <a:avLst>
            <a:gd name="adj" fmla="val 50000"/>
          </a:avLst>
        </a:prstGeom>
        <a:solidFill>
          <a:schemeClr val="accent2">
            <a:lumMod val="40000"/>
            <a:lumOff val="60000"/>
          </a:schemeClr>
        </a:solidFill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>
              <a:solidFill>
                <a:schemeClr val="tx1"/>
              </a:solidFill>
            </a:rPr>
            <a:t>Vacances</a:t>
          </a:r>
        </a:p>
      </xdr:txBody>
    </xdr:sp>
    <xdr:clientData fLocksWithSheet="0"/>
  </xdr:twoCellAnchor>
  <xdr:twoCellAnchor>
    <xdr:from>
      <xdr:col>11</xdr:col>
      <xdr:colOff>628650</xdr:colOff>
      <xdr:row>0</xdr:row>
      <xdr:rowOff>114300</xdr:rowOff>
    </xdr:from>
    <xdr:to>
      <xdr:col>13</xdr:col>
      <xdr:colOff>590550</xdr:colOff>
      <xdr:row>2</xdr:row>
      <xdr:rowOff>47625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5800725" y="114300"/>
          <a:ext cx="1238250" cy="3143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>
              <a:solidFill>
                <a:schemeClr val="bg1"/>
              </a:solidFill>
              <a:latin typeface="Monotype Corsiva" pitchFamily="66" charset="0"/>
            </a:rPr>
            <a:t>ACCEUIL</a:t>
          </a:r>
        </a:p>
      </xdr:txBody>
    </xdr:sp>
    <xdr:clientData fLock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304800</xdr:colOff>
      <xdr:row>0</xdr:row>
      <xdr:rowOff>95250</xdr:rowOff>
    </xdr:from>
    <xdr:to>
      <xdr:col>19</xdr:col>
      <xdr:colOff>19049</xdr:colOff>
      <xdr:row>2</xdr:row>
      <xdr:rowOff>57150</xdr:rowOff>
    </xdr:to>
    <xdr:sp macro="[0]!Vacances" textlink="">
      <xdr:nvSpPr>
        <xdr:cNvPr id="5" name="Rectangle à coins arrondis 4"/>
        <xdr:cNvSpPr/>
      </xdr:nvSpPr>
      <xdr:spPr>
        <a:xfrm>
          <a:off x="7381875" y="95250"/>
          <a:ext cx="1990724" cy="342900"/>
        </a:xfrm>
        <a:prstGeom prst="roundRect">
          <a:avLst>
            <a:gd name="adj" fmla="val 50000"/>
          </a:avLst>
        </a:prstGeom>
        <a:solidFill>
          <a:schemeClr val="accent2">
            <a:lumMod val="40000"/>
            <a:lumOff val="60000"/>
          </a:schemeClr>
        </a:solidFill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>
              <a:solidFill>
                <a:schemeClr val="tx1"/>
              </a:solidFill>
            </a:rPr>
            <a:t>Vacances</a:t>
          </a:r>
        </a:p>
      </xdr:txBody>
    </xdr:sp>
    <xdr:clientData fLocksWithSheet="0"/>
  </xdr:twoCellAnchor>
  <xdr:twoCellAnchor>
    <xdr:from>
      <xdr:col>12</xdr:col>
      <xdr:colOff>57150</xdr:colOff>
      <xdr:row>0</xdr:row>
      <xdr:rowOff>76200</xdr:rowOff>
    </xdr:from>
    <xdr:to>
      <xdr:col>14</xdr:col>
      <xdr:colOff>19050</xdr:colOff>
      <xdr:row>2</xdr:row>
      <xdr:rowOff>9525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5857875" y="76200"/>
          <a:ext cx="1238250" cy="3143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>
              <a:solidFill>
                <a:schemeClr val="bg1"/>
              </a:solidFill>
              <a:latin typeface="Monotype Corsiva" pitchFamily="66" charset="0"/>
            </a:rPr>
            <a:t>ACCEUIL</a:t>
          </a:r>
        </a:p>
      </xdr:txBody>
    </xdr:sp>
    <xdr:clientData fLock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352425</xdr:colOff>
      <xdr:row>0</xdr:row>
      <xdr:rowOff>142875</xdr:rowOff>
    </xdr:from>
    <xdr:to>
      <xdr:col>19</xdr:col>
      <xdr:colOff>66674</xdr:colOff>
      <xdr:row>2</xdr:row>
      <xdr:rowOff>104775</xdr:rowOff>
    </xdr:to>
    <xdr:sp macro="[0]!Vacances" textlink="">
      <xdr:nvSpPr>
        <xdr:cNvPr id="5" name="Rectangle à coins arrondis 4"/>
        <xdr:cNvSpPr/>
      </xdr:nvSpPr>
      <xdr:spPr>
        <a:xfrm>
          <a:off x="7439025" y="142875"/>
          <a:ext cx="1990724" cy="342900"/>
        </a:xfrm>
        <a:prstGeom prst="roundRect">
          <a:avLst>
            <a:gd name="adj" fmla="val 50000"/>
          </a:avLst>
        </a:prstGeom>
        <a:solidFill>
          <a:schemeClr val="accent2">
            <a:lumMod val="40000"/>
            <a:lumOff val="60000"/>
          </a:schemeClr>
        </a:solidFill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>
              <a:solidFill>
                <a:schemeClr val="tx1"/>
              </a:solidFill>
            </a:rPr>
            <a:t>Vacances</a:t>
          </a:r>
        </a:p>
      </xdr:txBody>
    </xdr:sp>
    <xdr:clientData fLocksWithSheet="0"/>
  </xdr:twoCellAnchor>
  <xdr:twoCellAnchor>
    <xdr:from>
      <xdr:col>11</xdr:col>
      <xdr:colOff>628650</xdr:colOff>
      <xdr:row>0</xdr:row>
      <xdr:rowOff>95250</xdr:rowOff>
    </xdr:from>
    <xdr:to>
      <xdr:col>13</xdr:col>
      <xdr:colOff>590550</xdr:colOff>
      <xdr:row>2</xdr:row>
      <xdr:rowOff>28575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5800725" y="95250"/>
          <a:ext cx="1238250" cy="3143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>
              <a:solidFill>
                <a:schemeClr val="bg1"/>
              </a:solidFill>
              <a:latin typeface="Monotype Corsiva" pitchFamily="66" charset="0"/>
            </a:rPr>
            <a:t>ACCEUIL</a:t>
          </a:r>
        </a:p>
      </xdr:txBody>
    </xdr:sp>
    <xdr:clientData fLock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333375</xdr:colOff>
      <xdr:row>0</xdr:row>
      <xdr:rowOff>104775</xdr:rowOff>
    </xdr:from>
    <xdr:to>
      <xdr:col>19</xdr:col>
      <xdr:colOff>47624</xdr:colOff>
      <xdr:row>2</xdr:row>
      <xdr:rowOff>66675</xdr:rowOff>
    </xdr:to>
    <xdr:sp macro="[0]!Vacances" textlink="">
      <xdr:nvSpPr>
        <xdr:cNvPr id="5" name="Rectangle à coins arrondis 4"/>
        <xdr:cNvSpPr/>
      </xdr:nvSpPr>
      <xdr:spPr>
        <a:xfrm>
          <a:off x="7419975" y="104775"/>
          <a:ext cx="1990724" cy="342900"/>
        </a:xfrm>
        <a:prstGeom prst="roundRect">
          <a:avLst>
            <a:gd name="adj" fmla="val 50000"/>
          </a:avLst>
        </a:prstGeom>
        <a:solidFill>
          <a:schemeClr val="accent2">
            <a:lumMod val="40000"/>
            <a:lumOff val="60000"/>
          </a:schemeClr>
        </a:solidFill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>
              <a:solidFill>
                <a:schemeClr val="tx1"/>
              </a:solidFill>
            </a:rPr>
            <a:t>Vacances</a:t>
          </a:r>
        </a:p>
      </xdr:txBody>
    </xdr:sp>
    <xdr:clientData fLocksWithSheet="0"/>
  </xdr:twoCellAnchor>
  <xdr:twoCellAnchor>
    <xdr:from>
      <xdr:col>12</xdr:col>
      <xdr:colOff>9525</xdr:colOff>
      <xdr:row>0</xdr:row>
      <xdr:rowOff>123825</xdr:rowOff>
    </xdr:from>
    <xdr:to>
      <xdr:col>13</xdr:col>
      <xdr:colOff>609600</xdr:colOff>
      <xdr:row>2</xdr:row>
      <xdr:rowOff>57150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5819775" y="123825"/>
          <a:ext cx="1238250" cy="3143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>
              <a:solidFill>
                <a:schemeClr val="bg1"/>
              </a:solidFill>
              <a:latin typeface="Monotype Corsiva" pitchFamily="66" charset="0"/>
            </a:rPr>
            <a:t>ACCEUIL</a:t>
          </a:r>
        </a:p>
      </xdr:txBody>
    </xdr:sp>
    <xdr:clientData fLock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352425</xdr:colOff>
      <xdr:row>0</xdr:row>
      <xdr:rowOff>76200</xdr:rowOff>
    </xdr:from>
    <xdr:to>
      <xdr:col>19</xdr:col>
      <xdr:colOff>66674</xdr:colOff>
      <xdr:row>2</xdr:row>
      <xdr:rowOff>38100</xdr:rowOff>
    </xdr:to>
    <xdr:sp macro="[0]!Vacances" textlink="">
      <xdr:nvSpPr>
        <xdr:cNvPr id="4" name="Rectangle à coins arrondis 3"/>
        <xdr:cNvSpPr/>
      </xdr:nvSpPr>
      <xdr:spPr>
        <a:xfrm>
          <a:off x="7439025" y="76200"/>
          <a:ext cx="1990724" cy="342900"/>
        </a:xfrm>
        <a:prstGeom prst="roundRect">
          <a:avLst>
            <a:gd name="adj" fmla="val 50000"/>
          </a:avLst>
        </a:prstGeom>
        <a:solidFill>
          <a:schemeClr val="accent2">
            <a:lumMod val="40000"/>
            <a:lumOff val="60000"/>
          </a:schemeClr>
        </a:solidFill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>
              <a:solidFill>
                <a:schemeClr val="tx1"/>
              </a:solidFill>
            </a:rPr>
            <a:t>Vacances</a:t>
          </a:r>
        </a:p>
      </xdr:txBody>
    </xdr:sp>
    <xdr:clientData fLocksWithSheet="0"/>
  </xdr:twoCellAnchor>
  <xdr:twoCellAnchor>
    <xdr:from>
      <xdr:col>12</xdr:col>
      <xdr:colOff>19050</xdr:colOff>
      <xdr:row>0</xdr:row>
      <xdr:rowOff>85725</xdr:rowOff>
    </xdr:from>
    <xdr:to>
      <xdr:col>13</xdr:col>
      <xdr:colOff>619125</xdr:colOff>
      <xdr:row>2</xdr:row>
      <xdr:rowOff>19050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5829300" y="85725"/>
          <a:ext cx="1238250" cy="3143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>
              <a:solidFill>
                <a:schemeClr val="bg1"/>
              </a:solidFill>
              <a:latin typeface="Monotype Corsiva" pitchFamily="66" charset="0"/>
            </a:rPr>
            <a:t>ACCEUIL</a:t>
          </a:r>
        </a:p>
      </xdr:txBody>
    </xdr:sp>
    <xdr:clientData fLock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352425</xdr:colOff>
      <xdr:row>0</xdr:row>
      <xdr:rowOff>104775</xdr:rowOff>
    </xdr:from>
    <xdr:to>
      <xdr:col>19</xdr:col>
      <xdr:colOff>66674</xdr:colOff>
      <xdr:row>2</xdr:row>
      <xdr:rowOff>66675</xdr:rowOff>
    </xdr:to>
    <xdr:sp macro="[0]!Vacances" textlink="">
      <xdr:nvSpPr>
        <xdr:cNvPr id="4" name="Rectangle à coins arrondis 3"/>
        <xdr:cNvSpPr/>
      </xdr:nvSpPr>
      <xdr:spPr>
        <a:xfrm>
          <a:off x="7439025" y="104775"/>
          <a:ext cx="1990724" cy="342900"/>
        </a:xfrm>
        <a:prstGeom prst="roundRect">
          <a:avLst>
            <a:gd name="adj" fmla="val 50000"/>
          </a:avLst>
        </a:prstGeom>
        <a:solidFill>
          <a:schemeClr val="accent2">
            <a:lumMod val="40000"/>
            <a:lumOff val="60000"/>
          </a:schemeClr>
        </a:solidFill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>
              <a:solidFill>
                <a:schemeClr val="tx1"/>
              </a:solidFill>
            </a:rPr>
            <a:t>Vacances</a:t>
          </a:r>
        </a:p>
      </xdr:txBody>
    </xdr:sp>
    <xdr:clientData fLocksWithSheet="0"/>
  </xdr:twoCellAnchor>
  <xdr:twoCellAnchor>
    <xdr:from>
      <xdr:col>11</xdr:col>
      <xdr:colOff>628650</xdr:colOff>
      <xdr:row>0</xdr:row>
      <xdr:rowOff>104775</xdr:rowOff>
    </xdr:from>
    <xdr:to>
      <xdr:col>13</xdr:col>
      <xdr:colOff>590550</xdr:colOff>
      <xdr:row>2</xdr:row>
      <xdr:rowOff>38100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5800725" y="104775"/>
          <a:ext cx="1238250" cy="3143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>
              <a:solidFill>
                <a:schemeClr val="bg1"/>
              </a:solidFill>
              <a:latin typeface="Monotype Corsiva" pitchFamily="66" charset="0"/>
            </a:rPr>
            <a:t>ACCEUIL</a:t>
          </a:r>
        </a:p>
      </xdr:txBody>
    </xdr:sp>
    <xdr:clientData fLock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285750</xdr:colOff>
      <xdr:row>0</xdr:row>
      <xdr:rowOff>123825</xdr:rowOff>
    </xdr:from>
    <xdr:to>
      <xdr:col>18</xdr:col>
      <xdr:colOff>638174</xdr:colOff>
      <xdr:row>2</xdr:row>
      <xdr:rowOff>85725</xdr:rowOff>
    </xdr:to>
    <xdr:sp macro="[0]!Vacances" textlink="">
      <xdr:nvSpPr>
        <xdr:cNvPr id="4" name="Rectangle à coins arrondis 3"/>
        <xdr:cNvSpPr/>
      </xdr:nvSpPr>
      <xdr:spPr>
        <a:xfrm>
          <a:off x="7372350" y="123825"/>
          <a:ext cx="1990724" cy="342900"/>
        </a:xfrm>
        <a:prstGeom prst="roundRect">
          <a:avLst>
            <a:gd name="adj" fmla="val 50000"/>
          </a:avLst>
        </a:prstGeom>
        <a:solidFill>
          <a:schemeClr val="accent2">
            <a:lumMod val="40000"/>
            <a:lumOff val="60000"/>
          </a:schemeClr>
        </a:solidFill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>
              <a:solidFill>
                <a:schemeClr val="tx1"/>
              </a:solidFill>
            </a:rPr>
            <a:t>Vacances</a:t>
          </a:r>
        </a:p>
      </xdr:txBody>
    </xdr:sp>
    <xdr:clientData fLocksWithSheet="0"/>
  </xdr:twoCellAnchor>
  <xdr:twoCellAnchor>
    <xdr:from>
      <xdr:col>12</xdr:col>
      <xdr:colOff>19050</xdr:colOff>
      <xdr:row>0</xdr:row>
      <xdr:rowOff>123825</xdr:rowOff>
    </xdr:from>
    <xdr:to>
      <xdr:col>13</xdr:col>
      <xdr:colOff>619125</xdr:colOff>
      <xdr:row>2</xdr:row>
      <xdr:rowOff>57150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5829300" y="123825"/>
          <a:ext cx="1238250" cy="3143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>
              <a:solidFill>
                <a:schemeClr val="bg1"/>
              </a:solidFill>
              <a:latin typeface="Monotype Corsiva" pitchFamily="66" charset="0"/>
            </a:rPr>
            <a:t>ACCEUIL</a:t>
          </a:r>
        </a:p>
      </xdr:txBody>
    </xdr:sp>
    <xdr:clientData fLock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333375</xdr:colOff>
      <xdr:row>0</xdr:row>
      <xdr:rowOff>123825</xdr:rowOff>
    </xdr:from>
    <xdr:to>
      <xdr:col>19</xdr:col>
      <xdr:colOff>47624</xdr:colOff>
      <xdr:row>2</xdr:row>
      <xdr:rowOff>85725</xdr:rowOff>
    </xdr:to>
    <xdr:sp macro="[0]!Vacances" textlink="">
      <xdr:nvSpPr>
        <xdr:cNvPr id="4" name="Rectangle à coins arrondis 3"/>
        <xdr:cNvSpPr/>
      </xdr:nvSpPr>
      <xdr:spPr>
        <a:xfrm>
          <a:off x="7639050" y="123825"/>
          <a:ext cx="1990724" cy="342900"/>
        </a:xfrm>
        <a:prstGeom prst="roundRect">
          <a:avLst>
            <a:gd name="adj" fmla="val 50000"/>
          </a:avLst>
        </a:prstGeom>
        <a:solidFill>
          <a:schemeClr val="accent2">
            <a:lumMod val="40000"/>
            <a:lumOff val="60000"/>
          </a:schemeClr>
        </a:solidFill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>
              <a:solidFill>
                <a:schemeClr val="tx1"/>
              </a:solidFill>
            </a:rPr>
            <a:t>Vacances</a:t>
          </a:r>
        </a:p>
      </xdr:txBody>
    </xdr:sp>
    <xdr:clientData fLocksWithSheet="0"/>
  </xdr:twoCellAnchor>
  <xdr:twoCellAnchor>
    <xdr:from>
      <xdr:col>12</xdr:col>
      <xdr:colOff>28575</xdr:colOff>
      <xdr:row>0</xdr:row>
      <xdr:rowOff>104775</xdr:rowOff>
    </xdr:from>
    <xdr:to>
      <xdr:col>13</xdr:col>
      <xdr:colOff>628650</xdr:colOff>
      <xdr:row>2</xdr:row>
      <xdr:rowOff>38100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6057900" y="104775"/>
          <a:ext cx="1238250" cy="3143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>
              <a:solidFill>
                <a:schemeClr val="bg1"/>
              </a:solidFill>
              <a:latin typeface="Monotype Corsiva" pitchFamily="66" charset="0"/>
            </a:rPr>
            <a:t>ACCEUIL</a:t>
          </a:r>
        </a:p>
      </xdr:txBody>
    </xdr:sp>
    <xdr:clientData fLock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342900</xdr:colOff>
      <xdr:row>0</xdr:row>
      <xdr:rowOff>95250</xdr:rowOff>
    </xdr:from>
    <xdr:to>
      <xdr:col>19</xdr:col>
      <xdr:colOff>57149</xdr:colOff>
      <xdr:row>2</xdr:row>
      <xdr:rowOff>57150</xdr:rowOff>
    </xdr:to>
    <xdr:sp macro="[0]!Vacances" textlink="">
      <xdr:nvSpPr>
        <xdr:cNvPr id="4" name="Rectangle à coins arrondis 3"/>
        <xdr:cNvSpPr/>
      </xdr:nvSpPr>
      <xdr:spPr>
        <a:xfrm>
          <a:off x="7429500" y="95250"/>
          <a:ext cx="1990724" cy="342900"/>
        </a:xfrm>
        <a:prstGeom prst="roundRect">
          <a:avLst>
            <a:gd name="adj" fmla="val 50000"/>
          </a:avLst>
        </a:prstGeom>
        <a:solidFill>
          <a:schemeClr val="accent2">
            <a:lumMod val="40000"/>
            <a:lumOff val="60000"/>
          </a:schemeClr>
        </a:solidFill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>
              <a:solidFill>
                <a:schemeClr val="tx1"/>
              </a:solidFill>
            </a:rPr>
            <a:t>Vacances</a:t>
          </a:r>
        </a:p>
      </xdr:txBody>
    </xdr:sp>
    <xdr:clientData fLocksWithSheet="0"/>
  </xdr:twoCellAnchor>
  <xdr:twoCellAnchor>
    <xdr:from>
      <xdr:col>12</xdr:col>
      <xdr:colOff>9525</xdr:colOff>
      <xdr:row>0</xdr:row>
      <xdr:rowOff>114300</xdr:rowOff>
    </xdr:from>
    <xdr:to>
      <xdr:col>13</xdr:col>
      <xdr:colOff>609600</xdr:colOff>
      <xdr:row>2</xdr:row>
      <xdr:rowOff>47625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5819775" y="114300"/>
          <a:ext cx="1238250" cy="3143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>
              <a:solidFill>
                <a:schemeClr val="bg1"/>
              </a:solidFill>
              <a:latin typeface="Monotype Corsiva" pitchFamily="66" charset="0"/>
            </a:rPr>
            <a:t>ACCEUIL</a:t>
          </a:r>
        </a:p>
      </xdr:txBody>
    </xdr:sp>
    <xdr:clientData fLock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371475</xdr:colOff>
      <xdr:row>0</xdr:row>
      <xdr:rowOff>114300</xdr:rowOff>
    </xdr:from>
    <xdr:to>
      <xdr:col>19</xdr:col>
      <xdr:colOff>85724</xdr:colOff>
      <xdr:row>2</xdr:row>
      <xdr:rowOff>76200</xdr:rowOff>
    </xdr:to>
    <xdr:sp macro="[0]!Vacances" textlink="">
      <xdr:nvSpPr>
        <xdr:cNvPr id="4" name="Rectangle à coins arrondis 3"/>
        <xdr:cNvSpPr/>
      </xdr:nvSpPr>
      <xdr:spPr>
        <a:xfrm>
          <a:off x="7458075" y="114300"/>
          <a:ext cx="1990724" cy="342900"/>
        </a:xfrm>
        <a:prstGeom prst="roundRect">
          <a:avLst>
            <a:gd name="adj" fmla="val 50000"/>
          </a:avLst>
        </a:prstGeom>
        <a:solidFill>
          <a:schemeClr val="accent2">
            <a:lumMod val="40000"/>
            <a:lumOff val="60000"/>
          </a:schemeClr>
        </a:solidFill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>
              <a:solidFill>
                <a:schemeClr val="tx1"/>
              </a:solidFill>
            </a:rPr>
            <a:t>Vacances</a:t>
          </a:r>
        </a:p>
      </xdr:txBody>
    </xdr:sp>
    <xdr:clientData fLocksWithSheet="0"/>
  </xdr:twoCellAnchor>
  <xdr:twoCellAnchor>
    <xdr:from>
      <xdr:col>12</xdr:col>
      <xdr:colOff>9525</xdr:colOff>
      <xdr:row>0</xdr:row>
      <xdr:rowOff>123825</xdr:rowOff>
    </xdr:from>
    <xdr:to>
      <xdr:col>13</xdr:col>
      <xdr:colOff>609600</xdr:colOff>
      <xdr:row>2</xdr:row>
      <xdr:rowOff>57150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5819775" y="123825"/>
          <a:ext cx="1238250" cy="3143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>
              <a:solidFill>
                <a:schemeClr val="bg1"/>
              </a:solidFill>
              <a:latin typeface="Monotype Corsiva" pitchFamily="66" charset="0"/>
            </a:rPr>
            <a:t>ACCEUIL</a:t>
          </a:r>
        </a:p>
      </xdr:txBody>
    </xdr:sp>
    <xdr:clientData fLock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314325</xdr:colOff>
      <xdr:row>0</xdr:row>
      <xdr:rowOff>114300</xdr:rowOff>
    </xdr:from>
    <xdr:to>
      <xdr:col>19</xdr:col>
      <xdr:colOff>28574</xdr:colOff>
      <xdr:row>2</xdr:row>
      <xdr:rowOff>76200</xdr:rowOff>
    </xdr:to>
    <xdr:sp macro="[0]!Vacances" textlink="">
      <xdr:nvSpPr>
        <xdr:cNvPr id="4" name="Rectangle à coins arrondis 3"/>
        <xdr:cNvSpPr/>
      </xdr:nvSpPr>
      <xdr:spPr>
        <a:xfrm>
          <a:off x="7372350" y="114300"/>
          <a:ext cx="1990724" cy="342900"/>
        </a:xfrm>
        <a:prstGeom prst="roundRect">
          <a:avLst>
            <a:gd name="adj" fmla="val 50000"/>
          </a:avLst>
        </a:prstGeom>
        <a:solidFill>
          <a:schemeClr val="accent2">
            <a:lumMod val="40000"/>
            <a:lumOff val="60000"/>
          </a:schemeClr>
        </a:solidFill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>
              <a:solidFill>
                <a:schemeClr val="tx1"/>
              </a:solidFill>
            </a:rPr>
            <a:t>Vacances</a:t>
          </a:r>
        </a:p>
      </xdr:txBody>
    </xdr:sp>
    <xdr:clientData fLocksWithSheet="0"/>
  </xdr:twoCellAnchor>
  <xdr:twoCellAnchor>
    <xdr:from>
      <xdr:col>12</xdr:col>
      <xdr:colOff>19050</xdr:colOff>
      <xdr:row>0</xdr:row>
      <xdr:rowOff>104775</xdr:rowOff>
    </xdr:from>
    <xdr:to>
      <xdr:col>13</xdr:col>
      <xdr:colOff>619125</xdr:colOff>
      <xdr:row>2</xdr:row>
      <xdr:rowOff>38100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5800725" y="104775"/>
          <a:ext cx="1238250" cy="3143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 i="1">
              <a:solidFill>
                <a:schemeClr val="bg1"/>
              </a:solidFill>
              <a:latin typeface="Monotype Corsiva" pitchFamily="66" charset="0"/>
            </a:rPr>
            <a:t>ACCEUIL</a:t>
          </a:r>
        </a:p>
      </xdr:txBody>
    </xdr:sp>
    <xdr:clientData fLock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Rotonde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55000" cap="flat" cmpd="thickThin" algn="ctr">
          <a:solidFill>
            <a:schemeClr val="phClr"/>
          </a:solidFill>
          <a:prstDash val="solid"/>
        </a:ln>
        <a:ln w="63500" cap="flat" cmpd="thickThin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2">
            <a:lumMod val="40000"/>
            <a:lumOff val="60000"/>
          </a:schemeClr>
        </a:solidFill>
      </a:spPr>
      <a:bodyPr vertOverflow="clip" rtlCol="0" anchor="ctr"/>
      <a:lstStyle>
        <a:defPPr algn="ctr">
          <a:defRPr sz="1400" b="1" i="1">
            <a:solidFill>
              <a:schemeClr val="tx1"/>
            </a:solidFill>
          </a:defRPr>
        </a:defPPr>
      </a:lstStyle>
      <a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a:style>
    </a:spDef>
    <a:txDef>
      <a:spPr>
        <a:noFill/>
      </a:spPr>
      <a:bodyPr vertOverflow="clip" wrap="square" rtlCol="0" anchor="t">
        <a:noAutofit/>
      </a:bodyPr>
      <a:lstStyle>
        <a:defPPr>
          <a:defRPr sz="1200" b="1" i="1">
            <a:solidFill>
              <a:schemeClr val="bg1"/>
            </a:solidFill>
          </a:defRPr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4"/>
  <dimension ref="B1:AN43"/>
  <sheetViews>
    <sheetView showGridLines="0" showRowColHeaders="0" tabSelected="1" workbookViewId="0">
      <pane xSplit="11" ySplit="21" topLeftCell="AP22" activePane="bottomRight" state="frozen"/>
      <selection pane="topRight" activeCell="L1" sqref="L1"/>
      <selection pane="bottomLeft" activeCell="A22" sqref="A22"/>
      <selection pane="bottomRight" activeCell="E24" sqref="E24"/>
    </sheetView>
  </sheetViews>
  <sheetFormatPr baseColWidth="10" defaultRowHeight="15"/>
  <cols>
    <col min="2" max="2" width="11.42578125" customWidth="1"/>
    <col min="3" max="5" width="13.140625" customWidth="1"/>
    <col min="6" max="6" width="1.5703125" customWidth="1"/>
    <col min="7" max="8" width="13.140625" customWidth="1"/>
    <col min="9" max="20" width="13.140625" style="1" customWidth="1"/>
    <col min="21" max="21" width="23.42578125" bestFit="1" customWidth="1"/>
    <col min="22" max="22" width="9.28515625" customWidth="1"/>
    <col min="23" max="23" width="9.28515625" hidden="1" customWidth="1"/>
    <col min="24" max="24" width="13.5703125" style="1" hidden="1" customWidth="1"/>
    <col min="25" max="25" width="14.28515625" hidden="1" customWidth="1"/>
    <col min="26" max="26" width="7.42578125" hidden="1" customWidth="1"/>
    <col min="27" max="27" width="21" hidden="1" customWidth="1"/>
    <col min="28" max="28" width="10.7109375" hidden="1" customWidth="1"/>
    <col min="29" max="41" width="0" hidden="1" customWidth="1"/>
  </cols>
  <sheetData>
    <row r="1" spans="2:40" ht="18.75" customHeight="1">
      <c r="F1" s="7"/>
    </row>
    <row r="2" spans="2:40" ht="18.75">
      <c r="B2" s="367" t="s">
        <v>38</v>
      </c>
      <c r="C2" s="273" t="s">
        <v>34</v>
      </c>
      <c r="D2" s="273"/>
      <c r="E2" s="273"/>
      <c r="F2" s="250"/>
      <c r="G2" s="274" t="s">
        <v>35</v>
      </c>
      <c r="H2" s="274"/>
      <c r="I2" s="274"/>
      <c r="AI2" s="272" t="s">
        <v>54</v>
      </c>
      <c r="AJ2" s="272"/>
    </row>
    <row r="3" spans="2:40" ht="21">
      <c r="B3" s="367"/>
      <c r="C3" s="278">
        <v>1</v>
      </c>
      <c r="D3" s="278"/>
      <c r="E3" s="278"/>
      <c r="F3" s="248"/>
      <c r="G3" s="277">
        <v>2</v>
      </c>
      <c r="H3" s="277"/>
      <c r="I3" s="277"/>
      <c r="AC3" s="284" t="s">
        <v>39</v>
      </c>
      <c r="AD3" s="284"/>
      <c r="AE3" s="284"/>
      <c r="AF3" s="284"/>
      <c r="AG3" s="284"/>
      <c r="AH3" s="284"/>
      <c r="AI3" s="284"/>
      <c r="AJ3" s="284"/>
    </row>
    <row r="4" spans="2:40" ht="7.5" customHeight="1" thickBot="1">
      <c r="B4" s="367"/>
      <c r="C4" s="248"/>
      <c r="D4" s="248"/>
      <c r="E4" s="248"/>
      <c r="F4" s="248"/>
      <c r="G4" s="249"/>
      <c r="H4" s="249"/>
      <c r="I4" s="249"/>
      <c r="AC4" s="245"/>
      <c r="AD4" s="245"/>
      <c r="AE4" s="245"/>
      <c r="AF4" s="245"/>
      <c r="AG4" s="245"/>
      <c r="AH4" s="245"/>
      <c r="AI4" s="245"/>
      <c r="AJ4" s="245"/>
    </row>
    <row r="5" spans="2:40" ht="19.5" thickBot="1">
      <c r="B5" s="367"/>
      <c r="C5" s="275" t="s">
        <v>36</v>
      </c>
      <c r="D5" s="275"/>
      <c r="E5" s="275"/>
      <c r="F5" s="251"/>
      <c r="G5" s="282" t="s">
        <v>37</v>
      </c>
      <c r="H5" s="282"/>
      <c r="I5" s="282"/>
      <c r="U5" s="217"/>
      <c r="X5" s="220" t="s">
        <v>58</v>
      </c>
      <c r="Y5" s="221" t="s">
        <v>79</v>
      </c>
      <c r="Z5" s="279" t="s">
        <v>80</v>
      </c>
      <c r="AA5" s="280"/>
      <c r="AB5" s="281"/>
      <c r="AC5" s="233" t="s">
        <v>66</v>
      </c>
      <c r="AD5" s="234" t="s">
        <v>67</v>
      </c>
      <c r="AE5" s="235" t="s">
        <v>68</v>
      </c>
      <c r="AF5" s="236" t="s">
        <v>69</v>
      </c>
      <c r="AG5" s="237" t="s">
        <v>70</v>
      </c>
      <c r="AH5" s="238" t="s">
        <v>71</v>
      </c>
      <c r="AI5" s="240" t="s">
        <v>72</v>
      </c>
      <c r="AJ5" s="241" t="s">
        <v>73</v>
      </c>
      <c r="AK5" s="242" t="s">
        <v>74</v>
      </c>
      <c r="AL5" s="243" t="s">
        <v>75</v>
      </c>
      <c r="AM5" s="244" t="s">
        <v>76</v>
      </c>
      <c r="AN5" s="239" t="s">
        <v>77</v>
      </c>
    </row>
    <row r="6" spans="2:40" ht="22.5" customHeight="1">
      <c r="B6" s="367"/>
      <c r="C6" s="276">
        <v>3</v>
      </c>
      <c r="D6" s="276"/>
      <c r="E6" s="276"/>
      <c r="F6" s="252"/>
      <c r="G6" s="283">
        <v>4</v>
      </c>
      <c r="H6" s="283"/>
      <c r="I6" s="283"/>
      <c r="V6" s="215"/>
      <c r="W6" s="218"/>
      <c r="X6" s="224">
        <v>42794</v>
      </c>
      <c r="Y6" s="229">
        <v>42883</v>
      </c>
      <c r="Z6" s="222" t="s">
        <v>64</v>
      </c>
      <c r="AA6" s="13">
        <v>3</v>
      </c>
      <c r="AB6" s="226" t="s">
        <v>65</v>
      </c>
      <c r="AC6" s="232">
        <f>DATE(An_Ref,1,1)</f>
        <v>43101</v>
      </c>
      <c r="AD6" s="174">
        <f>DATE(An_Ref,2,1)</f>
        <v>43132</v>
      </c>
      <c r="AE6" s="174">
        <f>DATE(An_Ref,3,1)</f>
        <v>43160</v>
      </c>
      <c r="AF6" s="232">
        <f>DATE(An_Ref,4,1)</f>
        <v>43191</v>
      </c>
      <c r="AG6" s="232">
        <f>DATE(An_Ref,5,1)</f>
        <v>43221</v>
      </c>
      <c r="AH6" s="232">
        <f>DATE(An_Ref,6,1)</f>
        <v>43252</v>
      </c>
      <c r="AI6" s="232">
        <f>DATE(An_Ref,7,1)</f>
        <v>43282</v>
      </c>
      <c r="AJ6" s="232">
        <f>DATE(An_Ref,8,1)</f>
        <v>43313</v>
      </c>
      <c r="AK6" s="232">
        <f>DATE(An_Ref,9,1)</f>
        <v>43344</v>
      </c>
      <c r="AL6" s="232">
        <f>DATE(An_Ref,10,1)</f>
        <v>43374</v>
      </c>
      <c r="AM6" s="232">
        <f>DATE(An_Ref,11,1)</f>
        <v>43405</v>
      </c>
      <c r="AN6" s="232">
        <f>DATE(An_Ref,12,1)</f>
        <v>43435</v>
      </c>
    </row>
    <row r="7" spans="2:40" ht="9.75" customHeight="1" thickBot="1">
      <c r="F7" s="7"/>
      <c r="V7" s="215"/>
      <c r="W7" s="216"/>
      <c r="X7" s="225">
        <v>43144</v>
      </c>
      <c r="Y7" s="230">
        <v>43247</v>
      </c>
      <c r="Z7" s="223">
        <f>MATCH(AH5,{"janvier","février","mars","avril","mai","juin","juillet","août","septembre","octobre","novembre","décembre"},0)</f>
        <v>6</v>
      </c>
      <c r="AA7" s="13">
        <f>AA6</f>
        <v>3</v>
      </c>
      <c r="AB7" s="227">
        <f>MATCH(AB6,{"dimanche","lundi","mardi","mercredi","jeudi","vendredi","samedi"},0)-1</f>
        <v>0</v>
      </c>
      <c r="AC7" s="174">
        <f>DATE(An_Ref,1,2)</f>
        <v>43102</v>
      </c>
      <c r="AD7" s="174">
        <f>DATE(An_Ref,2,2)</f>
        <v>43133</v>
      </c>
      <c r="AE7" s="174">
        <f>DATE(An_Ref,3,2)</f>
        <v>43161</v>
      </c>
      <c r="AF7" s="174">
        <f>DATE(An_Ref,4,2)</f>
        <v>43192</v>
      </c>
      <c r="AG7" s="174">
        <f>DATE(An_Ref,5,2)</f>
        <v>43222</v>
      </c>
      <c r="AH7" s="174">
        <f>DATE(An_Ref,6,2)</f>
        <v>43253</v>
      </c>
      <c r="AI7" s="174">
        <f>DATE(An_Ref,7,2)</f>
        <v>43283</v>
      </c>
      <c r="AJ7" s="174">
        <f>DATE(An_Ref,8,2)</f>
        <v>43314</v>
      </c>
      <c r="AK7" s="174">
        <f>DATE(An_Ref,9,2)</f>
        <v>43345</v>
      </c>
      <c r="AL7" s="174">
        <f>DATE(An_Ref,10,2)</f>
        <v>43375</v>
      </c>
      <c r="AM7" s="174">
        <f>DATE(An_Ref,11,2)</f>
        <v>43406</v>
      </c>
      <c r="AN7" s="174">
        <f>DATE(An_Ref,12,2)</f>
        <v>43436</v>
      </c>
    </row>
    <row r="8" spans="2:40" ht="19.5" customHeight="1" thickTop="1">
      <c r="C8" s="253" t="s">
        <v>41</v>
      </c>
      <c r="D8" s="254">
        <v>9.67</v>
      </c>
      <c r="G8" s="264">
        <v>2018</v>
      </c>
      <c r="H8" s="265"/>
      <c r="I8" s="266"/>
      <c r="V8" s="215"/>
      <c r="W8" s="216"/>
      <c r="X8" s="225">
        <v>43529</v>
      </c>
      <c r="Y8" s="230">
        <v>43611</v>
      </c>
      <c r="Z8" s="219"/>
      <c r="AA8" s="214"/>
      <c r="AB8" s="228"/>
      <c r="AC8" s="174">
        <f>DATE(An_Ref,1,3)</f>
        <v>43103</v>
      </c>
      <c r="AD8" s="174">
        <f>DATE(An_Ref,2,3)</f>
        <v>43134</v>
      </c>
      <c r="AE8" s="174">
        <f>DATE(An_Ref,3,3)</f>
        <v>43162</v>
      </c>
      <c r="AF8" s="174">
        <f>DATE(An_Ref,4,3)</f>
        <v>43193</v>
      </c>
      <c r="AG8" s="174">
        <f>DATE(An_Ref,5,3)</f>
        <v>43223</v>
      </c>
      <c r="AH8" s="174">
        <f>DATE(An_Ref,6,3)</f>
        <v>43254</v>
      </c>
      <c r="AI8" s="174">
        <f>DATE(An_Ref,7,3)</f>
        <v>43284</v>
      </c>
      <c r="AJ8" s="174">
        <f>DATE(An_Ref,8,3)</f>
        <v>43315</v>
      </c>
      <c r="AK8" s="174">
        <f>DATE(An_Ref,9,3)</f>
        <v>43346</v>
      </c>
      <c r="AL8" s="174">
        <f>DATE(An_Ref,10,3)</f>
        <v>43376</v>
      </c>
      <c r="AM8" s="174">
        <f>DATE(An_Ref,11,3)</f>
        <v>43407</v>
      </c>
      <c r="AN8" s="174">
        <f>DATE(An_Ref,12,3)</f>
        <v>43437</v>
      </c>
    </row>
    <row r="9" spans="2:40" ht="19.5" customHeight="1" thickBot="1">
      <c r="B9" s="190"/>
      <c r="C9" s="255" t="s">
        <v>40</v>
      </c>
      <c r="D9" s="256">
        <v>9.76</v>
      </c>
      <c r="G9" s="267"/>
      <c r="H9" s="268"/>
      <c r="I9" s="269"/>
      <c r="V9" s="215"/>
      <c r="W9" s="216"/>
      <c r="X9" s="225">
        <v>43886</v>
      </c>
      <c r="Y9" s="230">
        <v>43989</v>
      </c>
      <c r="Z9" s="219"/>
      <c r="AA9" s="214"/>
      <c r="AB9" s="228"/>
      <c r="AC9" s="174">
        <f>DATE(An_Ref,1,4)</f>
        <v>43104</v>
      </c>
      <c r="AD9" s="174">
        <f>DATE(An_Ref,2,4)</f>
        <v>43135</v>
      </c>
      <c r="AE9" s="174">
        <f>DATE(An_Ref,3,4)</f>
        <v>43163</v>
      </c>
      <c r="AF9" s="174">
        <f>DATE(An_Ref,4,4)</f>
        <v>43194</v>
      </c>
      <c r="AG9" s="174">
        <f>DATE(An_Ref,5,4)</f>
        <v>43224</v>
      </c>
      <c r="AH9" s="174">
        <f>DATE(An_Ref,6,4)</f>
        <v>43255</v>
      </c>
      <c r="AI9" s="174">
        <f>DATE(An_Ref,7,4)</f>
        <v>43285</v>
      </c>
      <c r="AJ9" s="174">
        <f>DATE(An_Ref,8,4)</f>
        <v>43316</v>
      </c>
      <c r="AK9" s="174">
        <f>DATE(An_Ref,9,4)</f>
        <v>43347</v>
      </c>
      <c r="AL9" s="174">
        <f>DATE(An_Ref,10,4)</f>
        <v>43377</v>
      </c>
      <c r="AM9" s="174">
        <f>DATE(An_Ref,11,4)</f>
        <v>43408</v>
      </c>
      <c r="AN9" s="174">
        <f>DATE(An_Ref,12,4)</f>
        <v>43438</v>
      </c>
    </row>
    <row r="10" spans="2:40" ht="15.75" thickTop="1">
      <c r="B10" s="190"/>
      <c r="C10" s="191"/>
      <c r="V10" s="215"/>
      <c r="W10" s="216"/>
      <c r="X10" s="225">
        <v>44243</v>
      </c>
      <c r="Y10" s="230">
        <v>44346</v>
      </c>
      <c r="Z10" s="219"/>
      <c r="AA10" s="214"/>
      <c r="AB10" s="228"/>
      <c r="AC10" s="174">
        <f>DATE(An_Ref,1,5)</f>
        <v>43105</v>
      </c>
      <c r="AD10" s="174">
        <f>DATE(An_Ref,2,5)</f>
        <v>43136</v>
      </c>
      <c r="AE10" s="174">
        <f>DATE(An_Ref,3,5)</f>
        <v>43164</v>
      </c>
      <c r="AF10" s="174">
        <f>DATE(An_Ref,4,5)</f>
        <v>43195</v>
      </c>
      <c r="AG10" s="174">
        <f>DATE(An_Ref,5,5)</f>
        <v>43225</v>
      </c>
      <c r="AH10" s="174">
        <f>DATE(An_Ref,6,5)</f>
        <v>43256</v>
      </c>
      <c r="AI10" s="174">
        <f>DATE(An_Ref,7,5)</f>
        <v>43286</v>
      </c>
      <c r="AJ10" s="174">
        <f>DATE(An_Ref,8,5)</f>
        <v>43317</v>
      </c>
      <c r="AK10" s="174">
        <f>DATE(An_Ref,9,5)</f>
        <v>43348</v>
      </c>
      <c r="AL10" s="174">
        <f>DATE(An_Ref,10,5)</f>
        <v>43378</v>
      </c>
      <c r="AM10" s="174">
        <f>DATE(An_Ref,11,5)</f>
        <v>43409</v>
      </c>
      <c r="AN10" s="174">
        <f>DATE(An_Ref,12,5)</f>
        <v>43439</v>
      </c>
    </row>
    <row r="11" spans="2:40">
      <c r="C11" s="246"/>
      <c r="V11" s="215"/>
      <c r="W11" s="216"/>
      <c r="X11" s="225">
        <v>44621</v>
      </c>
      <c r="Y11" s="230">
        <v>44710</v>
      </c>
      <c r="Z11" s="219"/>
      <c r="AA11" s="214"/>
      <c r="AB11" s="228"/>
      <c r="AC11" s="174">
        <f>DATE(An_Ref,1,6)</f>
        <v>43106</v>
      </c>
      <c r="AD11" s="174">
        <f>DATE(An_Ref,2,6)</f>
        <v>43137</v>
      </c>
      <c r="AE11" s="174">
        <f>DATE(An_Ref,3,6)</f>
        <v>43165</v>
      </c>
      <c r="AF11" s="174">
        <f>DATE(An_Ref,4,6)</f>
        <v>43196</v>
      </c>
      <c r="AG11" s="174">
        <f>DATE(An_Ref,5,6)</f>
        <v>43226</v>
      </c>
      <c r="AH11" s="174">
        <f>DATE(An_Ref,6,6)</f>
        <v>43257</v>
      </c>
      <c r="AI11" s="174">
        <f>DATE(An_Ref,7,6)</f>
        <v>43287</v>
      </c>
      <c r="AJ11" s="174">
        <f>DATE(An_Ref,8,6)</f>
        <v>43318</v>
      </c>
      <c r="AK11" s="174">
        <f>DATE(An_Ref,9,6)</f>
        <v>43349</v>
      </c>
      <c r="AL11" s="174">
        <f>DATE(An_Ref,10,6)</f>
        <v>43379</v>
      </c>
      <c r="AM11" s="174">
        <f>DATE(An_Ref,11,6)</f>
        <v>43410</v>
      </c>
      <c r="AN11" s="174">
        <f>DATE(An_Ref,12,6)</f>
        <v>43440</v>
      </c>
    </row>
    <row r="12" spans="2:40">
      <c r="B12" s="192"/>
      <c r="C12" s="192"/>
      <c r="V12" s="215"/>
      <c r="W12" s="216"/>
      <c r="X12" s="225">
        <v>44978</v>
      </c>
      <c r="Y12" s="230">
        <v>45081</v>
      </c>
      <c r="Z12" s="219"/>
      <c r="AA12" s="214"/>
      <c r="AB12" s="228"/>
      <c r="AC12" s="174">
        <f>DATE(An_Ref,1,7)</f>
        <v>43107</v>
      </c>
      <c r="AD12" s="174">
        <f>DATE(An_Ref,2,7)</f>
        <v>43138</v>
      </c>
      <c r="AE12" s="174">
        <f>DATE(An_Ref,3,7)</f>
        <v>43166</v>
      </c>
      <c r="AF12" s="174">
        <f>DATE(An_Ref,4,7)</f>
        <v>43197</v>
      </c>
      <c r="AG12" s="174">
        <f>DATE(An_Ref,5,7)</f>
        <v>43227</v>
      </c>
      <c r="AH12" s="174">
        <f>DATE(An_Ref,6,7)</f>
        <v>43258</v>
      </c>
      <c r="AI12" s="174">
        <f>DATE(An_Ref,7,7)</f>
        <v>43288</v>
      </c>
      <c r="AJ12" s="174">
        <f>DATE(An_Ref,8,7)</f>
        <v>43319</v>
      </c>
      <c r="AK12" s="174">
        <f>DATE(An_Ref,9,7)</f>
        <v>43350</v>
      </c>
      <c r="AL12" s="174">
        <f>DATE(An_Ref,10,7)</f>
        <v>43380</v>
      </c>
      <c r="AM12" s="174">
        <f>DATE(An_Ref,11,7)</f>
        <v>43411</v>
      </c>
      <c r="AN12" s="174">
        <f>DATE(An_Ref,12,7)</f>
        <v>43441</v>
      </c>
    </row>
    <row r="13" spans="2:40">
      <c r="V13" s="215"/>
      <c r="W13" s="216"/>
      <c r="X13" s="225">
        <v>45335</v>
      </c>
      <c r="Y13" s="230">
        <v>45438</v>
      </c>
      <c r="Z13" s="219"/>
      <c r="AA13" s="214"/>
      <c r="AB13" s="228"/>
      <c r="AC13" s="174">
        <f>DATE(An_Ref,1,8)</f>
        <v>43108</v>
      </c>
      <c r="AD13" s="174">
        <f>DATE(An_Ref,2,8)</f>
        <v>43139</v>
      </c>
      <c r="AE13" s="174">
        <f>DATE(An_Ref,3,8)</f>
        <v>43167</v>
      </c>
      <c r="AF13" s="174">
        <f>DATE(An_Ref,4,8)</f>
        <v>43198</v>
      </c>
      <c r="AG13" s="174">
        <f>DATE(An_Ref,5,8)</f>
        <v>43228</v>
      </c>
      <c r="AH13" s="174">
        <f>DATE(An_Ref,6,8)</f>
        <v>43259</v>
      </c>
      <c r="AI13" s="174">
        <f>DATE(An_Ref,7,8)</f>
        <v>43289</v>
      </c>
      <c r="AJ13" s="174">
        <f>DATE(An_Ref,8,8)</f>
        <v>43320</v>
      </c>
      <c r="AK13" s="174">
        <f>DATE(An_Ref,9,8)</f>
        <v>43351</v>
      </c>
      <c r="AL13" s="174">
        <f>DATE(An_Ref,10,8)</f>
        <v>43381</v>
      </c>
      <c r="AM13" s="174">
        <f>DATE(An_Ref,11,8)</f>
        <v>43412</v>
      </c>
      <c r="AN13" s="174">
        <f>DATE(An_Ref,12,8)</f>
        <v>43442</v>
      </c>
    </row>
    <row r="14" spans="2:40">
      <c r="V14" s="215"/>
      <c r="W14" s="216"/>
      <c r="X14" s="225">
        <v>45720</v>
      </c>
      <c r="Y14" s="230">
        <v>45802</v>
      </c>
      <c r="Z14" s="219"/>
      <c r="AA14" s="214"/>
      <c r="AB14" s="228"/>
      <c r="AC14" s="174">
        <f>DATE(An_Ref,1,9)</f>
        <v>43109</v>
      </c>
      <c r="AD14" s="174">
        <f>DATE(An_Ref,2,9)</f>
        <v>43140</v>
      </c>
      <c r="AE14" s="174">
        <f>DATE(An_Ref,3,9)</f>
        <v>43168</v>
      </c>
      <c r="AF14" s="174">
        <f>DATE(An_Ref,4,9)</f>
        <v>43199</v>
      </c>
      <c r="AG14" s="174">
        <f>DATE(An_Ref,5,9)</f>
        <v>43229</v>
      </c>
      <c r="AH14" s="174">
        <f>DATE(An_Ref,6,9)</f>
        <v>43260</v>
      </c>
      <c r="AI14" s="174">
        <f>DATE(An_Ref,7,9)</f>
        <v>43290</v>
      </c>
      <c r="AJ14" s="174">
        <f>DATE(An_Ref,8,9)</f>
        <v>43321</v>
      </c>
      <c r="AK14" s="174">
        <f>DATE(An_Ref,9,9)</f>
        <v>43352</v>
      </c>
      <c r="AL14" s="174">
        <f>DATE(An_Ref,10,9)</f>
        <v>43382</v>
      </c>
      <c r="AM14" s="174">
        <f>DATE(An_Ref,11,9)</f>
        <v>43413</v>
      </c>
      <c r="AN14" s="174">
        <f>DATE(An_Ref,12,9)</f>
        <v>43443</v>
      </c>
    </row>
    <row r="15" spans="2:40">
      <c r="V15" s="215"/>
      <c r="W15" s="216"/>
      <c r="X15" s="225">
        <v>46070</v>
      </c>
      <c r="Y15" s="230">
        <v>46173</v>
      </c>
      <c r="Z15" s="219"/>
      <c r="AA15" s="214"/>
      <c r="AB15" s="228"/>
      <c r="AC15" s="174">
        <f>DATE(An_Ref,1,10)</f>
        <v>43110</v>
      </c>
      <c r="AD15" s="174">
        <f>DATE(An_Ref,2,10)</f>
        <v>43141</v>
      </c>
      <c r="AE15" s="174">
        <f>DATE(An_Ref,3,10)</f>
        <v>43169</v>
      </c>
      <c r="AF15" s="174">
        <f>DATE(An_Ref,4,10)</f>
        <v>43200</v>
      </c>
      <c r="AG15" s="174">
        <f>DATE(An_Ref,5,10)</f>
        <v>43230</v>
      </c>
      <c r="AH15" s="174">
        <f>DATE(An_Ref,6,10)</f>
        <v>43261</v>
      </c>
      <c r="AI15" s="174">
        <f>DATE(An_Ref,7,10)</f>
        <v>43291</v>
      </c>
      <c r="AJ15" s="174">
        <f>DATE(An_Ref,8,10)</f>
        <v>43322</v>
      </c>
      <c r="AK15" s="174">
        <f>DATE(An_Ref,9,10)</f>
        <v>43353</v>
      </c>
      <c r="AL15" s="174">
        <f>DATE(An_Ref,10,10)</f>
        <v>43383</v>
      </c>
      <c r="AM15" s="174">
        <f>DATE(An_Ref,11,10)</f>
        <v>43414</v>
      </c>
      <c r="AN15" s="174">
        <f>DATE(An_Ref,12,10)</f>
        <v>43444</v>
      </c>
    </row>
    <row r="16" spans="2:40">
      <c r="V16" s="215"/>
      <c r="W16" s="216"/>
      <c r="X16" s="225">
        <v>46427</v>
      </c>
      <c r="Y16" s="230">
        <v>46537</v>
      </c>
      <c r="Z16" s="219"/>
      <c r="AA16" s="214"/>
      <c r="AB16" s="228"/>
      <c r="AC16" s="174">
        <f>DATE(An_Ref,1,11)</f>
        <v>43111</v>
      </c>
      <c r="AD16" s="174">
        <f>DATE(An_Ref,2,11)</f>
        <v>43142</v>
      </c>
      <c r="AE16" s="174">
        <f>DATE(An_Ref,3,11)</f>
        <v>43170</v>
      </c>
      <c r="AF16" s="174">
        <f>DATE(An_Ref,4,11)</f>
        <v>43201</v>
      </c>
      <c r="AG16" s="174">
        <f>DATE(An_Ref,5,11)</f>
        <v>43231</v>
      </c>
      <c r="AH16" s="174">
        <f>DATE(An_Ref,6,11)</f>
        <v>43262</v>
      </c>
      <c r="AI16" s="174">
        <f>DATE(An_Ref,7,11)</f>
        <v>43292</v>
      </c>
      <c r="AJ16" s="174">
        <f>DATE(An_Ref,8,11)</f>
        <v>43323</v>
      </c>
      <c r="AK16" s="174">
        <f>DATE(An_Ref,9,11)</f>
        <v>43354</v>
      </c>
      <c r="AL16" s="174">
        <f>DATE(An_Ref,10,11)</f>
        <v>43384</v>
      </c>
      <c r="AM16" s="174">
        <f>DATE(An_Ref,11,11)</f>
        <v>43415</v>
      </c>
      <c r="AN16" s="174">
        <f>DATE(An_Ref,12,11)</f>
        <v>43445</v>
      </c>
    </row>
    <row r="17" spans="2:40">
      <c r="V17" s="215"/>
      <c r="W17" s="216"/>
      <c r="X17" s="225">
        <v>46812</v>
      </c>
      <c r="Y17" s="230">
        <v>46901</v>
      </c>
      <c r="Z17" s="219"/>
      <c r="AA17" s="214"/>
      <c r="AB17" s="228"/>
      <c r="AC17" s="174">
        <f>DATE(An_Ref,1,12)</f>
        <v>43112</v>
      </c>
      <c r="AD17" s="174">
        <f>DATE(An_Ref,2,12)</f>
        <v>43143</v>
      </c>
      <c r="AE17" s="174">
        <f>DATE(An_Ref,3,12)</f>
        <v>43171</v>
      </c>
      <c r="AF17" s="174">
        <f>DATE(An_Ref,4,12)</f>
        <v>43202</v>
      </c>
      <c r="AG17" s="174">
        <f>DATE(An_Ref,5,12)</f>
        <v>43232</v>
      </c>
      <c r="AH17" s="174">
        <f>DATE(An_Ref,6,12)</f>
        <v>43263</v>
      </c>
      <c r="AI17" s="174">
        <f>DATE(An_Ref,7,12)</f>
        <v>43293</v>
      </c>
      <c r="AJ17" s="174">
        <f>DATE(An_Ref,8,12)</f>
        <v>43324</v>
      </c>
      <c r="AK17" s="174">
        <f>DATE(An_Ref,9,12)</f>
        <v>43355</v>
      </c>
      <c r="AL17" s="174">
        <f>DATE(An_Ref,10,12)</f>
        <v>43385</v>
      </c>
      <c r="AM17" s="174">
        <f>DATE(An_Ref,11,12)</f>
        <v>43416</v>
      </c>
      <c r="AN17" s="174">
        <f>DATE(An_Ref,12,12)</f>
        <v>43446</v>
      </c>
    </row>
    <row r="18" spans="2:40">
      <c r="C18" s="213"/>
      <c r="V18" s="215"/>
      <c r="W18" s="216"/>
      <c r="X18" s="225">
        <v>47162</v>
      </c>
      <c r="Y18" s="230">
        <v>47265</v>
      </c>
      <c r="Z18" s="219"/>
      <c r="AA18" s="214"/>
      <c r="AB18" s="228"/>
      <c r="AC18" s="174">
        <f>DATE(An_Ref,1,13)</f>
        <v>43113</v>
      </c>
      <c r="AD18" s="174">
        <f>DATE(An_Ref,2,13)</f>
        <v>43144</v>
      </c>
      <c r="AE18" s="174">
        <f>DATE(An_Ref,3,13)</f>
        <v>43172</v>
      </c>
      <c r="AF18" s="174">
        <f>DATE(An_Ref,4,13)</f>
        <v>43203</v>
      </c>
      <c r="AG18" s="174">
        <f>DATE(An_Ref,5,13)</f>
        <v>43233</v>
      </c>
      <c r="AH18" s="174">
        <f>DATE(An_Ref,6,13)</f>
        <v>43264</v>
      </c>
      <c r="AI18" s="174">
        <f>DATE(An_Ref,7,13)</f>
        <v>43294</v>
      </c>
      <c r="AJ18" s="174">
        <f>DATE(An_Ref,8,13)</f>
        <v>43325</v>
      </c>
      <c r="AK18" s="174">
        <f>DATE(An_Ref,9,13)</f>
        <v>43356</v>
      </c>
      <c r="AL18" s="174">
        <f>DATE(An_Ref,10,13)</f>
        <v>43386</v>
      </c>
      <c r="AM18" s="174">
        <f>DATE(An_Ref,11,13)</f>
        <v>43417</v>
      </c>
      <c r="AN18" s="174">
        <f>DATE(An_Ref,12,13)</f>
        <v>43447</v>
      </c>
    </row>
    <row r="19" spans="2:40">
      <c r="V19" s="215"/>
      <c r="W19" s="216"/>
      <c r="X19" s="225">
        <v>47547</v>
      </c>
      <c r="Y19" s="230">
        <v>47629</v>
      </c>
      <c r="Z19" s="219"/>
      <c r="AA19" s="214"/>
      <c r="AB19" s="228"/>
      <c r="AC19" s="174">
        <f>DATE(An_Ref,1,14)</f>
        <v>43114</v>
      </c>
      <c r="AD19" s="174">
        <f>DATE(An_Ref,2,14)</f>
        <v>43145</v>
      </c>
      <c r="AE19" s="174">
        <f>DATE(An_Ref,3,14)</f>
        <v>43173</v>
      </c>
      <c r="AF19" s="174">
        <f>DATE(An_Ref,4,14)</f>
        <v>43204</v>
      </c>
      <c r="AG19" s="174">
        <f>DATE(An_Ref,5,14)</f>
        <v>43234</v>
      </c>
      <c r="AH19" s="174">
        <f>DATE(An_Ref,6,14)</f>
        <v>43265</v>
      </c>
      <c r="AI19" s="174">
        <f>DATE(An_Ref,7,14)</f>
        <v>43295</v>
      </c>
      <c r="AJ19" s="174">
        <f>DATE(An_Ref,8,14)</f>
        <v>43326</v>
      </c>
      <c r="AK19" s="174">
        <f>DATE(An_Ref,9,14)</f>
        <v>43357</v>
      </c>
      <c r="AL19" s="174">
        <f>DATE(An_Ref,10,14)</f>
        <v>43387</v>
      </c>
      <c r="AM19" s="174">
        <f>DATE(An_Ref,11,14)</f>
        <v>43418</v>
      </c>
      <c r="AN19" s="174">
        <f>DATE(An_Ref,12,14)</f>
        <v>43448</v>
      </c>
    </row>
    <row r="20" spans="2:40" ht="15" customHeight="1">
      <c r="V20" s="215"/>
      <c r="W20" s="216"/>
      <c r="X20" s="225">
        <v>47904</v>
      </c>
      <c r="Y20" s="230">
        <v>47993</v>
      </c>
      <c r="Z20" s="219"/>
      <c r="AA20" s="214"/>
      <c r="AB20" s="228"/>
      <c r="AC20" s="174">
        <f>DATE(An_Ref,1,15)</f>
        <v>43115</v>
      </c>
      <c r="AD20" s="174">
        <f>DATE(An_Ref,2,15)</f>
        <v>43146</v>
      </c>
      <c r="AE20" s="174">
        <f>DATE(An_Ref,3,15)</f>
        <v>43174</v>
      </c>
      <c r="AF20" s="174">
        <f>DATE(An_Ref,4,15)</f>
        <v>43205</v>
      </c>
      <c r="AG20" s="174">
        <f>DATE(An_Ref,5,15)</f>
        <v>43235</v>
      </c>
      <c r="AH20" s="174">
        <f>DATE(An_Ref,6,15)</f>
        <v>43266</v>
      </c>
      <c r="AI20" s="174">
        <f>DATE(An_Ref,7,15)</f>
        <v>43296</v>
      </c>
      <c r="AJ20" s="174">
        <f>DATE(An_Ref,8,15)</f>
        <v>43327</v>
      </c>
      <c r="AK20" s="174">
        <f>DATE(An_Ref,9,15)</f>
        <v>43358</v>
      </c>
      <c r="AL20" s="174">
        <f>DATE(An_Ref,10,15)</f>
        <v>43388</v>
      </c>
      <c r="AM20" s="174">
        <f>DATE(An_Ref,11,15)</f>
        <v>43419</v>
      </c>
      <c r="AN20" s="174">
        <f>DATE(An_Ref,12,15)</f>
        <v>43449</v>
      </c>
    </row>
    <row r="21" spans="2:40">
      <c r="V21" s="215"/>
      <c r="W21" s="216"/>
      <c r="X21" s="225">
        <v>413496</v>
      </c>
      <c r="Y21" s="230">
        <v>48364</v>
      </c>
      <c r="Z21" s="219"/>
      <c r="AA21" s="214"/>
      <c r="AB21" s="228"/>
      <c r="AC21" s="174">
        <f>DATE(An_Ref,1,16)</f>
        <v>43116</v>
      </c>
      <c r="AD21" s="174">
        <f>DATE(An_Ref,2,16)</f>
        <v>43147</v>
      </c>
      <c r="AE21" s="174">
        <f>DATE(An_Ref,3,16)</f>
        <v>43175</v>
      </c>
      <c r="AF21" s="174">
        <f>DATE(An_Ref,4,16)</f>
        <v>43206</v>
      </c>
      <c r="AG21" s="174">
        <f>DATE(An_Ref,5,16)</f>
        <v>43236</v>
      </c>
      <c r="AH21" s="174">
        <f>DATE(An_Ref,6,16)</f>
        <v>43267</v>
      </c>
      <c r="AI21" s="174">
        <f>DATE(An_Ref,7,16)</f>
        <v>43297</v>
      </c>
      <c r="AJ21" s="174">
        <f>DATE(An_Ref,8,16)</f>
        <v>43328</v>
      </c>
      <c r="AK21" s="174">
        <f>DATE(An_Ref,9,16)</f>
        <v>43359</v>
      </c>
      <c r="AL21" s="174">
        <f>DATE(An_Ref,10,16)</f>
        <v>43389</v>
      </c>
      <c r="AM21" s="174">
        <f>DATE(An_Ref,11,16)</f>
        <v>43420</v>
      </c>
      <c r="AN21" s="174">
        <f>DATE(An_Ref,12,16)</f>
        <v>43450</v>
      </c>
    </row>
    <row r="22" spans="2:40">
      <c r="B22" s="166"/>
      <c r="C22" s="166"/>
      <c r="V22" s="215"/>
      <c r="W22" s="216"/>
      <c r="X22" s="225">
        <v>48639</v>
      </c>
      <c r="Y22" s="230">
        <v>48728</v>
      </c>
      <c r="Z22" s="219"/>
      <c r="AA22" s="214"/>
      <c r="AB22" s="228"/>
      <c r="AC22" s="174">
        <f>DATE(An_Ref,1,17)</f>
        <v>43117</v>
      </c>
      <c r="AD22" s="174">
        <f>DATE(An_Ref,2,17)</f>
        <v>43148</v>
      </c>
      <c r="AE22" s="174">
        <f>DATE(An_Ref,3,17)</f>
        <v>43176</v>
      </c>
      <c r="AF22" s="174">
        <f>DATE(An_Ref,4,17)</f>
        <v>43207</v>
      </c>
      <c r="AG22" s="174">
        <f>DATE(An_Ref,5,17)</f>
        <v>43237</v>
      </c>
      <c r="AH22" s="174">
        <f>DATE(An_Ref,6,17)</f>
        <v>43268</v>
      </c>
      <c r="AI22" s="174">
        <f>DATE(An_Ref,7,17)</f>
        <v>43298</v>
      </c>
      <c r="AJ22" s="174">
        <f>DATE(An_Ref,8,17)</f>
        <v>43329</v>
      </c>
      <c r="AK22" s="174">
        <f>DATE(An_Ref,9,17)</f>
        <v>43360</v>
      </c>
      <c r="AL22" s="174">
        <f>DATE(An_Ref,10,17)</f>
        <v>43390</v>
      </c>
      <c r="AM22" s="174">
        <f>DATE(An_Ref,11,17)</f>
        <v>43421</v>
      </c>
      <c r="AN22" s="174">
        <f>DATE(An_Ref,12,17)</f>
        <v>43451</v>
      </c>
    </row>
    <row r="23" spans="2:40">
      <c r="B23" s="166"/>
      <c r="C23" s="166"/>
      <c r="V23" s="215"/>
      <c r="W23" s="216"/>
      <c r="X23" s="225">
        <v>48996</v>
      </c>
      <c r="Y23" s="230">
        <v>49099</v>
      </c>
      <c r="Z23" s="219"/>
      <c r="AA23" s="214"/>
      <c r="AB23" s="228"/>
      <c r="AC23" s="174">
        <f>DATE(An_Ref,1,18)</f>
        <v>43118</v>
      </c>
      <c r="AD23" s="174">
        <f>DATE(An_Ref,2,18)</f>
        <v>43149</v>
      </c>
      <c r="AE23" s="174">
        <f>DATE(An_Ref,3,18)</f>
        <v>43177</v>
      </c>
      <c r="AF23" s="174">
        <f>DATE(An_Ref,4,18)</f>
        <v>43208</v>
      </c>
      <c r="AG23" s="174">
        <f>DATE(An_Ref,5,18)</f>
        <v>43238</v>
      </c>
      <c r="AH23" s="174">
        <f>DATE(An_Ref,6,18)</f>
        <v>43269</v>
      </c>
      <c r="AI23" s="174">
        <f>DATE(An_Ref,7,18)</f>
        <v>43299</v>
      </c>
      <c r="AJ23" s="174">
        <f>DATE(An_Ref,8,18)</f>
        <v>43330</v>
      </c>
      <c r="AK23" s="174">
        <f>DATE(An_Ref,9,18)</f>
        <v>43361</v>
      </c>
      <c r="AL23" s="174">
        <f>DATE(An_Ref,10,18)</f>
        <v>43391</v>
      </c>
      <c r="AM23" s="174">
        <f>DATE(An_Ref,11,18)</f>
        <v>43422</v>
      </c>
      <c r="AN23" s="174">
        <f>DATE(An_Ref,12,18)</f>
        <v>43452</v>
      </c>
    </row>
    <row r="24" spans="2:40" ht="15.75" thickBot="1">
      <c r="B24" s="259"/>
      <c r="C24" s="260"/>
      <c r="D24" s="145"/>
      <c r="V24" s="215"/>
      <c r="W24" s="216"/>
      <c r="X24" s="225">
        <v>49346</v>
      </c>
      <c r="Y24" s="230">
        <v>49456</v>
      </c>
      <c r="Z24" s="214"/>
      <c r="AA24" s="214"/>
      <c r="AB24" s="228"/>
      <c r="AC24" s="174">
        <f>DATE(An_Ref,1,19)</f>
        <v>43119</v>
      </c>
      <c r="AD24" s="174">
        <f>DATE(An_Ref,2,19)</f>
        <v>43150</v>
      </c>
      <c r="AE24" s="174">
        <f>DATE(An_Ref,3,19)</f>
        <v>43178</v>
      </c>
      <c r="AF24" s="174">
        <f>DATE(An_Ref,4,19)</f>
        <v>43209</v>
      </c>
      <c r="AG24" s="174">
        <f>DATE(An_Ref,5,19)</f>
        <v>43239</v>
      </c>
      <c r="AH24" s="174">
        <f>DATE(An_Ref,6,19)</f>
        <v>43270</v>
      </c>
      <c r="AI24" s="174">
        <f>DATE(An_Ref,7,19)</f>
        <v>43300</v>
      </c>
      <c r="AJ24" s="174">
        <f>DATE(An_Ref,8,19)</f>
        <v>43331</v>
      </c>
      <c r="AK24" s="174">
        <f>DATE(An_Ref,9,19)</f>
        <v>43362</v>
      </c>
      <c r="AL24" s="174">
        <f>DATE(An_Ref,10,19)</f>
        <v>43392</v>
      </c>
      <c r="AM24" s="174">
        <f>DATE(An_Ref,11,19)</f>
        <v>43423</v>
      </c>
      <c r="AN24" s="174">
        <f>DATE(An_Ref,12,19)</f>
        <v>43453</v>
      </c>
    </row>
    <row r="25" spans="2:40">
      <c r="B25" s="257"/>
      <c r="C25" s="258"/>
      <c r="D25" s="145"/>
      <c r="Y25" s="270" t="s">
        <v>53</v>
      </c>
      <c r="Z25" s="195"/>
      <c r="AA25" s="196" t="s">
        <v>42</v>
      </c>
      <c r="AB25" s="197">
        <f>DATE(An_Ref,1,1)</f>
        <v>43101</v>
      </c>
      <c r="AC25" s="174">
        <f>DATE(An_Ref,1,20)</f>
        <v>43120</v>
      </c>
      <c r="AD25" s="174">
        <f>DATE(An_Ref,2,20)</f>
        <v>43151</v>
      </c>
      <c r="AE25" s="174">
        <f>DATE(An_Ref,3,20)</f>
        <v>43179</v>
      </c>
      <c r="AF25" s="174">
        <f>DATE(An_Ref,4,20)</f>
        <v>43210</v>
      </c>
      <c r="AG25" s="174">
        <f>DATE(An_Ref,5,20)</f>
        <v>43240</v>
      </c>
      <c r="AH25" s="174">
        <f>DATE(An_Ref,6,20)</f>
        <v>43271</v>
      </c>
      <c r="AI25" s="174">
        <f>DATE(An_Ref,7,20)</f>
        <v>43301</v>
      </c>
      <c r="AJ25" s="174">
        <f>DATE(An_Ref,8,20)</f>
        <v>43332</v>
      </c>
      <c r="AK25" s="174">
        <f>DATE(An_Ref,9,20)</f>
        <v>43363</v>
      </c>
      <c r="AL25" s="174">
        <f>DATE(An_Ref,10,20)</f>
        <v>43393</v>
      </c>
      <c r="AM25" s="174">
        <f>DATE(An_Ref,11,20)</f>
        <v>43424</v>
      </c>
      <c r="AN25" s="174">
        <f>DATE(An_Ref,12,20)</f>
        <v>43454</v>
      </c>
    </row>
    <row r="26" spans="2:40">
      <c r="B26" s="259"/>
      <c r="C26" s="260"/>
      <c r="D26" s="145"/>
      <c r="Y26" s="271"/>
      <c r="Z26" s="198"/>
      <c r="AA26" s="172" t="s">
        <v>43</v>
      </c>
      <c r="AB26" s="167">
        <f>DATE(An_Ref,5,1)</f>
        <v>43221</v>
      </c>
      <c r="AC26" s="174">
        <f>DATE(An_Ref,1,21)</f>
        <v>43121</v>
      </c>
      <c r="AD26" s="174">
        <f>DATE(An_Ref,2,21)</f>
        <v>43152</v>
      </c>
      <c r="AE26" s="174">
        <f>DATE(An_Ref,3,21)</f>
        <v>43180</v>
      </c>
      <c r="AF26" s="174">
        <f>DATE(An_Ref,4,21)</f>
        <v>43211</v>
      </c>
      <c r="AG26" s="174">
        <f>DATE(An_Ref,5,21)</f>
        <v>43241</v>
      </c>
      <c r="AH26" s="174">
        <f>DATE(An_Ref,6,21)</f>
        <v>43272</v>
      </c>
      <c r="AI26" s="174">
        <f>DATE(An_Ref,7,21)</f>
        <v>43302</v>
      </c>
      <c r="AJ26" s="174">
        <f>DATE(An_Ref,8,21)</f>
        <v>43333</v>
      </c>
      <c r="AK26" s="174">
        <f>DATE(An_Ref,9,21)</f>
        <v>43364</v>
      </c>
      <c r="AL26" s="174">
        <f>DATE(An_Ref,10,21)</f>
        <v>43394</v>
      </c>
      <c r="AM26" s="174">
        <f>DATE(An_Ref,11,21)</f>
        <v>43425</v>
      </c>
      <c r="AN26" s="174">
        <f>DATE(An_Ref,12,21)</f>
        <v>43455</v>
      </c>
    </row>
    <row r="27" spans="2:40">
      <c r="B27" s="259"/>
      <c r="C27" s="260"/>
      <c r="D27" s="145"/>
      <c r="Y27" s="271"/>
      <c r="Z27" s="198"/>
      <c r="AA27" s="173">
        <v>42863</v>
      </c>
      <c r="AB27" s="167">
        <f>DATE(An_Ref,5,8)</f>
        <v>43228</v>
      </c>
      <c r="AC27" s="174">
        <f>DATE(An_Ref,1,22)</f>
        <v>43122</v>
      </c>
      <c r="AD27" s="174">
        <f>DATE(An_Ref,2,22)</f>
        <v>43153</v>
      </c>
      <c r="AE27" s="174">
        <f>DATE(An_Ref,3,22)</f>
        <v>43181</v>
      </c>
      <c r="AF27" s="174">
        <f>DATE(An_Ref,4,22)</f>
        <v>43212</v>
      </c>
      <c r="AG27" s="174">
        <f>DATE(An_Ref,5,22)</f>
        <v>43242</v>
      </c>
      <c r="AH27" s="174">
        <f>DATE(An_Ref,6,22)</f>
        <v>43273</v>
      </c>
      <c r="AI27" s="174">
        <f>DATE(An_Ref,7,22)</f>
        <v>43303</v>
      </c>
      <c r="AJ27" s="174">
        <f>DATE(An_Ref,8,22)</f>
        <v>43334</v>
      </c>
      <c r="AK27" s="174">
        <f>DATE(An_Ref,9,22)</f>
        <v>43365</v>
      </c>
      <c r="AL27" s="174">
        <f>DATE(An_Ref,10,22)</f>
        <v>43395</v>
      </c>
      <c r="AM27" s="174">
        <f>DATE(An_Ref,11,22)</f>
        <v>43426</v>
      </c>
      <c r="AN27" s="174">
        <f>DATE(An_Ref,12,22)</f>
        <v>43456</v>
      </c>
    </row>
    <row r="28" spans="2:40">
      <c r="B28" s="166"/>
      <c r="C28" s="208"/>
      <c r="D28" s="145"/>
      <c r="H28" s="1"/>
      <c r="Y28" s="271"/>
      <c r="Z28" s="198"/>
      <c r="AA28" s="171" t="s">
        <v>44</v>
      </c>
      <c r="AB28" s="167">
        <f>DATE(An_Ref,7,14)</f>
        <v>43295</v>
      </c>
      <c r="AC28" s="174">
        <f>DATE(An_Ref,1,23)</f>
        <v>43123</v>
      </c>
      <c r="AD28" s="174">
        <f>DATE(An_Ref,2,23)</f>
        <v>43154</v>
      </c>
      <c r="AE28" s="174">
        <f>DATE(An_Ref,3,23)</f>
        <v>43182</v>
      </c>
      <c r="AF28" s="174">
        <f>DATE(An_Ref,4,23)</f>
        <v>43213</v>
      </c>
      <c r="AG28" s="174">
        <f>DATE(An_Ref,5,23)</f>
        <v>43243</v>
      </c>
      <c r="AH28" s="174">
        <f>DATE(An_Ref,6,23)</f>
        <v>43274</v>
      </c>
      <c r="AI28" s="174">
        <f>DATE(An_Ref,7,23)</f>
        <v>43304</v>
      </c>
      <c r="AJ28" s="174">
        <f>DATE(An_Ref,8,23)</f>
        <v>43335</v>
      </c>
      <c r="AK28" s="174">
        <f>DATE(An_Ref,9,23)</f>
        <v>43366</v>
      </c>
      <c r="AL28" s="174">
        <f>DATE(An_Ref,10,23)</f>
        <v>43396</v>
      </c>
      <c r="AM28" s="174">
        <f>DATE(An_Ref,11,23)</f>
        <v>43427</v>
      </c>
      <c r="AN28" s="174">
        <f>DATE(An_Ref,12,23)</f>
        <v>43457</v>
      </c>
    </row>
    <row r="29" spans="2:40">
      <c r="B29" s="206"/>
      <c r="C29" s="210"/>
      <c r="Y29" s="271"/>
      <c r="Z29" s="198"/>
      <c r="AA29" s="172" t="s">
        <v>45</v>
      </c>
      <c r="AB29" s="167">
        <f>DATE(An_Ref,8,15)</f>
        <v>43327</v>
      </c>
      <c r="AC29" s="174">
        <f>DATE(An_Ref,1,24)</f>
        <v>43124</v>
      </c>
      <c r="AD29" s="174">
        <f>DATE(An_Ref,2,24)</f>
        <v>43155</v>
      </c>
      <c r="AE29" s="174">
        <f>DATE(An_Ref,3,24)</f>
        <v>43183</v>
      </c>
      <c r="AF29" s="174">
        <f>DATE(An_Ref,4,24)</f>
        <v>43214</v>
      </c>
      <c r="AG29" s="174">
        <f>DATE(An_Ref,5,24)</f>
        <v>43244</v>
      </c>
      <c r="AH29" s="174">
        <f>DATE(An_Ref,6,24)</f>
        <v>43275</v>
      </c>
      <c r="AI29" s="174">
        <f>DATE(An_Ref,7,24)</f>
        <v>43305</v>
      </c>
      <c r="AJ29" s="174">
        <f>DATE(An_Ref,8,24)</f>
        <v>43336</v>
      </c>
      <c r="AK29" s="174">
        <f>DATE(An_Ref,9,24)</f>
        <v>43367</v>
      </c>
      <c r="AL29" s="174">
        <f>DATE(An_Ref,10,24)</f>
        <v>43397</v>
      </c>
      <c r="AM29" s="174">
        <f>DATE(An_Ref,11,24)</f>
        <v>43428</v>
      </c>
      <c r="AN29" s="174">
        <f>DATE(An_Ref,12,24)</f>
        <v>43458</v>
      </c>
    </row>
    <row r="30" spans="2:40">
      <c r="B30" s="186"/>
      <c r="C30" s="148"/>
      <c r="Y30" s="271"/>
      <c r="Z30" s="198"/>
      <c r="AA30" s="172" t="s">
        <v>46</v>
      </c>
      <c r="AB30" s="167">
        <f>DATE(An_Ref,11,1)</f>
        <v>43405</v>
      </c>
      <c r="AC30" s="174">
        <f>DATE(An_Ref,1,25)</f>
        <v>43125</v>
      </c>
      <c r="AD30" s="174">
        <f>DATE(An_Ref,2,25)</f>
        <v>43156</v>
      </c>
      <c r="AE30" s="174">
        <f>DATE(An_Ref,3,25)</f>
        <v>43184</v>
      </c>
      <c r="AF30" s="174">
        <f>DATE(An_Ref,4,25)</f>
        <v>43215</v>
      </c>
      <c r="AG30" s="174">
        <f>DATE(An_Ref,5,25)</f>
        <v>43245</v>
      </c>
      <c r="AH30" s="174">
        <f>DATE(An_Ref,6,25)</f>
        <v>43276</v>
      </c>
      <c r="AI30" s="174">
        <f>DATE(An_Ref,7,25)</f>
        <v>43306</v>
      </c>
      <c r="AJ30" s="174">
        <f>DATE(An_Ref,8,25)</f>
        <v>43337</v>
      </c>
      <c r="AK30" s="174">
        <f>DATE(An_Ref,9,25)</f>
        <v>43368</v>
      </c>
      <c r="AL30" s="174">
        <f>DATE(An_Ref,10,25)</f>
        <v>43398</v>
      </c>
      <c r="AM30" s="174">
        <f>DATE(An_Ref,11,25)</f>
        <v>43429</v>
      </c>
      <c r="AN30" s="174">
        <f>DATE(An_Ref,12,25)</f>
        <v>43459</v>
      </c>
    </row>
    <row r="31" spans="2:40">
      <c r="B31" s="207"/>
      <c r="Y31" s="271"/>
      <c r="Z31" s="198"/>
      <c r="AA31" s="171" t="s">
        <v>47</v>
      </c>
      <c r="AB31" s="167">
        <f>DATE(An_Ref,11,11)</f>
        <v>43415</v>
      </c>
      <c r="AC31" s="174">
        <f>DATE(An_Ref,1,26)</f>
        <v>43126</v>
      </c>
      <c r="AD31" s="174">
        <f>DATE(An_Ref,2,26)</f>
        <v>43157</v>
      </c>
      <c r="AE31" s="174">
        <f>DATE(An_Ref,3,26)</f>
        <v>43185</v>
      </c>
      <c r="AF31" s="174">
        <f>DATE(An_Ref,4,26)</f>
        <v>43216</v>
      </c>
      <c r="AG31" s="174">
        <f>DATE(An_Ref,5,26)</f>
        <v>43246</v>
      </c>
      <c r="AH31" s="174">
        <f>DATE(An_Ref,6,26)</f>
        <v>43277</v>
      </c>
      <c r="AI31" s="174">
        <f>DATE(An_Ref,7,26)</f>
        <v>43307</v>
      </c>
      <c r="AJ31" s="174">
        <f>DATE(An_Ref,8,26)</f>
        <v>43338</v>
      </c>
      <c r="AK31" s="174">
        <f>DATE(An_Ref,9,26)</f>
        <v>43369</v>
      </c>
      <c r="AL31" s="174">
        <f>DATE(An_Ref,10,26)</f>
        <v>43399</v>
      </c>
      <c r="AM31" s="174">
        <f>DATE(An_Ref,11,26)</f>
        <v>43430</v>
      </c>
      <c r="AN31" s="174">
        <f>DATE(An_Ref,12,26)</f>
        <v>43460</v>
      </c>
    </row>
    <row r="32" spans="2:40">
      <c r="B32" s="166"/>
      <c r="Y32" s="271"/>
      <c r="Z32" s="198"/>
      <c r="AA32" s="172" t="s">
        <v>48</v>
      </c>
      <c r="AB32" s="167">
        <f>DATE(An_Ref,12,25)</f>
        <v>43459</v>
      </c>
      <c r="AC32" s="174">
        <f>DATE(An_Ref,1,27)</f>
        <v>43127</v>
      </c>
      <c r="AD32" s="174">
        <f>DATE(An_Ref,2,27)</f>
        <v>43158</v>
      </c>
      <c r="AE32" s="174">
        <f>DATE(An_Ref,3,27)</f>
        <v>43186</v>
      </c>
      <c r="AF32" s="174">
        <f>DATE(An_Ref,4,27)</f>
        <v>43217</v>
      </c>
      <c r="AG32" s="174">
        <f>DATE(An_Ref,5,27)</f>
        <v>43247</v>
      </c>
      <c r="AH32" s="174">
        <f>DATE(An_Ref,6,27)</f>
        <v>43278</v>
      </c>
      <c r="AI32" s="174">
        <f>DATE(An_Ref,7,27)</f>
        <v>43308</v>
      </c>
      <c r="AJ32" s="174">
        <f>DATE(An_Ref,8,27)</f>
        <v>43339</v>
      </c>
      <c r="AK32" s="174">
        <f>DATE(An_Ref,9,27)</f>
        <v>43370</v>
      </c>
      <c r="AL32" s="174">
        <f>DATE(An_Ref,10,27)</f>
        <v>43400</v>
      </c>
      <c r="AM32" s="174">
        <f>DATE(An_Ref,11,27)</f>
        <v>43431</v>
      </c>
      <c r="AN32" s="174">
        <f>DATE(An_Ref,12,27)</f>
        <v>43461</v>
      </c>
    </row>
    <row r="33" spans="2:40">
      <c r="B33" s="166"/>
      <c r="Y33" s="271"/>
      <c r="Z33" s="168" t="s">
        <v>49</v>
      </c>
      <c r="AA33" s="212">
        <f>ROUND(DATE(An_Ref,4,1)/7+MOD(19*MOD(An_Ref,19)-7,30)*14%,0)*7-6</f>
        <v>43191</v>
      </c>
      <c r="AB33" s="167"/>
      <c r="AC33" s="174">
        <f>DATE(An_Ref,1,28)</f>
        <v>43128</v>
      </c>
      <c r="AD33" s="174">
        <f>DATE(An_Ref,2,28)</f>
        <v>43159</v>
      </c>
      <c r="AE33" s="174">
        <f>DATE(An_Ref,3,28)</f>
        <v>43187</v>
      </c>
      <c r="AF33" s="174">
        <f>DATE(An_Ref,4,28)</f>
        <v>43218</v>
      </c>
      <c r="AG33" s="174">
        <f>DATE(An_Ref,5,28)</f>
        <v>43248</v>
      </c>
      <c r="AH33" s="174">
        <f>DATE(An_Ref,6,28)</f>
        <v>43279</v>
      </c>
      <c r="AI33" s="174">
        <f>DATE(An_Ref,7,28)</f>
        <v>43309</v>
      </c>
      <c r="AJ33" s="174">
        <f>DATE(An_Ref,8,28)</f>
        <v>43340</v>
      </c>
      <c r="AK33" s="174">
        <f>DATE(An_Ref,9,28)</f>
        <v>43371</v>
      </c>
      <c r="AL33" s="174">
        <f>DATE(An_Ref,10,28)</f>
        <v>43401</v>
      </c>
      <c r="AM33" s="174">
        <f>DATE(An_Ref,11,28)</f>
        <v>43432</v>
      </c>
      <c r="AN33" s="174">
        <f>DATE(An_Ref,12,28)</f>
        <v>43462</v>
      </c>
    </row>
    <row r="34" spans="2:40">
      <c r="Y34" s="271"/>
      <c r="Z34" s="198"/>
      <c r="AA34" s="172" t="s">
        <v>50</v>
      </c>
      <c r="AB34" s="167">
        <f>AA33+1</f>
        <v>43192</v>
      </c>
      <c r="AC34" s="174">
        <f>DATE(An_Ref,1,29)</f>
        <v>43129</v>
      </c>
      <c r="AD34" s="174">
        <f>DATE(An_Ref,2,29)</f>
        <v>43160</v>
      </c>
      <c r="AE34" s="174">
        <f>DATE(An_Ref,3,29)</f>
        <v>43188</v>
      </c>
      <c r="AF34" s="174">
        <f>DATE(An_Ref,4,29)</f>
        <v>43219</v>
      </c>
      <c r="AG34" s="174">
        <f>DATE(An_Ref,5,29)</f>
        <v>43249</v>
      </c>
      <c r="AH34" s="174">
        <f>DATE(An_Ref,6,29)</f>
        <v>43280</v>
      </c>
      <c r="AI34" s="174">
        <f>DATE(An_Ref,7,29)</f>
        <v>43310</v>
      </c>
      <c r="AJ34" s="174">
        <f>DATE(An_Ref,8,29)</f>
        <v>43341</v>
      </c>
      <c r="AK34" s="174">
        <f>DATE(An_Ref,9,29)</f>
        <v>43372</v>
      </c>
      <c r="AL34" s="174">
        <f>DATE(An_Ref,10,29)</f>
        <v>43402</v>
      </c>
      <c r="AM34" s="174">
        <f>DATE(An_Ref,11,29)</f>
        <v>43433</v>
      </c>
      <c r="AN34" s="174">
        <f>DATE(An_Ref,12,29)</f>
        <v>43463</v>
      </c>
    </row>
    <row r="35" spans="2:40">
      <c r="C35" s="209"/>
      <c r="Y35" s="271"/>
      <c r="Z35" s="198"/>
      <c r="AA35" s="172" t="s">
        <v>51</v>
      </c>
      <c r="AB35" s="167">
        <f>AA33+39</f>
        <v>43230</v>
      </c>
      <c r="AC35" s="174">
        <f>DATE(An_Ref,1,30)</f>
        <v>43130</v>
      </c>
      <c r="AD35" s="174"/>
      <c r="AE35" s="174">
        <f>DATE(An_Ref,3,30)</f>
        <v>43189</v>
      </c>
      <c r="AF35" s="174">
        <f>DATE(An_Ref,4,30)</f>
        <v>43220</v>
      </c>
      <c r="AG35" s="174">
        <f>DATE(An_Ref,5,30)</f>
        <v>43250</v>
      </c>
      <c r="AH35" s="174">
        <f>DATE(An_Ref,6,30)</f>
        <v>43281</v>
      </c>
      <c r="AI35" s="174">
        <f>DATE(An_Ref,7,30)</f>
        <v>43311</v>
      </c>
      <c r="AJ35" s="174">
        <f>DATE(An_Ref,8,30)</f>
        <v>43342</v>
      </c>
      <c r="AK35" s="174">
        <f>DATE(An_Ref,9,30)</f>
        <v>43373</v>
      </c>
      <c r="AL35" s="174">
        <f>DATE(An_Ref,10,30)</f>
        <v>43403</v>
      </c>
      <c r="AM35" s="174">
        <f>DATE(An_Ref,11,30)</f>
        <v>43434</v>
      </c>
      <c r="AN35" s="174">
        <f>DATE(An_Ref,12,30)</f>
        <v>43464</v>
      </c>
    </row>
    <row r="36" spans="2:40" ht="15.75" thickBot="1">
      <c r="Y36" s="271"/>
      <c r="Z36" s="198"/>
      <c r="AA36" s="172" t="s">
        <v>52</v>
      </c>
      <c r="AB36" s="167">
        <f>AA33+50</f>
        <v>43241</v>
      </c>
      <c r="AC36" s="175">
        <f>DATE(An_Ref,1,31)</f>
        <v>43131</v>
      </c>
      <c r="AD36" s="175"/>
      <c r="AE36" s="175">
        <f>DATE(An_Ref,3,31)</f>
        <v>43190</v>
      </c>
      <c r="AF36" s="176"/>
      <c r="AG36" s="175">
        <f>DATE(An_Ref,5,31)</f>
        <v>43251</v>
      </c>
      <c r="AH36" s="176"/>
      <c r="AI36" s="175">
        <f>DATE(An_Ref,7,31)</f>
        <v>43312</v>
      </c>
      <c r="AJ36" s="175">
        <f>DATE(An_Ref,8,31)</f>
        <v>43343</v>
      </c>
      <c r="AK36" s="176"/>
      <c r="AL36" s="175">
        <f>DATE(An_Ref,10,31)</f>
        <v>43404</v>
      </c>
      <c r="AM36" s="176"/>
      <c r="AN36" s="175">
        <f>DATE(An_Ref,12,31)</f>
        <v>43465</v>
      </c>
    </row>
    <row r="37" spans="2:40" ht="15.75" thickBot="1">
      <c r="Y37" s="271"/>
      <c r="Z37" s="199"/>
      <c r="AA37" s="193" t="s">
        <v>55</v>
      </c>
      <c r="AB37" s="185">
        <f>AB32-365</f>
        <v>43094</v>
      </c>
    </row>
    <row r="38" spans="2:40">
      <c r="Y38" s="261" t="s">
        <v>61</v>
      </c>
      <c r="Z38" s="200"/>
      <c r="AA38" s="194" t="s">
        <v>56</v>
      </c>
      <c r="AB38" s="188">
        <f>DATE(An_Ref,1,6)</f>
        <v>43106</v>
      </c>
    </row>
    <row r="39" spans="2:40">
      <c r="Y39" s="262"/>
      <c r="Z39" s="201"/>
      <c r="AA39" s="187" t="s">
        <v>57</v>
      </c>
      <c r="AB39" s="189">
        <f>DATE(An_Ref,2,2)</f>
        <v>43133</v>
      </c>
    </row>
    <row r="40" spans="2:40">
      <c r="Y40" s="262"/>
      <c r="Z40" s="201"/>
      <c r="AA40" s="187" t="s">
        <v>58</v>
      </c>
      <c r="AB40" s="189">
        <f>VLOOKUP(DATE(An_Ref,12,31),MardiG,1,TRUE)</f>
        <v>43144</v>
      </c>
    </row>
    <row r="41" spans="2:40">
      <c r="Y41" s="262"/>
      <c r="Z41" s="201"/>
      <c r="AA41" s="187" t="s">
        <v>78</v>
      </c>
      <c r="AB41" s="189">
        <f>DATE(An_Ref,6,21)</f>
        <v>43272</v>
      </c>
    </row>
    <row r="42" spans="2:40">
      <c r="Y42" s="262"/>
      <c r="Z42" s="201"/>
      <c r="AA42" s="187" t="s">
        <v>59</v>
      </c>
      <c r="AB42" s="189">
        <f>DATE(An_Ref,Z7,7*AA7+1)-WEEKDAY(DATE(An_Ref,Z7,1),2)+AB7-7*(AB7&gt;=WEEKDAY(DATE(An_Ref,Z7,1),2))</f>
        <v>43268</v>
      </c>
    </row>
    <row r="43" spans="2:40" ht="15.75" thickBot="1">
      <c r="Y43" s="263"/>
      <c r="Z43" s="202"/>
      <c r="AA43" s="231" t="s">
        <v>60</v>
      </c>
      <c r="AB43" s="185">
        <f>VLOOKUP(DATE(An_Ref,12,31),Fete_M,1,TRUE)</f>
        <v>43247</v>
      </c>
    </row>
  </sheetData>
  <sheetProtection selectLockedCells="1"/>
  <dataConsolidate/>
  <mergeCells count="19">
    <mergeCell ref="B2:B6"/>
    <mergeCell ref="AI2:AJ2"/>
    <mergeCell ref="C2:E2"/>
    <mergeCell ref="G2:I2"/>
    <mergeCell ref="C5:E5"/>
    <mergeCell ref="C6:E6"/>
    <mergeCell ref="G3:I3"/>
    <mergeCell ref="C3:E3"/>
    <mergeCell ref="Z5:AB5"/>
    <mergeCell ref="G5:I5"/>
    <mergeCell ref="G6:I6"/>
    <mergeCell ref="AC3:AJ3"/>
    <mergeCell ref="B25:C25"/>
    <mergeCell ref="B26:C26"/>
    <mergeCell ref="B27:C27"/>
    <mergeCell ref="Y38:Y43"/>
    <mergeCell ref="G8:I9"/>
    <mergeCell ref="Y25:Y37"/>
    <mergeCell ref="B24:C24"/>
  </mergeCells>
  <dataValidations count="3">
    <dataValidation type="list" allowBlank="1" showInputMessage="1" showErrorMessage="1" sqref="Z6">
      <formula1>"janvier,février,mars,avril,mai,juin,juillet,août,septembre,octobre,novembre,décembre"</formula1>
    </dataValidation>
    <dataValidation type="list" allowBlank="1" showInputMessage="1" showErrorMessage="1" sqref="AA6">
      <formula1>"1,2,3,4,5"</formula1>
    </dataValidation>
    <dataValidation type="list" allowBlank="1" showInputMessage="1" showErrorMessage="1" sqref="AB6">
      <formula1>"lundi,mardi,mercredi,jeudi,vendredi,samedi,dimanche"</formula1>
    </dataValidation>
  </dataValidations>
  <hyperlinks>
    <hyperlink ref="AC5" location="JANVIER!A1" display="Janvier"/>
    <hyperlink ref="AD5" location="FEVRIER!A1" display="Février"/>
    <hyperlink ref="AE5" location="MARS!A1" display="Mars"/>
    <hyperlink ref="AF5" location="AVRIL!A1" display="Avril"/>
    <hyperlink ref="AG5" location="MAI!A1" display="Mai"/>
    <hyperlink ref="AH5" location="JUIN!A1" display="Juin"/>
    <hyperlink ref="AI5" location="JUILLET!A1" display="Juillet"/>
    <hyperlink ref="AJ5" location="AOUT!A1" display="Août"/>
    <hyperlink ref="AK5" location="SEPTEMBRE!A1" display="Septembre"/>
    <hyperlink ref="AL5" location="OCTOBRE!A1" display="Octobre"/>
    <hyperlink ref="AM5" location="NOVEMBRE!A1" display="Novembre"/>
    <hyperlink ref="AN5" location="DECEMBRE!A1" display="Décembre"/>
  </hyperlink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F45"/>
  <sheetViews>
    <sheetView showGridLines="0" showRowColHeaders="0" workbookViewId="0">
      <selection activeCell="G8" sqref="G8"/>
    </sheetView>
  </sheetViews>
  <sheetFormatPr baseColWidth="10" defaultRowHeight="12.75"/>
  <cols>
    <col min="1" max="1" width="3" style="37" customWidth="1"/>
    <col min="2" max="2" width="16" style="37" customWidth="1"/>
    <col min="3" max="3" width="9.7109375" style="37" customWidth="1"/>
    <col min="4" max="4" width="10.28515625" style="37" customWidth="1"/>
    <col min="5" max="5" width="13.7109375" style="37" customWidth="1"/>
    <col min="6" max="6" width="9.85546875" style="37" customWidth="1"/>
    <col min="7" max="7" width="13.7109375" style="37" customWidth="1"/>
    <col min="8" max="8" width="10.28515625" style="37" customWidth="1"/>
    <col min="9" max="9" width="1.85546875" style="37" customWidth="1"/>
    <col min="10" max="10" width="16" style="37" customWidth="1"/>
    <col min="11" max="11" width="9.7109375" style="37" customWidth="1"/>
    <col min="12" max="12" width="9.85546875" style="37" customWidth="1"/>
    <col min="13" max="13" width="13.7109375" style="37" customWidth="1"/>
    <col min="14" max="14" width="9.85546875" style="37" customWidth="1"/>
    <col min="15" max="15" width="13.7109375" style="37" customWidth="1"/>
    <col min="16" max="16" width="10.28515625" style="37" customWidth="1"/>
    <col min="17" max="17" width="2.7109375" style="37" customWidth="1"/>
    <col min="18" max="18" width="16" style="37" customWidth="1"/>
    <col min="19" max="19" width="9.7109375" style="37" customWidth="1"/>
    <col min="20" max="20" width="8" style="37" customWidth="1"/>
    <col min="21" max="21" width="13.7109375" style="37" customWidth="1"/>
    <col min="22" max="22" width="9.85546875" style="37" customWidth="1"/>
    <col min="23" max="23" width="13.7109375" style="37" customWidth="1"/>
    <col min="24" max="24" width="10.28515625" style="37" customWidth="1"/>
    <col min="25" max="25" width="2.5703125" style="37" customWidth="1"/>
    <col min="26" max="26" width="16" style="37" customWidth="1"/>
    <col min="27" max="27" width="9.7109375" style="37" customWidth="1"/>
    <col min="28" max="28" width="8" style="37" customWidth="1"/>
    <col min="29" max="29" width="13.7109375" style="37" customWidth="1"/>
    <col min="30" max="30" width="9.85546875" style="37" customWidth="1"/>
    <col min="31" max="31" width="13.7109375" style="37" customWidth="1"/>
    <col min="32" max="32" width="10.28515625" style="37" customWidth="1"/>
    <col min="33" max="207" width="11.42578125" style="37"/>
    <col min="208" max="208" width="12.7109375" style="37" customWidth="1"/>
    <col min="209" max="209" width="16" style="37" customWidth="1"/>
    <col min="210" max="210" width="9.7109375" style="37" customWidth="1"/>
    <col min="211" max="211" width="8" style="37" customWidth="1"/>
    <col min="212" max="212" width="13.7109375" style="37" customWidth="1"/>
    <col min="213" max="213" width="9.85546875" style="37" customWidth="1"/>
    <col min="214" max="214" width="13.7109375" style="37" customWidth="1"/>
    <col min="215" max="215" width="10.28515625" style="37" customWidth="1"/>
    <col min="216" max="216" width="12.7109375" style="37" customWidth="1"/>
    <col min="217" max="217" width="16" style="37" customWidth="1"/>
    <col min="218" max="218" width="9.7109375" style="37" customWidth="1"/>
    <col min="219" max="219" width="8" style="37" customWidth="1"/>
    <col min="220" max="220" width="13.7109375" style="37" customWidth="1"/>
    <col min="221" max="221" width="9.85546875" style="37" customWidth="1"/>
    <col min="222" max="222" width="13.7109375" style="37" customWidth="1"/>
    <col min="223" max="223" width="10.28515625" style="37" customWidth="1"/>
    <col min="224" max="224" width="12.7109375" style="37" customWidth="1"/>
    <col min="225" max="225" width="16" style="37" customWidth="1"/>
    <col min="226" max="226" width="9.7109375" style="37" customWidth="1"/>
    <col min="227" max="227" width="8" style="37" customWidth="1"/>
    <col min="228" max="228" width="13.7109375" style="37" customWidth="1"/>
    <col min="229" max="229" width="9.85546875" style="37" customWidth="1"/>
    <col min="230" max="230" width="13.7109375" style="37" customWidth="1"/>
    <col min="231" max="231" width="10.28515625" style="37" customWidth="1"/>
    <col min="232" max="232" width="12.7109375" style="37" customWidth="1"/>
    <col min="233" max="233" width="16" style="37" customWidth="1"/>
    <col min="234" max="234" width="9.7109375" style="37" customWidth="1"/>
    <col min="235" max="235" width="8" style="37" customWidth="1"/>
    <col min="236" max="236" width="13.7109375" style="37" customWidth="1"/>
    <col min="237" max="237" width="9.85546875" style="37" customWidth="1"/>
    <col min="238" max="238" width="13.7109375" style="37" customWidth="1"/>
    <col min="239" max="239" width="10.28515625" style="37" customWidth="1"/>
    <col min="240" max="240" width="12.7109375" style="37" customWidth="1"/>
    <col min="241" max="241" width="16" style="37" customWidth="1"/>
    <col min="242" max="242" width="9.7109375" style="37" customWidth="1"/>
    <col min="243" max="243" width="8" style="37" customWidth="1"/>
    <col min="244" max="244" width="13.7109375" style="37" customWidth="1"/>
    <col min="245" max="245" width="9.85546875" style="37" customWidth="1"/>
    <col min="246" max="246" width="13.7109375" style="37" customWidth="1"/>
    <col min="247" max="247" width="10.28515625" style="37" customWidth="1"/>
    <col min="248" max="248" width="12.7109375" style="37" customWidth="1"/>
    <col min="249" max="249" width="16" style="37" customWidth="1"/>
    <col min="250" max="250" width="9.7109375" style="37" customWidth="1"/>
    <col min="251" max="251" width="8" style="37" customWidth="1"/>
    <col min="252" max="252" width="13.7109375" style="37" customWidth="1"/>
    <col min="253" max="253" width="9.85546875" style="37" customWidth="1"/>
    <col min="254" max="254" width="13.7109375" style="37" customWidth="1"/>
    <col min="255" max="255" width="10.28515625" style="37" customWidth="1"/>
    <col min="256" max="256" width="12.7109375" style="37" customWidth="1"/>
    <col min="257" max="257" width="16" style="37" customWidth="1"/>
    <col min="258" max="258" width="9.7109375" style="37" customWidth="1"/>
    <col min="259" max="259" width="8" style="37" customWidth="1"/>
    <col min="260" max="260" width="13.7109375" style="37" customWidth="1"/>
    <col min="261" max="261" width="9.85546875" style="37" customWidth="1"/>
    <col min="262" max="262" width="13.7109375" style="37" customWidth="1"/>
    <col min="263" max="263" width="10.28515625" style="37" customWidth="1"/>
    <col min="264" max="264" width="12.7109375" style="37" customWidth="1"/>
    <col min="265" max="265" width="16" style="37" customWidth="1"/>
    <col min="266" max="266" width="9.7109375" style="37" customWidth="1"/>
    <col min="267" max="267" width="8" style="37" customWidth="1"/>
    <col min="268" max="268" width="13.7109375" style="37" customWidth="1"/>
    <col min="269" max="269" width="9.85546875" style="37" customWidth="1"/>
    <col min="270" max="270" width="13.7109375" style="37" customWidth="1"/>
    <col min="271" max="271" width="10.28515625" style="37" customWidth="1"/>
    <col min="272" max="272" width="12.7109375" style="37" customWidth="1"/>
    <col min="273" max="273" width="16" style="37" customWidth="1"/>
    <col min="274" max="274" width="9.7109375" style="37" customWidth="1"/>
    <col min="275" max="275" width="8" style="37" customWidth="1"/>
    <col min="276" max="276" width="13.7109375" style="37" customWidth="1"/>
    <col min="277" max="277" width="9.85546875" style="37" customWidth="1"/>
    <col min="278" max="278" width="13.7109375" style="37" customWidth="1"/>
    <col min="279" max="279" width="10.28515625" style="37" customWidth="1"/>
    <col min="280" max="280" width="12.7109375" style="37" customWidth="1"/>
    <col min="281" max="281" width="16" style="37" customWidth="1"/>
    <col min="282" max="282" width="9.7109375" style="37" customWidth="1"/>
    <col min="283" max="283" width="8" style="37" customWidth="1"/>
    <col min="284" max="284" width="13.7109375" style="37" customWidth="1"/>
    <col min="285" max="285" width="9.85546875" style="37" customWidth="1"/>
    <col min="286" max="286" width="13.7109375" style="37" customWidth="1"/>
    <col min="287" max="287" width="10.28515625" style="37" customWidth="1"/>
    <col min="288" max="463" width="11.42578125" style="37"/>
    <col min="464" max="464" width="12.7109375" style="37" customWidth="1"/>
    <col min="465" max="465" width="16" style="37" customWidth="1"/>
    <col min="466" max="466" width="9.7109375" style="37" customWidth="1"/>
    <col min="467" max="467" width="8" style="37" customWidth="1"/>
    <col min="468" max="468" width="13.7109375" style="37" customWidth="1"/>
    <col min="469" max="469" width="9.85546875" style="37" customWidth="1"/>
    <col min="470" max="470" width="13.7109375" style="37" customWidth="1"/>
    <col min="471" max="471" width="10.28515625" style="37" customWidth="1"/>
    <col min="472" max="472" width="12.7109375" style="37" customWidth="1"/>
    <col min="473" max="473" width="16" style="37" customWidth="1"/>
    <col min="474" max="474" width="9.7109375" style="37" customWidth="1"/>
    <col min="475" max="475" width="8" style="37" customWidth="1"/>
    <col min="476" max="476" width="13.7109375" style="37" customWidth="1"/>
    <col min="477" max="477" width="9.85546875" style="37" customWidth="1"/>
    <col min="478" max="478" width="13.7109375" style="37" customWidth="1"/>
    <col min="479" max="479" width="10.28515625" style="37" customWidth="1"/>
    <col min="480" max="480" width="12.7109375" style="37" customWidth="1"/>
    <col min="481" max="481" width="16" style="37" customWidth="1"/>
    <col min="482" max="482" width="9.7109375" style="37" customWidth="1"/>
    <col min="483" max="483" width="8" style="37" customWidth="1"/>
    <col min="484" max="484" width="13.7109375" style="37" customWidth="1"/>
    <col min="485" max="485" width="9.85546875" style="37" customWidth="1"/>
    <col min="486" max="486" width="13.7109375" style="37" customWidth="1"/>
    <col min="487" max="487" width="10.28515625" style="37" customWidth="1"/>
    <col min="488" max="488" width="12.7109375" style="37" customWidth="1"/>
    <col min="489" max="489" width="16" style="37" customWidth="1"/>
    <col min="490" max="490" width="9.7109375" style="37" customWidth="1"/>
    <col min="491" max="491" width="8" style="37" customWidth="1"/>
    <col min="492" max="492" width="13.7109375" style="37" customWidth="1"/>
    <col min="493" max="493" width="9.85546875" style="37" customWidth="1"/>
    <col min="494" max="494" width="13.7109375" style="37" customWidth="1"/>
    <col min="495" max="495" width="10.28515625" style="37" customWidth="1"/>
    <col min="496" max="496" width="12.7109375" style="37" customWidth="1"/>
    <col min="497" max="497" width="16" style="37" customWidth="1"/>
    <col min="498" max="498" width="9.7109375" style="37" customWidth="1"/>
    <col min="499" max="499" width="8" style="37" customWidth="1"/>
    <col min="500" max="500" width="13.7109375" style="37" customWidth="1"/>
    <col min="501" max="501" width="9.85546875" style="37" customWidth="1"/>
    <col min="502" max="502" width="13.7109375" style="37" customWidth="1"/>
    <col min="503" max="503" width="10.28515625" style="37" customWidth="1"/>
    <col min="504" max="504" width="12.7109375" style="37" customWidth="1"/>
    <col min="505" max="505" width="16" style="37" customWidth="1"/>
    <col min="506" max="506" width="9.7109375" style="37" customWidth="1"/>
    <col min="507" max="507" width="8" style="37" customWidth="1"/>
    <col min="508" max="508" width="13.7109375" style="37" customWidth="1"/>
    <col min="509" max="509" width="9.85546875" style="37" customWidth="1"/>
    <col min="510" max="510" width="13.7109375" style="37" customWidth="1"/>
    <col min="511" max="511" width="10.28515625" style="37" customWidth="1"/>
    <col min="512" max="512" width="12.7109375" style="37" customWidth="1"/>
    <col min="513" max="513" width="16" style="37" customWidth="1"/>
    <col min="514" max="514" width="9.7109375" style="37" customWidth="1"/>
    <col min="515" max="515" width="8" style="37" customWidth="1"/>
    <col min="516" max="516" width="13.7109375" style="37" customWidth="1"/>
    <col min="517" max="517" width="9.85546875" style="37" customWidth="1"/>
    <col min="518" max="518" width="13.7109375" style="37" customWidth="1"/>
    <col min="519" max="519" width="10.28515625" style="37" customWidth="1"/>
    <col min="520" max="520" width="12.7109375" style="37" customWidth="1"/>
    <col min="521" max="521" width="16" style="37" customWidth="1"/>
    <col min="522" max="522" width="9.7109375" style="37" customWidth="1"/>
    <col min="523" max="523" width="8" style="37" customWidth="1"/>
    <col min="524" max="524" width="13.7109375" style="37" customWidth="1"/>
    <col min="525" max="525" width="9.85546875" style="37" customWidth="1"/>
    <col min="526" max="526" width="13.7109375" style="37" customWidth="1"/>
    <col min="527" max="527" width="10.28515625" style="37" customWidth="1"/>
    <col min="528" max="528" width="12.7109375" style="37" customWidth="1"/>
    <col min="529" max="529" width="16" style="37" customWidth="1"/>
    <col min="530" max="530" width="9.7109375" style="37" customWidth="1"/>
    <col min="531" max="531" width="8" style="37" customWidth="1"/>
    <col min="532" max="532" width="13.7109375" style="37" customWidth="1"/>
    <col min="533" max="533" width="9.85546875" style="37" customWidth="1"/>
    <col min="534" max="534" width="13.7109375" style="37" customWidth="1"/>
    <col min="535" max="535" width="10.28515625" style="37" customWidth="1"/>
    <col min="536" max="536" width="12.7109375" style="37" customWidth="1"/>
    <col min="537" max="537" width="16" style="37" customWidth="1"/>
    <col min="538" max="538" width="9.7109375" style="37" customWidth="1"/>
    <col min="539" max="539" width="8" style="37" customWidth="1"/>
    <col min="540" max="540" width="13.7109375" style="37" customWidth="1"/>
    <col min="541" max="541" width="9.85546875" style="37" customWidth="1"/>
    <col min="542" max="542" width="13.7109375" style="37" customWidth="1"/>
    <col min="543" max="543" width="10.28515625" style="37" customWidth="1"/>
    <col min="544" max="719" width="11.42578125" style="37"/>
    <col min="720" max="720" width="12.7109375" style="37" customWidth="1"/>
    <col min="721" max="721" width="16" style="37" customWidth="1"/>
    <col min="722" max="722" width="9.7109375" style="37" customWidth="1"/>
    <col min="723" max="723" width="8" style="37" customWidth="1"/>
    <col min="724" max="724" width="13.7109375" style="37" customWidth="1"/>
    <col min="725" max="725" width="9.85546875" style="37" customWidth="1"/>
    <col min="726" max="726" width="13.7109375" style="37" customWidth="1"/>
    <col min="727" max="727" width="10.28515625" style="37" customWidth="1"/>
    <col min="728" max="728" width="12.7109375" style="37" customWidth="1"/>
    <col min="729" max="729" width="16" style="37" customWidth="1"/>
    <col min="730" max="730" width="9.7109375" style="37" customWidth="1"/>
    <col min="731" max="731" width="8" style="37" customWidth="1"/>
    <col min="732" max="732" width="13.7109375" style="37" customWidth="1"/>
    <col min="733" max="733" width="9.85546875" style="37" customWidth="1"/>
    <col min="734" max="734" width="13.7109375" style="37" customWidth="1"/>
    <col min="735" max="735" width="10.28515625" style="37" customWidth="1"/>
    <col min="736" max="736" width="12.7109375" style="37" customWidth="1"/>
    <col min="737" max="737" width="16" style="37" customWidth="1"/>
    <col min="738" max="738" width="9.7109375" style="37" customWidth="1"/>
    <col min="739" max="739" width="8" style="37" customWidth="1"/>
    <col min="740" max="740" width="13.7109375" style="37" customWidth="1"/>
    <col min="741" max="741" width="9.85546875" style="37" customWidth="1"/>
    <col min="742" max="742" width="13.7109375" style="37" customWidth="1"/>
    <col min="743" max="743" width="10.28515625" style="37" customWidth="1"/>
    <col min="744" max="744" width="12.7109375" style="37" customWidth="1"/>
    <col min="745" max="745" width="16" style="37" customWidth="1"/>
    <col min="746" max="746" width="9.7109375" style="37" customWidth="1"/>
    <col min="747" max="747" width="8" style="37" customWidth="1"/>
    <col min="748" max="748" width="13.7109375" style="37" customWidth="1"/>
    <col min="749" max="749" width="9.85546875" style="37" customWidth="1"/>
    <col min="750" max="750" width="13.7109375" style="37" customWidth="1"/>
    <col min="751" max="751" width="10.28515625" style="37" customWidth="1"/>
    <col min="752" max="752" width="12.7109375" style="37" customWidth="1"/>
    <col min="753" max="753" width="16" style="37" customWidth="1"/>
    <col min="754" max="754" width="9.7109375" style="37" customWidth="1"/>
    <col min="755" max="755" width="8" style="37" customWidth="1"/>
    <col min="756" max="756" width="13.7109375" style="37" customWidth="1"/>
    <col min="757" max="757" width="9.85546875" style="37" customWidth="1"/>
    <col min="758" max="758" width="13.7109375" style="37" customWidth="1"/>
    <col min="759" max="759" width="10.28515625" style="37" customWidth="1"/>
    <col min="760" max="760" width="12.7109375" style="37" customWidth="1"/>
    <col min="761" max="761" width="16" style="37" customWidth="1"/>
    <col min="762" max="762" width="9.7109375" style="37" customWidth="1"/>
    <col min="763" max="763" width="8" style="37" customWidth="1"/>
    <col min="764" max="764" width="13.7109375" style="37" customWidth="1"/>
    <col min="765" max="765" width="9.85546875" style="37" customWidth="1"/>
    <col min="766" max="766" width="13.7109375" style="37" customWidth="1"/>
    <col min="767" max="767" width="10.28515625" style="37" customWidth="1"/>
    <col min="768" max="768" width="12.7109375" style="37" customWidth="1"/>
    <col min="769" max="769" width="16" style="37" customWidth="1"/>
    <col min="770" max="770" width="9.7109375" style="37" customWidth="1"/>
    <col min="771" max="771" width="8" style="37" customWidth="1"/>
    <col min="772" max="772" width="13.7109375" style="37" customWidth="1"/>
    <col min="773" max="773" width="9.85546875" style="37" customWidth="1"/>
    <col min="774" max="774" width="13.7109375" style="37" customWidth="1"/>
    <col min="775" max="775" width="10.28515625" style="37" customWidth="1"/>
    <col min="776" max="776" width="12.7109375" style="37" customWidth="1"/>
    <col min="777" max="777" width="16" style="37" customWidth="1"/>
    <col min="778" max="778" width="9.7109375" style="37" customWidth="1"/>
    <col min="779" max="779" width="8" style="37" customWidth="1"/>
    <col min="780" max="780" width="13.7109375" style="37" customWidth="1"/>
    <col min="781" max="781" width="9.85546875" style="37" customWidth="1"/>
    <col min="782" max="782" width="13.7109375" style="37" customWidth="1"/>
    <col min="783" max="783" width="10.28515625" style="37" customWidth="1"/>
    <col min="784" max="784" width="12.7109375" style="37" customWidth="1"/>
    <col min="785" max="785" width="16" style="37" customWidth="1"/>
    <col min="786" max="786" width="9.7109375" style="37" customWidth="1"/>
    <col min="787" max="787" width="8" style="37" customWidth="1"/>
    <col min="788" max="788" width="13.7109375" style="37" customWidth="1"/>
    <col min="789" max="789" width="9.85546875" style="37" customWidth="1"/>
    <col min="790" max="790" width="13.7109375" style="37" customWidth="1"/>
    <col min="791" max="791" width="10.28515625" style="37" customWidth="1"/>
    <col min="792" max="792" width="12.7109375" style="37" customWidth="1"/>
    <col min="793" max="793" width="16" style="37" customWidth="1"/>
    <col min="794" max="794" width="9.7109375" style="37" customWidth="1"/>
    <col min="795" max="795" width="8" style="37" customWidth="1"/>
    <col min="796" max="796" width="13.7109375" style="37" customWidth="1"/>
    <col min="797" max="797" width="9.85546875" style="37" customWidth="1"/>
    <col min="798" max="798" width="13.7109375" style="37" customWidth="1"/>
    <col min="799" max="799" width="10.28515625" style="37" customWidth="1"/>
    <col min="800" max="975" width="11.42578125" style="37"/>
    <col min="976" max="976" width="12.7109375" style="37" customWidth="1"/>
    <col min="977" max="977" width="16" style="37" customWidth="1"/>
    <col min="978" max="978" width="9.7109375" style="37" customWidth="1"/>
    <col min="979" max="979" width="8" style="37" customWidth="1"/>
    <col min="980" max="980" width="13.7109375" style="37" customWidth="1"/>
    <col min="981" max="981" width="9.85546875" style="37" customWidth="1"/>
    <col min="982" max="982" width="13.7109375" style="37" customWidth="1"/>
    <col min="983" max="983" width="10.28515625" style="37" customWidth="1"/>
    <col min="984" max="984" width="12.7109375" style="37" customWidth="1"/>
    <col min="985" max="985" width="16" style="37" customWidth="1"/>
    <col min="986" max="986" width="9.7109375" style="37" customWidth="1"/>
    <col min="987" max="987" width="8" style="37" customWidth="1"/>
    <col min="988" max="988" width="13.7109375" style="37" customWidth="1"/>
    <col min="989" max="989" width="9.85546875" style="37" customWidth="1"/>
    <col min="990" max="990" width="13.7109375" style="37" customWidth="1"/>
    <col min="991" max="991" width="10.28515625" style="37" customWidth="1"/>
    <col min="992" max="992" width="12.7109375" style="37" customWidth="1"/>
    <col min="993" max="993" width="16" style="37" customWidth="1"/>
    <col min="994" max="994" width="9.7109375" style="37" customWidth="1"/>
    <col min="995" max="995" width="8" style="37" customWidth="1"/>
    <col min="996" max="996" width="13.7109375" style="37" customWidth="1"/>
    <col min="997" max="997" width="9.85546875" style="37" customWidth="1"/>
    <col min="998" max="998" width="13.7109375" style="37" customWidth="1"/>
    <col min="999" max="999" width="10.28515625" style="37" customWidth="1"/>
    <col min="1000" max="1000" width="12.7109375" style="37" customWidth="1"/>
    <col min="1001" max="1001" width="16" style="37" customWidth="1"/>
    <col min="1002" max="1002" width="9.7109375" style="37" customWidth="1"/>
    <col min="1003" max="1003" width="8" style="37" customWidth="1"/>
    <col min="1004" max="1004" width="13.7109375" style="37" customWidth="1"/>
    <col min="1005" max="1005" width="9.85546875" style="37" customWidth="1"/>
    <col min="1006" max="1006" width="13.7109375" style="37" customWidth="1"/>
    <col min="1007" max="1007" width="10.28515625" style="37" customWidth="1"/>
    <col min="1008" max="1008" width="12.7109375" style="37" customWidth="1"/>
    <col min="1009" max="1009" width="16" style="37" customWidth="1"/>
    <col min="1010" max="1010" width="9.7109375" style="37" customWidth="1"/>
    <col min="1011" max="1011" width="8" style="37" customWidth="1"/>
    <col min="1012" max="1012" width="13.7109375" style="37" customWidth="1"/>
    <col min="1013" max="1013" width="9.85546875" style="37" customWidth="1"/>
    <col min="1014" max="1014" width="13.7109375" style="37" customWidth="1"/>
    <col min="1015" max="1015" width="10.28515625" style="37" customWidth="1"/>
    <col min="1016" max="1016" width="12.7109375" style="37" customWidth="1"/>
    <col min="1017" max="1017" width="16" style="37" customWidth="1"/>
    <col min="1018" max="1018" width="9.7109375" style="37" customWidth="1"/>
    <col min="1019" max="1019" width="8" style="37" customWidth="1"/>
    <col min="1020" max="1020" width="13.7109375" style="37" customWidth="1"/>
    <col min="1021" max="1021" width="9.85546875" style="37" customWidth="1"/>
    <col min="1022" max="1022" width="13.7109375" style="37" customWidth="1"/>
    <col min="1023" max="1023" width="10.28515625" style="37" customWidth="1"/>
    <col min="1024" max="1024" width="12.7109375" style="37" customWidth="1"/>
    <col min="1025" max="1025" width="16" style="37" customWidth="1"/>
    <col min="1026" max="1026" width="9.7109375" style="37" customWidth="1"/>
    <col min="1027" max="1027" width="8" style="37" customWidth="1"/>
    <col min="1028" max="1028" width="13.7109375" style="37" customWidth="1"/>
    <col min="1029" max="1029" width="9.85546875" style="37" customWidth="1"/>
    <col min="1030" max="1030" width="13.7109375" style="37" customWidth="1"/>
    <col min="1031" max="1031" width="10.28515625" style="37" customWidth="1"/>
    <col min="1032" max="1032" width="12.7109375" style="37" customWidth="1"/>
    <col min="1033" max="1033" width="16" style="37" customWidth="1"/>
    <col min="1034" max="1034" width="9.7109375" style="37" customWidth="1"/>
    <col min="1035" max="1035" width="8" style="37" customWidth="1"/>
    <col min="1036" max="1036" width="13.7109375" style="37" customWidth="1"/>
    <col min="1037" max="1037" width="9.85546875" style="37" customWidth="1"/>
    <col min="1038" max="1038" width="13.7109375" style="37" customWidth="1"/>
    <col min="1039" max="1039" width="10.28515625" style="37" customWidth="1"/>
    <col min="1040" max="1040" width="12.7109375" style="37" customWidth="1"/>
    <col min="1041" max="1041" width="16" style="37" customWidth="1"/>
    <col min="1042" max="1042" width="9.7109375" style="37" customWidth="1"/>
    <col min="1043" max="1043" width="8" style="37" customWidth="1"/>
    <col min="1044" max="1044" width="13.7109375" style="37" customWidth="1"/>
    <col min="1045" max="1045" width="9.85546875" style="37" customWidth="1"/>
    <col min="1046" max="1046" width="13.7109375" style="37" customWidth="1"/>
    <col min="1047" max="1047" width="10.28515625" style="37" customWidth="1"/>
    <col min="1048" max="1048" width="12.7109375" style="37" customWidth="1"/>
    <col min="1049" max="1049" width="16" style="37" customWidth="1"/>
    <col min="1050" max="1050" width="9.7109375" style="37" customWidth="1"/>
    <col min="1051" max="1051" width="8" style="37" customWidth="1"/>
    <col min="1052" max="1052" width="13.7109375" style="37" customWidth="1"/>
    <col min="1053" max="1053" width="9.85546875" style="37" customWidth="1"/>
    <col min="1054" max="1054" width="13.7109375" style="37" customWidth="1"/>
    <col min="1055" max="1055" width="10.28515625" style="37" customWidth="1"/>
    <col min="1056" max="1231" width="11.42578125" style="37"/>
    <col min="1232" max="1232" width="12.7109375" style="37" customWidth="1"/>
    <col min="1233" max="1233" width="16" style="37" customWidth="1"/>
    <col min="1234" max="1234" width="9.7109375" style="37" customWidth="1"/>
    <col min="1235" max="1235" width="8" style="37" customWidth="1"/>
    <col min="1236" max="1236" width="13.7109375" style="37" customWidth="1"/>
    <col min="1237" max="1237" width="9.85546875" style="37" customWidth="1"/>
    <col min="1238" max="1238" width="13.7109375" style="37" customWidth="1"/>
    <col min="1239" max="1239" width="10.28515625" style="37" customWidth="1"/>
    <col min="1240" max="1240" width="12.7109375" style="37" customWidth="1"/>
    <col min="1241" max="1241" width="16" style="37" customWidth="1"/>
    <col min="1242" max="1242" width="9.7109375" style="37" customWidth="1"/>
    <col min="1243" max="1243" width="8" style="37" customWidth="1"/>
    <col min="1244" max="1244" width="13.7109375" style="37" customWidth="1"/>
    <col min="1245" max="1245" width="9.85546875" style="37" customWidth="1"/>
    <col min="1246" max="1246" width="13.7109375" style="37" customWidth="1"/>
    <col min="1247" max="1247" width="10.28515625" style="37" customWidth="1"/>
    <col min="1248" max="1248" width="12.7109375" style="37" customWidth="1"/>
    <col min="1249" max="1249" width="16" style="37" customWidth="1"/>
    <col min="1250" max="1250" width="9.7109375" style="37" customWidth="1"/>
    <col min="1251" max="1251" width="8" style="37" customWidth="1"/>
    <col min="1252" max="1252" width="13.7109375" style="37" customWidth="1"/>
    <col min="1253" max="1253" width="9.85546875" style="37" customWidth="1"/>
    <col min="1254" max="1254" width="13.7109375" style="37" customWidth="1"/>
    <col min="1255" max="1255" width="10.28515625" style="37" customWidth="1"/>
    <col min="1256" max="1256" width="12.7109375" style="37" customWidth="1"/>
    <col min="1257" max="1257" width="16" style="37" customWidth="1"/>
    <col min="1258" max="1258" width="9.7109375" style="37" customWidth="1"/>
    <col min="1259" max="1259" width="8" style="37" customWidth="1"/>
    <col min="1260" max="1260" width="13.7109375" style="37" customWidth="1"/>
    <col min="1261" max="1261" width="9.85546875" style="37" customWidth="1"/>
    <col min="1262" max="1262" width="13.7109375" style="37" customWidth="1"/>
    <col min="1263" max="1263" width="10.28515625" style="37" customWidth="1"/>
    <col min="1264" max="1264" width="12.7109375" style="37" customWidth="1"/>
    <col min="1265" max="1265" width="16" style="37" customWidth="1"/>
    <col min="1266" max="1266" width="9.7109375" style="37" customWidth="1"/>
    <col min="1267" max="1267" width="8" style="37" customWidth="1"/>
    <col min="1268" max="1268" width="13.7109375" style="37" customWidth="1"/>
    <col min="1269" max="1269" width="9.85546875" style="37" customWidth="1"/>
    <col min="1270" max="1270" width="13.7109375" style="37" customWidth="1"/>
    <col min="1271" max="1271" width="10.28515625" style="37" customWidth="1"/>
    <col min="1272" max="1272" width="12.7109375" style="37" customWidth="1"/>
    <col min="1273" max="1273" width="16" style="37" customWidth="1"/>
    <col min="1274" max="1274" width="9.7109375" style="37" customWidth="1"/>
    <col min="1275" max="1275" width="8" style="37" customWidth="1"/>
    <col min="1276" max="1276" width="13.7109375" style="37" customWidth="1"/>
    <col min="1277" max="1277" width="9.85546875" style="37" customWidth="1"/>
    <col min="1278" max="1278" width="13.7109375" style="37" customWidth="1"/>
    <col min="1279" max="1279" width="10.28515625" style="37" customWidth="1"/>
    <col min="1280" max="1280" width="12.7109375" style="37" customWidth="1"/>
    <col min="1281" max="1281" width="16" style="37" customWidth="1"/>
    <col min="1282" max="1282" width="9.7109375" style="37" customWidth="1"/>
    <col min="1283" max="1283" width="8" style="37" customWidth="1"/>
    <col min="1284" max="1284" width="13.7109375" style="37" customWidth="1"/>
    <col min="1285" max="1285" width="9.85546875" style="37" customWidth="1"/>
    <col min="1286" max="1286" width="13.7109375" style="37" customWidth="1"/>
    <col min="1287" max="1287" width="10.28515625" style="37" customWidth="1"/>
    <col min="1288" max="1288" width="12.7109375" style="37" customWidth="1"/>
    <col min="1289" max="1289" width="16" style="37" customWidth="1"/>
    <col min="1290" max="1290" width="9.7109375" style="37" customWidth="1"/>
    <col min="1291" max="1291" width="8" style="37" customWidth="1"/>
    <col min="1292" max="1292" width="13.7109375" style="37" customWidth="1"/>
    <col min="1293" max="1293" width="9.85546875" style="37" customWidth="1"/>
    <col min="1294" max="1294" width="13.7109375" style="37" customWidth="1"/>
    <col min="1295" max="1295" width="10.28515625" style="37" customWidth="1"/>
    <col min="1296" max="1296" width="12.7109375" style="37" customWidth="1"/>
    <col min="1297" max="1297" width="16" style="37" customWidth="1"/>
    <col min="1298" max="1298" width="9.7109375" style="37" customWidth="1"/>
    <col min="1299" max="1299" width="8" style="37" customWidth="1"/>
    <col min="1300" max="1300" width="13.7109375" style="37" customWidth="1"/>
    <col min="1301" max="1301" width="9.85546875" style="37" customWidth="1"/>
    <col min="1302" max="1302" width="13.7109375" style="37" customWidth="1"/>
    <col min="1303" max="1303" width="10.28515625" style="37" customWidth="1"/>
    <col min="1304" max="1304" width="12.7109375" style="37" customWidth="1"/>
    <col min="1305" max="1305" width="16" style="37" customWidth="1"/>
    <col min="1306" max="1306" width="9.7109375" style="37" customWidth="1"/>
    <col min="1307" max="1307" width="8" style="37" customWidth="1"/>
    <col min="1308" max="1308" width="13.7109375" style="37" customWidth="1"/>
    <col min="1309" max="1309" width="9.85546875" style="37" customWidth="1"/>
    <col min="1310" max="1310" width="13.7109375" style="37" customWidth="1"/>
    <col min="1311" max="1311" width="10.28515625" style="37" customWidth="1"/>
    <col min="1312" max="1487" width="11.42578125" style="37"/>
    <col min="1488" max="1488" width="12.7109375" style="37" customWidth="1"/>
    <col min="1489" max="1489" width="16" style="37" customWidth="1"/>
    <col min="1490" max="1490" width="9.7109375" style="37" customWidth="1"/>
    <col min="1491" max="1491" width="8" style="37" customWidth="1"/>
    <col min="1492" max="1492" width="13.7109375" style="37" customWidth="1"/>
    <col min="1493" max="1493" width="9.85546875" style="37" customWidth="1"/>
    <col min="1494" max="1494" width="13.7109375" style="37" customWidth="1"/>
    <col min="1495" max="1495" width="10.28515625" style="37" customWidth="1"/>
    <col min="1496" max="1496" width="12.7109375" style="37" customWidth="1"/>
    <col min="1497" max="1497" width="16" style="37" customWidth="1"/>
    <col min="1498" max="1498" width="9.7109375" style="37" customWidth="1"/>
    <col min="1499" max="1499" width="8" style="37" customWidth="1"/>
    <col min="1500" max="1500" width="13.7109375" style="37" customWidth="1"/>
    <col min="1501" max="1501" width="9.85546875" style="37" customWidth="1"/>
    <col min="1502" max="1502" width="13.7109375" style="37" customWidth="1"/>
    <col min="1503" max="1503" width="10.28515625" style="37" customWidth="1"/>
    <col min="1504" max="1504" width="12.7109375" style="37" customWidth="1"/>
    <col min="1505" max="1505" width="16" style="37" customWidth="1"/>
    <col min="1506" max="1506" width="9.7109375" style="37" customWidth="1"/>
    <col min="1507" max="1507" width="8" style="37" customWidth="1"/>
    <col min="1508" max="1508" width="13.7109375" style="37" customWidth="1"/>
    <col min="1509" max="1509" width="9.85546875" style="37" customWidth="1"/>
    <col min="1510" max="1510" width="13.7109375" style="37" customWidth="1"/>
    <col min="1511" max="1511" width="10.28515625" style="37" customWidth="1"/>
    <col min="1512" max="1512" width="12.7109375" style="37" customWidth="1"/>
    <col min="1513" max="1513" width="16" style="37" customWidth="1"/>
    <col min="1514" max="1514" width="9.7109375" style="37" customWidth="1"/>
    <col min="1515" max="1515" width="8" style="37" customWidth="1"/>
    <col min="1516" max="1516" width="13.7109375" style="37" customWidth="1"/>
    <col min="1517" max="1517" width="9.85546875" style="37" customWidth="1"/>
    <col min="1518" max="1518" width="13.7109375" style="37" customWidth="1"/>
    <col min="1519" max="1519" width="10.28515625" style="37" customWidth="1"/>
    <col min="1520" max="1520" width="12.7109375" style="37" customWidth="1"/>
    <col min="1521" max="1521" width="16" style="37" customWidth="1"/>
    <col min="1522" max="1522" width="9.7109375" style="37" customWidth="1"/>
    <col min="1523" max="1523" width="8" style="37" customWidth="1"/>
    <col min="1524" max="1524" width="13.7109375" style="37" customWidth="1"/>
    <col min="1525" max="1525" width="9.85546875" style="37" customWidth="1"/>
    <col min="1526" max="1526" width="13.7109375" style="37" customWidth="1"/>
    <col min="1527" max="1527" width="10.28515625" style="37" customWidth="1"/>
    <col min="1528" max="1528" width="12.7109375" style="37" customWidth="1"/>
    <col min="1529" max="1529" width="16" style="37" customWidth="1"/>
    <col min="1530" max="1530" width="9.7109375" style="37" customWidth="1"/>
    <col min="1531" max="1531" width="8" style="37" customWidth="1"/>
    <col min="1532" max="1532" width="13.7109375" style="37" customWidth="1"/>
    <col min="1533" max="1533" width="9.85546875" style="37" customWidth="1"/>
    <col min="1534" max="1534" width="13.7109375" style="37" customWidth="1"/>
    <col min="1535" max="1535" width="10.28515625" style="37" customWidth="1"/>
    <col min="1536" max="1536" width="12.7109375" style="37" customWidth="1"/>
    <col min="1537" max="1537" width="16" style="37" customWidth="1"/>
    <col min="1538" max="1538" width="9.7109375" style="37" customWidth="1"/>
    <col min="1539" max="1539" width="8" style="37" customWidth="1"/>
    <col min="1540" max="1540" width="13.7109375" style="37" customWidth="1"/>
    <col min="1541" max="1541" width="9.85546875" style="37" customWidth="1"/>
    <col min="1542" max="1542" width="13.7109375" style="37" customWidth="1"/>
    <col min="1543" max="1543" width="10.28515625" style="37" customWidth="1"/>
    <col min="1544" max="1544" width="12.7109375" style="37" customWidth="1"/>
    <col min="1545" max="1545" width="16" style="37" customWidth="1"/>
    <col min="1546" max="1546" width="9.7109375" style="37" customWidth="1"/>
    <col min="1547" max="1547" width="8" style="37" customWidth="1"/>
    <col min="1548" max="1548" width="13.7109375" style="37" customWidth="1"/>
    <col min="1549" max="1549" width="9.85546875" style="37" customWidth="1"/>
    <col min="1550" max="1550" width="13.7109375" style="37" customWidth="1"/>
    <col min="1551" max="1551" width="10.28515625" style="37" customWidth="1"/>
    <col min="1552" max="1552" width="12.7109375" style="37" customWidth="1"/>
    <col min="1553" max="1553" width="16" style="37" customWidth="1"/>
    <col min="1554" max="1554" width="9.7109375" style="37" customWidth="1"/>
    <col min="1555" max="1555" width="8" style="37" customWidth="1"/>
    <col min="1556" max="1556" width="13.7109375" style="37" customWidth="1"/>
    <col min="1557" max="1557" width="9.85546875" style="37" customWidth="1"/>
    <col min="1558" max="1558" width="13.7109375" style="37" customWidth="1"/>
    <col min="1559" max="1559" width="10.28515625" style="37" customWidth="1"/>
    <col min="1560" max="1560" width="12.7109375" style="37" customWidth="1"/>
    <col min="1561" max="1561" width="16" style="37" customWidth="1"/>
    <col min="1562" max="1562" width="9.7109375" style="37" customWidth="1"/>
    <col min="1563" max="1563" width="8" style="37" customWidth="1"/>
    <col min="1564" max="1564" width="13.7109375" style="37" customWidth="1"/>
    <col min="1565" max="1565" width="9.85546875" style="37" customWidth="1"/>
    <col min="1566" max="1566" width="13.7109375" style="37" customWidth="1"/>
    <col min="1567" max="1567" width="10.28515625" style="37" customWidth="1"/>
    <col min="1568" max="1743" width="11.42578125" style="37"/>
    <col min="1744" max="1744" width="12.7109375" style="37" customWidth="1"/>
    <col min="1745" max="1745" width="16" style="37" customWidth="1"/>
    <col min="1746" max="1746" width="9.7109375" style="37" customWidth="1"/>
    <col min="1747" max="1747" width="8" style="37" customWidth="1"/>
    <col min="1748" max="1748" width="13.7109375" style="37" customWidth="1"/>
    <col min="1749" max="1749" width="9.85546875" style="37" customWidth="1"/>
    <col min="1750" max="1750" width="13.7109375" style="37" customWidth="1"/>
    <col min="1751" max="1751" width="10.28515625" style="37" customWidth="1"/>
    <col min="1752" max="1752" width="12.7109375" style="37" customWidth="1"/>
    <col min="1753" max="1753" width="16" style="37" customWidth="1"/>
    <col min="1754" max="1754" width="9.7109375" style="37" customWidth="1"/>
    <col min="1755" max="1755" width="8" style="37" customWidth="1"/>
    <col min="1756" max="1756" width="13.7109375" style="37" customWidth="1"/>
    <col min="1757" max="1757" width="9.85546875" style="37" customWidth="1"/>
    <col min="1758" max="1758" width="13.7109375" style="37" customWidth="1"/>
    <col min="1759" max="1759" width="10.28515625" style="37" customWidth="1"/>
    <col min="1760" max="1760" width="12.7109375" style="37" customWidth="1"/>
    <col min="1761" max="1761" width="16" style="37" customWidth="1"/>
    <col min="1762" max="1762" width="9.7109375" style="37" customWidth="1"/>
    <col min="1763" max="1763" width="8" style="37" customWidth="1"/>
    <col min="1764" max="1764" width="13.7109375" style="37" customWidth="1"/>
    <col min="1765" max="1765" width="9.85546875" style="37" customWidth="1"/>
    <col min="1766" max="1766" width="13.7109375" style="37" customWidth="1"/>
    <col min="1767" max="1767" width="10.28515625" style="37" customWidth="1"/>
    <col min="1768" max="1768" width="12.7109375" style="37" customWidth="1"/>
    <col min="1769" max="1769" width="16" style="37" customWidth="1"/>
    <col min="1770" max="1770" width="9.7109375" style="37" customWidth="1"/>
    <col min="1771" max="1771" width="8" style="37" customWidth="1"/>
    <col min="1772" max="1772" width="13.7109375" style="37" customWidth="1"/>
    <col min="1773" max="1773" width="9.85546875" style="37" customWidth="1"/>
    <col min="1774" max="1774" width="13.7109375" style="37" customWidth="1"/>
    <col min="1775" max="1775" width="10.28515625" style="37" customWidth="1"/>
    <col min="1776" max="1776" width="12.7109375" style="37" customWidth="1"/>
    <col min="1777" max="1777" width="16" style="37" customWidth="1"/>
    <col min="1778" max="1778" width="9.7109375" style="37" customWidth="1"/>
    <col min="1779" max="1779" width="8" style="37" customWidth="1"/>
    <col min="1780" max="1780" width="13.7109375" style="37" customWidth="1"/>
    <col min="1781" max="1781" width="9.85546875" style="37" customWidth="1"/>
    <col min="1782" max="1782" width="13.7109375" style="37" customWidth="1"/>
    <col min="1783" max="1783" width="10.28515625" style="37" customWidth="1"/>
    <col min="1784" max="1784" width="12.7109375" style="37" customWidth="1"/>
    <col min="1785" max="1785" width="16" style="37" customWidth="1"/>
    <col min="1786" max="1786" width="9.7109375" style="37" customWidth="1"/>
    <col min="1787" max="1787" width="8" style="37" customWidth="1"/>
    <col min="1788" max="1788" width="13.7109375" style="37" customWidth="1"/>
    <col min="1789" max="1789" width="9.85546875" style="37" customWidth="1"/>
    <col min="1790" max="1790" width="13.7109375" style="37" customWidth="1"/>
    <col min="1791" max="1791" width="10.28515625" style="37" customWidth="1"/>
    <col min="1792" max="1792" width="12.7109375" style="37" customWidth="1"/>
    <col min="1793" max="1793" width="16" style="37" customWidth="1"/>
    <col min="1794" max="1794" width="9.7109375" style="37" customWidth="1"/>
    <col min="1795" max="1795" width="8" style="37" customWidth="1"/>
    <col min="1796" max="1796" width="13.7109375" style="37" customWidth="1"/>
    <col min="1797" max="1797" width="9.85546875" style="37" customWidth="1"/>
    <col min="1798" max="1798" width="13.7109375" style="37" customWidth="1"/>
    <col min="1799" max="1799" width="10.28515625" style="37" customWidth="1"/>
    <col min="1800" max="1800" width="12.7109375" style="37" customWidth="1"/>
    <col min="1801" max="1801" width="16" style="37" customWidth="1"/>
    <col min="1802" max="1802" width="9.7109375" style="37" customWidth="1"/>
    <col min="1803" max="1803" width="8" style="37" customWidth="1"/>
    <col min="1804" max="1804" width="13.7109375" style="37" customWidth="1"/>
    <col min="1805" max="1805" width="9.85546875" style="37" customWidth="1"/>
    <col min="1806" max="1806" width="13.7109375" style="37" customWidth="1"/>
    <col min="1807" max="1807" width="10.28515625" style="37" customWidth="1"/>
    <col min="1808" max="1808" width="12.7109375" style="37" customWidth="1"/>
    <col min="1809" max="1809" width="16" style="37" customWidth="1"/>
    <col min="1810" max="1810" width="9.7109375" style="37" customWidth="1"/>
    <col min="1811" max="1811" width="8" style="37" customWidth="1"/>
    <col min="1812" max="1812" width="13.7109375" style="37" customWidth="1"/>
    <col min="1813" max="1813" width="9.85546875" style="37" customWidth="1"/>
    <col min="1814" max="1814" width="13.7109375" style="37" customWidth="1"/>
    <col min="1815" max="1815" width="10.28515625" style="37" customWidth="1"/>
    <col min="1816" max="1816" width="12.7109375" style="37" customWidth="1"/>
    <col min="1817" max="1817" width="16" style="37" customWidth="1"/>
    <col min="1818" max="1818" width="9.7109375" style="37" customWidth="1"/>
    <col min="1819" max="1819" width="8" style="37" customWidth="1"/>
    <col min="1820" max="1820" width="13.7109375" style="37" customWidth="1"/>
    <col min="1821" max="1821" width="9.85546875" style="37" customWidth="1"/>
    <col min="1822" max="1822" width="13.7109375" style="37" customWidth="1"/>
    <col min="1823" max="1823" width="10.28515625" style="37" customWidth="1"/>
    <col min="1824" max="1999" width="11.42578125" style="37"/>
    <col min="2000" max="2000" width="12.7109375" style="37" customWidth="1"/>
    <col min="2001" max="2001" width="16" style="37" customWidth="1"/>
    <col min="2002" max="2002" width="9.7109375" style="37" customWidth="1"/>
    <col min="2003" max="2003" width="8" style="37" customWidth="1"/>
    <col min="2004" max="2004" width="13.7109375" style="37" customWidth="1"/>
    <col min="2005" max="2005" width="9.85546875" style="37" customWidth="1"/>
    <col min="2006" max="2006" width="13.7109375" style="37" customWidth="1"/>
    <col min="2007" max="2007" width="10.28515625" style="37" customWidth="1"/>
    <col min="2008" max="2008" width="12.7109375" style="37" customWidth="1"/>
    <col min="2009" max="2009" width="16" style="37" customWidth="1"/>
    <col min="2010" max="2010" width="9.7109375" style="37" customWidth="1"/>
    <col min="2011" max="2011" width="8" style="37" customWidth="1"/>
    <col min="2012" max="2012" width="13.7109375" style="37" customWidth="1"/>
    <col min="2013" max="2013" width="9.85546875" style="37" customWidth="1"/>
    <col min="2014" max="2014" width="13.7109375" style="37" customWidth="1"/>
    <col min="2015" max="2015" width="10.28515625" style="37" customWidth="1"/>
    <col min="2016" max="2016" width="12.7109375" style="37" customWidth="1"/>
    <col min="2017" max="2017" width="16" style="37" customWidth="1"/>
    <col min="2018" max="2018" width="9.7109375" style="37" customWidth="1"/>
    <col min="2019" max="2019" width="8" style="37" customWidth="1"/>
    <col min="2020" max="2020" width="13.7109375" style="37" customWidth="1"/>
    <col min="2021" max="2021" width="9.85546875" style="37" customWidth="1"/>
    <col min="2022" max="2022" width="13.7109375" style="37" customWidth="1"/>
    <col min="2023" max="2023" width="10.28515625" style="37" customWidth="1"/>
    <col min="2024" max="2024" width="12.7109375" style="37" customWidth="1"/>
    <col min="2025" max="2025" width="16" style="37" customWidth="1"/>
    <col min="2026" max="2026" width="9.7109375" style="37" customWidth="1"/>
    <col min="2027" max="2027" width="8" style="37" customWidth="1"/>
    <col min="2028" max="2028" width="13.7109375" style="37" customWidth="1"/>
    <col min="2029" max="2029" width="9.85546875" style="37" customWidth="1"/>
    <col min="2030" max="2030" width="13.7109375" style="37" customWidth="1"/>
    <col min="2031" max="2031" width="10.28515625" style="37" customWidth="1"/>
    <col min="2032" max="2032" width="12.7109375" style="37" customWidth="1"/>
    <col min="2033" max="2033" width="16" style="37" customWidth="1"/>
    <col min="2034" max="2034" width="9.7109375" style="37" customWidth="1"/>
    <col min="2035" max="2035" width="8" style="37" customWidth="1"/>
    <col min="2036" max="2036" width="13.7109375" style="37" customWidth="1"/>
    <col min="2037" max="2037" width="9.85546875" style="37" customWidth="1"/>
    <col min="2038" max="2038" width="13.7109375" style="37" customWidth="1"/>
    <col min="2039" max="2039" width="10.28515625" style="37" customWidth="1"/>
    <col min="2040" max="2040" width="12.7109375" style="37" customWidth="1"/>
    <col min="2041" max="2041" width="16" style="37" customWidth="1"/>
    <col min="2042" max="2042" width="9.7109375" style="37" customWidth="1"/>
    <col min="2043" max="2043" width="8" style="37" customWidth="1"/>
    <col min="2044" max="2044" width="13.7109375" style="37" customWidth="1"/>
    <col min="2045" max="2045" width="9.85546875" style="37" customWidth="1"/>
    <col min="2046" max="2046" width="13.7109375" style="37" customWidth="1"/>
    <col min="2047" max="2047" width="10.28515625" style="37" customWidth="1"/>
    <col min="2048" max="2048" width="12.7109375" style="37" customWidth="1"/>
    <col min="2049" max="2049" width="16" style="37" customWidth="1"/>
    <col min="2050" max="2050" width="9.7109375" style="37" customWidth="1"/>
    <col min="2051" max="2051" width="8" style="37" customWidth="1"/>
    <col min="2052" max="2052" width="13.7109375" style="37" customWidth="1"/>
    <col min="2053" max="2053" width="9.85546875" style="37" customWidth="1"/>
    <col min="2054" max="2054" width="13.7109375" style="37" customWidth="1"/>
    <col min="2055" max="2055" width="10.28515625" style="37" customWidth="1"/>
    <col min="2056" max="2056" width="12.7109375" style="37" customWidth="1"/>
    <col min="2057" max="2057" width="16" style="37" customWidth="1"/>
    <col min="2058" max="2058" width="9.7109375" style="37" customWidth="1"/>
    <col min="2059" max="2059" width="8" style="37" customWidth="1"/>
    <col min="2060" max="2060" width="13.7109375" style="37" customWidth="1"/>
    <col min="2061" max="2061" width="9.85546875" style="37" customWidth="1"/>
    <col min="2062" max="2062" width="13.7109375" style="37" customWidth="1"/>
    <col min="2063" max="2063" width="10.28515625" style="37" customWidth="1"/>
    <col min="2064" max="2064" width="12.7109375" style="37" customWidth="1"/>
    <col min="2065" max="2065" width="16" style="37" customWidth="1"/>
    <col min="2066" max="2066" width="9.7109375" style="37" customWidth="1"/>
    <col min="2067" max="2067" width="8" style="37" customWidth="1"/>
    <col min="2068" max="2068" width="13.7109375" style="37" customWidth="1"/>
    <col min="2069" max="2069" width="9.85546875" style="37" customWidth="1"/>
    <col min="2070" max="2070" width="13.7109375" style="37" customWidth="1"/>
    <col min="2071" max="2071" width="10.28515625" style="37" customWidth="1"/>
    <col min="2072" max="2072" width="12.7109375" style="37" customWidth="1"/>
    <col min="2073" max="2073" width="16" style="37" customWidth="1"/>
    <col min="2074" max="2074" width="9.7109375" style="37" customWidth="1"/>
    <col min="2075" max="2075" width="8" style="37" customWidth="1"/>
    <col min="2076" max="2076" width="13.7109375" style="37" customWidth="1"/>
    <col min="2077" max="2077" width="9.85546875" style="37" customWidth="1"/>
    <col min="2078" max="2078" width="13.7109375" style="37" customWidth="1"/>
    <col min="2079" max="2079" width="10.28515625" style="37" customWidth="1"/>
    <col min="2080" max="2255" width="11.42578125" style="37"/>
    <col min="2256" max="2256" width="12.7109375" style="37" customWidth="1"/>
    <col min="2257" max="2257" width="16" style="37" customWidth="1"/>
    <col min="2258" max="2258" width="9.7109375" style="37" customWidth="1"/>
    <col min="2259" max="2259" width="8" style="37" customWidth="1"/>
    <col min="2260" max="2260" width="13.7109375" style="37" customWidth="1"/>
    <col min="2261" max="2261" width="9.85546875" style="37" customWidth="1"/>
    <col min="2262" max="2262" width="13.7109375" style="37" customWidth="1"/>
    <col min="2263" max="2263" width="10.28515625" style="37" customWidth="1"/>
    <col min="2264" max="2264" width="12.7109375" style="37" customWidth="1"/>
    <col min="2265" max="2265" width="16" style="37" customWidth="1"/>
    <col min="2266" max="2266" width="9.7109375" style="37" customWidth="1"/>
    <col min="2267" max="2267" width="8" style="37" customWidth="1"/>
    <col min="2268" max="2268" width="13.7109375" style="37" customWidth="1"/>
    <col min="2269" max="2269" width="9.85546875" style="37" customWidth="1"/>
    <col min="2270" max="2270" width="13.7109375" style="37" customWidth="1"/>
    <col min="2271" max="2271" width="10.28515625" style="37" customWidth="1"/>
    <col min="2272" max="2272" width="12.7109375" style="37" customWidth="1"/>
    <col min="2273" max="2273" width="16" style="37" customWidth="1"/>
    <col min="2274" max="2274" width="9.7109375" style="37" customWidth="1"/>
    <col min="2275" max="2275" width="8" style="37" customWidth="1"/>
    <col min="2276" max="2276" width="13.7109375" style="37" customWidth="1"/>
    <col min="2277" max="2277" width="9.85546875" style="37" customWidth="1"/>
    <col min="2278" max="2278" width="13.7109375" style="37" customWidth="1"/>
    <col min="2279" max="2279" width="10.28515625" style="37" customWidth="1"/>
    <col min="2280" max="2280" width="12.7109375" style="37" customWidth="1"/>
    <col min="2281" max="2281" width="16" style="37" customWidth="1"/>
    <col min="2282" max="2282" width="9.7109375" style="37" customWidth="1"/>
    <col min="2283" max="2283" width="8" style="37" customWidth="1"/>
    <col min="2284" max="2284" width="13.7109375" style="37" customWidth="1"/>
    <col min="2285" max="2285" width="9.85546875" style="37" customWidth="1"/>
    <col min="2286" max="2286" width="13.7109375" style="37" customWidth="1"/>
    <col min="2287" max="2287" width="10.28515625" style="37" customWidth="1"/>
    <col min="2288" max="2288" width="12.7109375" style="37" customWidth="1"/>
    <col min="2289" max="2289" width="16" style="37" customWidth="1"/>
    <col min="2290" max="2290" width="9.7109375" style="37" customWidth="1"/>
    <col min="2291" max="2291" width="8" style="37" customWidth="1"/>
    <col min="2292" max="2292" width="13.7109375" style="37" customWidth="1"/>
    <col min="2293" max="2293" width="9.85546875" style="37" customWidth="1"/>
    <col min="2294" max="2294" width="13.7109375" style="37" customWidth="1"/>
    <col min="2295" max="2295" width="10.28515625" style="37" customWidth="1"/>
    <col min="2296" max="2296" width="12.7109375" style="37" customWidth="1"/>
    <col min="2297" max="2297" width="16" style="37" customWidth="1"/>
    <col min="2298" max="2298" width="9.7109375" style="37" customWidth="1"/>
    <col min="2299" max="2299" width="8" style="37" customWidth="1"/>
    <col min="2300" max="2300" width="13.7109375" style="37" customWidth="1"/>
    <col min="2301" max="2301" width="9.85546875" style="37" customWidth="1"/>
    <col min="2302" max="2302" width="13.7109375" style="37" customWidth="1"/>
    <col min="2303" max="2303" width="10.28515625" style="37" customWidth="1"/>
    <col min="2304" max="2304" width="12.7109375" style="37" customWidth="1"/>
    <col min="2305" max="2305" width="16" style="37" customWidth="1"/>
    <col min="2306" max="2306" width="9.7109375" style="37" customWidth="1"/>
    <col min="2307" max="2307" width="8" style="37" customWidth="1"/>
    <col min="2308" max="2308" width="13.7109375" style="37" customWidth="1"/>
    <col min="2309" max="2309" width="9.85546875" style="37" customWidth="1"/>
    <col min="2310" max="2310" width="13.7109375" style="37" customWidth="1"/>
    <col min="2311" max="2311" width="10.28515625" style="37" customWidth="1"/>
    <col min="2312" max="2312" width="12.7109375" style="37" customWidth="1"/>
    <col min="2313" max="2313" width="16" style="37" customWidth="1"/>
    <col min="2314" max="2314" width="9.7109375" style="37" customWidth="1"/>
    <col min="2315" max="2315" width="8" style="37" customWidth="1"/>
    <col min="2316" max="2316" width="13.7109375" style="37" customWidth="1"/>
    <col min="2317" max="2317" width="9.85546875" style="37" customWidth="1"/>
    <col min="2318" max="2318" width="13.7109375" style="37" customWidth="1"/>
    <col min="2319" max="2319" width="10.28515625" style="37" customWidth="1"/>
    <col min="2320" max="2320" width="12.7109375" style="37" customWidth="1"/>
    <col min="2321" max="2321" width="16" style="37" customWidth="1"/>
    <col min="2322" max="2322" width="9.7109375" style="37" customWidth="1"/>
    <col min="2323" max="2323" width="8" style="37" customWidth="1"/>
    <col min="2324" max="2324" width="13.7109375" style="37" customWidth="1"/>
    <col min="2325" max="2325" width="9.85546875" style="37" customWidth="1"/>
    <col min="2326" max="2326" width="13.7109375" style="37" customWidth="1"/>
    <col min="2327" max="2327" width="10.28515625" style="37" customWidth="1"/>
    <col min="2328" max="2328" width="12.7109375" style="37" customWidth="1"/>
    <col min="2329" max="2329" width="16" style="37" customWidth="1"/>
    <col min="2330" max="2330" width="9.7109375" style="37" customWidth="1"/>
    <col min="2331" max="2331" width="8" style="37" customWidth="1"/>
    <col min="2332" max="2332" width="13.7109375" style="37" customWidth="1"/>
    <col min="2333" max="2333" width="9.85546875" style="37" customWidth="1"/>
    <col min="2334" max="2334" width="13.7109375" style="37" customWidth="1"/>
    <col min="2335" max="2335" width="10.28515625" style="37" customWidth="1"/>
    <col min="2336" max="2511" width="11.42578125" style="37"/>
    <col min="2512" max="2512" width="12.7109375" style="37" customWidth="1"/>
    <col min="2513" max="2513" width="16" style="37" customWidth="1"/>
    <col min="2514" max="2514" width="9.7109375" style="37" customWidth="1"/>
    <col min="2515" max="2515" width="8" style="37" customWidth="1"/>
    <col min="2516" max="2516" width="13.7109375" style="37" customWidth="1"/>
    <col min="2517" max="2517" width="9.85546875" style="37" customWidth="1"/>
    <col min="2518" max="2518" width="13.7109375" style="37" customWidth="1"/>
    <col min="2519" max="2519" width="10.28515625" style="37" customWidth="1"/>
    <col min="2520" max="2520" width="12.7109375" style="37" customWidth="1"/>
    <col min="2521" max="2521" width="16" style="37" customWidth="1"/>
    <col min="2522" max="2522" width="9.7109375" style="37" customWidth="1"/>
    <col min="2523" max="2523" width="8" style="37" customWidth="1"/>
    <col min="2524" max="2524" width="13.7109375" style="37" customWidth="1"/>
    <col min="2525" max="2525" width="9.85546875" style="37" customWidth="1"/>
    <col min="2526" max="2526" width="13.7109375" style="37" customWidth="1"/>
    <col min="2527" max="2527" width="10.28515625" style="37" customWidth="1"/>
    <col min="2528" max="2528" width="12.7109375" style="37" customWidth="1"/>
    <col min="2529" max="2529" width="16" style="37" customWidth="1"/>
    <col min="2530" max="2530" width="9.7109375" style="37" customWidth="1"/>
    <col min="2531" max="2531" width="8" style="37" customWidth="1"/>
    <col min="2532" max="2532" width="13.7109375" style="37" customWidth="1"/>
    <col min="2533" max="2533" width="9.85546875" style="37" customWidth="1"/>
    <col min="2534" max="2534" width="13.7109375" style="37" customWidth="1"/>
    <col min="2535" max="2535" width="10.28515625" style="37" customWidth="1"/>
    <col min="2536" max="2536" width="12.7109375" style="37" customWidth="1"/>
    <col min="2537" max="2537" width="16" style="37" customWidth="1"/>
    <col min="2538" max="2538" width="9.7109375" style="37" customWidth="1"/>
    <col min="2539" max="2539" width="8" style="37" customWidth="1"/>
    <col min="2540" max="2540" width="13.7109375" style="37" customWidth="1"/>
    <col min="2541" max="2541" width="9.85546875" style="37" customWidth="1"/>
    <col min="2542" max="2542" width="13.7109375" style="37" customWidth="1"/>
    <col min="2543" max="2543" width="10.28515625" style="37" customWidth="1"/>
    <col min="2544" max="2544" width="12.7109375" style="37" customWidth="1"/>
    <col min="2545" max="2545" width="16" style="37" customWidth="1"/>
    <col min="2546" max="2546" width="9.7109375" style="37" customWidth="1"/>
    <col min="2547" max="2547" width="8" style="37" customWidth="1"/>
    <col min="2548" max="2548" width="13.7109375" style="37" customWidth="1"/>
    <col min="2549" max="2549" width="9.85546875" style="37" customWidth="1"/>
    <col min="2550" max="2550" width="13.7109375" style="37" customWidth="1"/>
    <col min="2551" max="2551" width="10.28515625" style="37" customWidth="1"/>
    <col min="2552" max="2552" width="12.7109375" style="37" customWidth="1"/>
    <col min="2553" max="2553" width="16" style="37" customWidth="1"/>
    <col min="2554" max="2554" width="9.7109375" style="37" customWidth="1"/>
    <col min="2555" max="2555" width="8" style="37" customWidth="1"/>
    <col min="2556" max="2556" width="13.7109375" style="37" customWidth="1"/>
    <col min="2557" max="2557" width="9.85546875" style="37" customWidth="1"/>
    <col min="2558" max="2558" width="13.7109375" style="37" customWidth="1"/>
    <col min="2559" max="2559" width="10.28515625" style="37" customWidth="1"/>
    <col min="2560" max="2560" width="12.7109375" style="37" customWidth="1"/>
    <col min="2561" max="2561" width="16" style="37" customWidth="1"/>
    <col min="2562" max="2562" width="9.7109375" style="37" customWidth="1"/>
    <col min="2563" max="2563" width="8" style="37" customWidth="1"/>
    <col min="2564" max="2564" width="13.7109375" style="37" customWidth="1"/>
    <col min="2565" max="2565" width="9.85546875" style="37" customWidth="1"/>
    <col min="2566" max="2566" width="13.7109375" style="37" customWidth="1"/>
    <col min="2567" max="2567" width="10.28515625" style="37" customWidth="1"/>
    <col min="2568" max="2568" width="12.7109375" style="37" customWidth="1"/>
    <col min="2569" max="2569" width="16" style="37" customWidth="1"/>
    <col min="2570" max="2570" width="9.7109375" style="37" customWidth="1"/>
    <col min="2571" max="2571" width="8" style="37" customWidth="1"/>
    <col min="2572" max="2572" width="13.7109375" style="37" customWidth="1"/>
    <col min="2573" max="2573" width="9.85546875" style="37" customWidth="1"/>
    <col min="2574" max="2574" width="13.7109375" style="37" customWidth="1"/>
    <col min="2575" max="2575" width="10.28515625" style="37" customWidth="1"/>
    <col min="2576" max="2576" width="12.7109375" style="37" customWidth="1"/>
    <col min="2577" max="2577" width="16" style="37" customWidth="1"/>
    <col min="2578" max="2578" width="9.7109375" style="37" customWidth="1"/>
    <col min="2579" max="2579" width="8" style="37" customWidth="1"/>
    <col min="2580" max="2580" width="13.7109375" style="37" customWidth="1"/>
    <col min="2581" max="2581" width="9.85546875" style="37" customWidth="1"/>
    <col min="2582" max="2582" width="13.7109375" style="37" customWidth="1"/>
    <col min="2583" max="2583" width="10.28515625" style="37" customWidth="1"/>
    <col min="2584" max="2584" width="12.7109375" style="37" customWidth="1"/>
    <col min="2585" max="2585" width="16" style="37" customWidth="1"/>
    <col min="2586" max="2586" width="9.7109375" style="37" customWidth="1"/>
    <col min="2587" max="2587" width="8" style="37" customWidth="1"/>
    <col min="2588" max="2588" width="13.7109375" style="37" customWidth="1"/>
    <col min="2589" max="2589" width="9.85546875" style="37" customWidth="1"/>
    <col min="2590" max="2590" width="13.7109375" style="37" customWidth="1"/>
    <col min="2591" max="2591" width="10.28515625" style="37" customWidth="1"/>
    <col min="2592" max="2767" width="11.42578125" style="37"/>
    <col min="2768" max="2768" width="12.7109375" style="37" customWidth="1"/>
    <col min="2769" max="2769" width="16" style="37" customWidth="1"/>
    <col min="2770" max="2770" width="9.7109375" style="37" customWidth="1"/>
    <col min="2771" max="2771" width="8" style="37" customWidth="1"/>
    <col min="2772" max="2772" width="13.7109375" style="37" customWidth="1"/>
    <col min="2773" max="2773" width="9.85546875" style="37" customWidth="1"/>
    <col min="2774" max="2774" width="13.7109375" style="37" customWidth="1"/>
    <col min="2775" max="2775" width="10.28515625" style="37" customWidth="1"/>
    <col min="2776" max="2776" width="12.7109375" style="37" customWidth="1"/>
    <col min="2777" max="2777" width="16" style="37" customWidth="1"/>
    <col min="2778" max="2778" width="9.7109375" style="37" customWidth="1"/>
    <col min="2779" max="2779" width="8" style="37" customWidth="1"/>
    <col min="2780" max="2780" width="13.7109375" style="37" customWidth="1"/>
    <col min="2781" max="2781" width="9.85546875" style="37" customWidth="1"/>
    <col min="2782" max="2782" width="13.7109375" style="37" customWidth="1"/>
    <col min="2783" max="2783" width="10.28515625" style="37" customWidth="1"/>
    <col min="2784" max="2784" width="12.7109375" style="37" customWidth="1"/>
    <col min="2785" max="2785" width="16" style="37" customWidth="1"/>
    <col min="2786" max="2786" width="9.7109375" style="37" customWidth="1"/>
    <col min="2787" max="2787" width="8" style="37" customWidth="1"/>
    <col min="2788" max="2788" width="13.7109375" style="37" customWidth="1"/>
    <col min="2789" max="2789" width="9.85546875" style="37" customWidth="1"/>
    <col min="2790" max="2790" width="13.7109375" style="37" customWidth="1"/>
    <col min="2791" max="2791" width="10.28515625" style="37" customWidth="1"/>
    <col min="2792" max="2792" width="12.7109375" style="37" customWidth="1"/>
    <col min="2793" max="2793" width="16" style="37" customWidth="1"/>
    <col min="2794" max="2794" width="9.7109375" style="37" customWidth="1"/>
    <col min="2795" max="2795" width="8" style="37" customWidth="1"/>
    <col min="2796" max="2796" width="13.7109375" style="37" customWidth="1"/>
    <col min="2797" max="2797" width="9.85546875" style="37" customWidth="1"/>
    <col min="2798" max="2798" width="13.7109375" style="37" customWidth="1"/>
    <col min="2799" max="2799" width="10.28515625" style="37" customWidth="1"/>
    <col min="2800" max="2800" width="12.7109375" style="37" customWidth="1"/>
    <col min="2801" max="2801" width="16" style="37" customWidth="1"/>
    <col min="2802" max="2802" width="9.7109375" style="37" customWidth="1"/>
    <col min="2803" max="2803" width="8" style="37" customWidth="1"/>
    <col min="2804" max="2804" width="13.7109375" style="37" customWidth="1"/>
    <col min="2805" max="2805" width="9.85546875" style="37" customWidth="1"/>
    <col min="2806" max="2806" width="13.7109375" style="37" customWidth="1"/>
    <col min="2807" max="2807" width="10.28515625" style="37" customWidth="1"/>
    <col min="2808" max="2808" width="12.7109375" style="37" customWidth="1"/>
    <col min="2809" max="2809" width="16" style="37" customWidth="1"/>
    <col min="2810" max="2810" width="9.7109375" style="37" customWidth="1"/>
    <col min="2811" max="2811" width="8" style="37" customWidth="1"/>
    <col min="2812" max="2812" width="13.7109375" style="37" customWidth="1"/>
    <col min="2813" max="2813" width="9.85546875" style="37" customWidth="1"/>
    <col min="2814" max="2814" width="13.7109375" style="37" customWidth="1"/>
    <col min="2815" max="2815" width="10.28515625" style="37" customWidth="1"/>
    <col min="2816" max="2816" width="12.7109375" style="37" customWidth="1"/>
    <col min="2817" max="2817" width="16" style="37" customWidth="1"/>
    <col min="2818" max="2818" width="9.7109375" style="37" customWidth="1"/>
    <col min="2819" max="2819" width="8" style="37" customWidth="1"/>
    <col min="2820" max="2820" width="13.7109375" style="37" customWidth="1"/>
    <col min="2821" max="2821" width="9.85546875" style="37" customWidth="1"/>
    <col min="2822" max="2822" width="13.7109375" style="37" customWidth="1"/>
    <col min="2823" max="2823" width="10.28515625" style="37" customWidth="1"/>
    <col min="2824" max="2824" width="12.7109375" style="37" customWidth="1"/>
    <col min="2825" max="2825" width="16" style="37" customWidth="1"/>
    <col min="2826" max="2826" width="9.7109375" style="37" customWidth="1"/>
    <col min="2827" max="2827" width="8" style="37" customWidth="1"/>
    <col min="2828" max="2828" width="13.7109375" style="37" customWidth="1"/>
    <col min="2829" max="2829" width="9.85546875" style="37" customWidth="1"/>
    <col min="2830" max="2830" width="13.7109375" style="37" customWidth="1"/>
    <col min="2831" max="2831" width="10.28515625" style="37" customWidth="1"/>
    <col min="2832" max="2832" width="12.7109375" style="37" customWidth="1"/>
    <col min="2833" max="2833" width="16" style="37" customWidth="1"/>
    <col min="2834" max="2834" width="9.7109375" style="37" customWidth="1"/>
    <col min="2835" max="2835" width="8" style="37" customWidth="1"/>
    <col min="2836" max="2836" width="13.7109375" style="37" customWidth="1"/>
    <col min="2837" max="2837" width="9.85546875" style="37" customWidth="1"/>
    <col min="2838" max="2838" width="13.7109375" style="37" customWidth="1"/>
    <col min="2839" max="2839" width="10.28515625" style="37" customWidth="1"/>
    <col min="2840" max="2840" width="12.7109375" style="37" customWidth="1"/>
    <col min="2841" max="2841" width="16" style="37" customWidth="1"/>
    <col min="2842" max="2842" width="9.7109375" style="37" customWidth="1"/>
    <col min="2843" max="2843" width="8" style="37" customWidth="1"/>
    <col min="2844" max="2844" width="13.7109375" style="37" customWidth="1"/>
    <col min="2845" max="2845" width="9.85546875" style="37" customWidth="1"/>
    <col min="2846" max="2846" width="13.7109375" style="37" customWidth="1"/>
    <col min="2847" max="2847" width="10.28515625" style="37" customWidth="1"/>
    <col min="2848" max="3023" width="11.42578125" style="37"/>
    <col min="3024" max="3024" width="12.7109375" style="37" customWidth="1"/>
    <col min="3025" max="3025" width="16" style="37" customWidth="1"/>
    <col min="3026" max="3026" width="9.7109375" style="37" customWidth="1"/>
    <col min="3027" max="3027" width="8" style="37" customWidth="1"/>
    <col min="3028" max="3028" width="13.7109375" style="37" customWidth="1"/>
    <col min="3029" max="3029" width="9.85546875" style="37" customWidth="1"/>
    <col min="3030" max="3030" width="13.7109375" style="37" customWidth="1"/>
    <col min="3031" max="3031" width="10.28515625" style="37" customWidth="1"/>
    <col min="3032" max="3032" width="12.7109375" style="37" customWidth="1"/>
    <col min="3033" max="3033" width="16" style="37" customWidth="1"/>
    <col min="3034" max="3034" width="9.7109375" style="37" customWidth="1"/>
    <col min="3035" max="3035" width="8" style="37" customWidth="1"/>
    <col min="3036" max="3036" width="13.7109375" style="37" customWidth="1"/>
    <col min="3037" max="3037" width="9.85546875" style="37" customWidth="1"/>
    <col min="3038" max="3038" width="13.7109375" style="37" customWidth="1"/>
    <col min="3039" max="3039" width="10.28515625" style="37" customWidth="1"/>
    <col min="3040" max="3040" width="12.7109375" style="37" customWidth="1"/>
    <col min="3041" max="3041" width="16" style="37" customWidth="1"/>
    <col min="3042" max="3042" width="9.7109375" style="37" customWidth="1"/>
    <col min="3043" max="3043" width="8" style="37" customWidth="1"/>
    <col min="3044" max="3044" width="13.7109375" style="37" customWidth="1"/>
    <col min="3045" max="3045" width="9.85546875" style="37" customWidth="1"/>
    <col min="3046" max="3046" width="13.7109375" style="37" customWidth="1"/>
    <col min="3047" max="3047" width="10.28515625" style="37" customWidth="1"/>
    <col min="3048" max="3048" width="12.7109375" style="37" customWidth="1"/>
    <col min="3049" max="3049" width="16" style="37" customWidth="1"/>
    <col min="3050" max="3050" width="9.7109375" style="37" customWidth="1"/>
    <col min="3051" max="3051" width="8" style="37" customWidth="1"/>
    <col min="3052" max="3052" width="13.7109375" style="37" customWidth="1"/>
    <col min="3053" max="3053" width="9.85546875" style="37" customWidth="1"/>
    <col min="3054" max="3054" width="13.7109375" style="37" customWidth="1"/>
    <col min="3055" max="3055" width="10.28515625" style="37" customWidth="1"/>
    <col min="3056" max="3056" width="12.7109375" style="37" customWidth="1"/>
    <col min="3057" max="3057" width="16" style="37" customWidth="1"/>
    <col min="3058" max="3058" width="9.7109375" style="37" customWidth="1"/>
    <col min="3059" max="3059" width="8" style="37" customWidth="1"/>
    <col min="3060" max="3060" width="13.7109375" style="37" customWidth="1"/>
    <col min="3061" max="3061" width="9.85546875" style="37" customWidth="1"/>
    <col min="3062" max="3062" width="13.7109375" style="37" customWidth="1"/>
    <col min="3063" max="3063" width="10.28515625" style="37" customWidth="1"/>
    <col min="3064" max="3064" width="12.7109375" style="37" customWidth="1"/>
    <col min="3065" max="3065" width="16" style="37" customWidth="1"/>
    <col min="3066" max="3066" width="9.7109375" style="37" customWidth="1"/>
    <col min="3067" max="3067" width="8" style="37" customWidth="1"/>
    <col min="3068" max="3068" width="13.7109375" style="37" customWidth="1"/>
    <col min="3069" max="3069" width="9.85546875" style="37" customWidth="1"/>
    <col min="3070" max="3070" width="13.7109375" style="37" customWidth="1"/>
    <col min="3071" max="3071" width="10.28515625" style="37" customWidth="1"/>
    <col min="3072" max="3072" width="12.7109375" style="37" customWidth="1"/>
    <col min="3073" max="3073" width="16" style="37" customWidth="1"/>
    <col min="3074" max="3074" width="9.7109375" style="37" customWidth="1"/>
    <col min="3075" max="3075" width="8" style="37" customWidth="1"/>
    <col min="3076" max="3076" width="13.7109375" style="37" customWidth="1"/>
    <col min="3077" max="3077" width="9.85546875" style="37" customWidth="1"/>
    <col min="3078" max="3078" width="13.7109375" style="37" customWidth="1"/>
    <col min="3079" max="3079" width="10.28515625" style="37" customWidth="1"/>
    <col min="3080" max="3080" width="12.7109375" style="37" customWidth="1"/>
    <col min="3081" max="3081" width="16" style="37" customWidth="1"/>
    <col min="3082" max="3082" width="9.7109375" style="37" customWidth="1"/>
    <col min="3083" max="3083" width="8" style="37" customWidth="1"/>
    <col min="3084" max="3084" width="13.7109375" style="37" customWidth="1"/>
    <col min="3085" max="3085" width="9.85546875" style="37" customWidth="1"/>
    <col min="3086" max="3086" width="13.7109375" style="37" customWidth="1"/>
    <col min="3087" max="3087" width="10.28515625" style="37" customWidth="1"/>
    <col min="3088" max="3088" width="12.7109375" style="37" customWidth="1"/>
    <col min="3089" max="3089" width="16" style="37" customWidth="1"/>
    <col min="3090" max="3090" width="9.7109375" style="37" customWidth="1"/>
    <col min="3091" max="3091" width="8" style="37" customWidth="1"/>
    <col min="3092" max="3092" width="13.7109375" style="37" customWidth="1"/>
    <col min="3093" max="3093" width="9.85546875" style="37" customWidth="1"/>
    <col min="3094" max="3094" width="13.7109375" style="37" customWidth="1"/>
    <col min="3095" max="3095" width="10.28515625" style="37" customWidth="1"/>
    <col min="3096" max="3096" width="12.7109375" style="37" customWidth="1"/>
    <col min="3097" max="3097" width="16" style="37" customWidth="1"/>
    <col min="3098" max="3098" width="9.7109375" style="37" customWidth="1"/>
    <col min="3099" max="3099" width="8" style="37" customWidth="1"/>
    <col min="3100" max="3100" width="13.7109375" style="37" customWidth="1"/>
    <col min="3101" max="3101" width="9.85546875" style="37" customWidth="1"/>
    <col min="3102" max="3102" width="13.7109375" style="37" customWidth="1"/>
    <col min="3103" max="3103" width="10.28515625" style="37" customWidth="1"/>
    <col min="3104" max="3279" width="11.42578125" style="37"/>
    <col min="3280" max="3280" width="12.7109375" style="37" customWidth="1"/>
    <col min="3281" max="3281" width="16" style="37" customWidth="1"/>
    <col min="3282" max="3282" width="9.7109375" style="37" customWidth="1"/>
    <col min="3283" max="3283" width="8" style="37" customWidth="1"/>
    <col min="3284" max="3284" width="13.7109375" style="37" customWidth="1"/>
    <col min="3285" max="3285" width="9.85546875" style="37" customWidth="1"/>
    <col min="3286" max="3286" width="13.7109375" style="37" customWidth="1"/>
    <col min="3287" max="3287" width="10.28515625" style="37" customWidth="1"/>
    <col min="3288" max="3288" width="12.7109375" style="37" customWidth="1"/>
    <col min="3289" max="3289" width="16" style="37" customWidth="1"/>
    <col min="3290" max="3290" width="9.7109375" style="37" customWidth="1"/>
    <col min="3291" max="3291" width="8" style="37" customWidth="1"/>
    <col min="3292" max="3292" width="13.7109375" style="37" customWidth="1"/>
    <col min="3293" max="3293" width="9.85546875" style="37" customWidth="1"/>
    <col min="3294" max="3294" width="13.7109375" style="37" customWidth="1"/>
    <col min="3295" max="3295" width="10.28515625" style="37" customWidth="1"/>
    <col min="3296" max="3296" width="12.7109375" style="37" customWidth="1"/>
    <col min="3297" max="3297" width="16" style="37" customWidth="1"/>
    <col min="3298" max="3298" width="9.7109375" style="37" customWidth="1"/>
    <col min="3299" max="3299" width="8" style="37" customWidth="1"/>
    <col min="3300" max="3300" width="13.7109375" style="37" customWidth="1"/>
    <col min="3301" max="3301" width="9.85546875" style="37" customWidth="1"/>
    <col min="3302" max="3302" width="13.7109375" style="37" customWidth="1"/>
    <col min="3303" max="3303" width="10.28515625" style="37" customWidth="1"/>
    <col min="3304" max="3304" width="12.7109375" style="37" customWidth="1"/>
    <col min="3305" max="3305" width="16" style="37" customWidth="1"/>
    <col min="3306" max="3306" width="9.7109375" style="37" customWidth="1"/>
    <col min="3307" max="3307" width="8" style="37" customWidth="1"/>
    <col min="3308" max="3308" width="13.7109375" style="37" customWidth="1"/>
    <col min="3309" max="3309" width="9.85546875" style="37" customWidth="1"/>
    <col min="3310" max="3310" width="13.7109375" style="37" customWidth="1"/>
    <col min="3311" max="3311" width="10.28515625" style="37" customWidth="1"/>
    <col min="3312" max="3312" width="12.7109375" style="37" customWidth="1"/>
    <col min="3313" max="3313" width="16" style="37" customWidth="1"/>
    <col min="3314" max="3314" width="9.7109375" style="37" customWidth="1"/>
    <col min="3315" max="3315" width="8" style="37" customWidth="1"/>
    <col min="3316" max="3316" width="13.7109375" style="37" customWidth="1"/>
    <col min="3317" max="3317" width="9.85546875" style="37" customWidth="1"/>
    <col min="3318" max="3318" width="13.7109375" style="37" customWidth="1"/>
    <col min="3319" max="3319" width="10.28515625" style="37" customWidth="1"/>
    <col min="3320" max="3320" width="12.7109375" style="37" customWidth="1"/>
    <col min="3321" max="3321" width="16" style="37" customWidth="1"/>
    <col min="3322" max="3322" width="9.7109375" style="37" customWidth="1"/>
    <col min="3323" max="3323" width="8" style="37" customWidth="1"/>
    <col min="3324" max="3324" width="13.7109375" style="37" customWidth="1"/>
    <col min="3325" max="3325" width="9.85546875" style="37" customWidth="1"/>
    <col min="3326" max="3326" width="13.7109375" style="37" customWidth="1"/>
    <col min="3327" max="3327" width="10.28515625" style="37" customWidth="1"/>
    <col min="3328" max="3328" width="12.7109375" style="37" customWidth="1"/>
    <col min="3329" max="3329" width="16" style="37" customWidth="1"/>
    <col min="3330" max="3330" width="9.7109375" style="37" customWidth="1"/>
    <col min="3331" max="3331" width="8" style="37" customWidth="1"/>
    <col min="3332" max="3332" width="13.7109375" style="37" customWidth="1"/>
    <col min="3333" max="3333" width="9.85546875" style="37" customWidth="1"/>
    <col min="3334" max="3334" width="13.7109375" style="37" customWidth="1"/>
    <col min="3335" max="3335" width="10.28515625" style="37" customWidth="1"/>
    <col min="3336" max="3336" width="12.7109375" style="37" customWidth="1"/>
    <col min="3337" max="3337" width="16" style="37" customWidth="1"/>
    <col min="3338" max="3338" width="9.7109375" style="37" customWidth="1"/>
    <col min="3339" max="3339" width="8" style="37" customWidth="1"/>
    <col min="3340" max="3340" width="13.7109375" style="37" customWidth="1"/>
    <col min="3341" max="3341" width="9.85546875" style="37" customWidth="1"/>
    <col min="3342" max="3342" width="13.7109375" style="37" customWidth="1"/>
    <col min="3343" max="3343" width="10.28515625" style="37" customWidth="1"/>
    <col min="3344" max="3344" width="12.7109375" style="37" customWidth="1"/>
    <col min="3345" max="3345" width="16" style="37" customWidth="1"/>
    <col min="3346" max="3346" width="9.7109375" style="37" customWidth="1"/>
    <col min="3347" max="3347" width="8" style="37" customWidth="1"/>
    <col min="3348" max="3348" width="13.7109375" style="37" customWidth="1"/>
    <col min="3349" max="3349" width="9.85546875" style="37" customWidth="1"/>
    <col min="3350" max="3350" width="13.7109375" style="37" customWidth="1"/>
    <col min="3351" max="3351" width="10.28515625" style="37" customWidth="1"/>
    <col min="3352" max="3352" width="12.7109375" style="37" customWidth="1"/>
    <col min="3353" max="3353" width="16" style="37" customWidth="1"/>
    <col min="3354" max="3354" width="9.7109375" style="37" customWidth="1"/>
    <col min="3355" max="3355" width="8" style="37" customWidth="1"/>
    <col min="3356" max="3356" width="13.7109375" style="37" customWidth="1"/>
    <col min="3357" max="3357" width="9.85546875" style="37" customWidth="1"/>
    <col min="3358" max="3358" width="13.7109375" style="37" customWidth="1"/>
    <col min="3359" max="3359" width="10.28515625" style="37" customWidth="1"/>
    <col min="3360" max="3535" width="11.42578125" style="37"/>
    <col min="3536" max="3536" width="12.7109375" style="37" customWidth="1"/>
    <col min="3537" max="3537" width="16" style="37" customWidth="1"/>
    <col min="3538" max="3538" width="9.7109375" style="37" customWidth="1"/>
    <col min="3539" max="3539" width="8" style="37" customWidth="1"/>
    <col min="3540" max="3540" width="13.7109375" style="37" customWidth="1"/>
    <col min="3541" max="3541" width="9.85546875" style="37" customWidth="1"/>
    <col min="3542" max="3542" width="13.7109375" style="37" customWidth="1"/>
    <col min="3543" max="3543" width="10.28515625" style="37" customWidth="1"/>
    <col min="3544" max="3544" width="12.7109375" style="37" customWidth="1"/>
    <col min="3545" max="3545" width="16" style="37" customWidth="1"/>
    <col min="3546" max="3546" width="9.7109375" style="37" customWidth="1"/>
    <col min="3547" max="3547" width="8" style="37" customWidth="1"/>
    <col min="3548" max="3548" width="13.7109375" style="37" customWidth="1"/>
    <col min="3549" max="3549" width="9.85546875" style="37" customWidth="1"/>
    <col min="3550" max="3550" width="13.7109375" style="37" customWidth="1"/>
    <col min="3551" max="3551" width="10.28515625" style="37" customWidth="1"/>
    <col min="3552" max="3552" width="12.7109375" style="37" customWidth="1"/>
    <col min="3553" max="3553" width="16" style="37" customWidth="1"/>
    <col min="3554" max="3554" width="9.7109375" style="37" customWidth="1"/>
    <col min="3555" max="3555" width="8" style="37" customWidth="1"/>
    <col min="3556" max="3556" width="13.7109375" style="37" customWidth="1"/>
    <col min="3557" max="3557" width="9.85546875" style="37" customWidth="1"/>
    <col min="3558" max="3558" width="13.7109375" style="37" customWidth="1"/>
    <col min="3559" max="3559" width="10.28515625" style="37" customWidth="1"/>
    <col min="3560" max="3560" width="12.7109375" style="37" customWidth="1"/>
    <col min="3561" max="3561" width="16" style="37" customWidth="1"/>
    <col min="3562" max="3562" width="9.7109375" style="37" customWidth="1"/>
    <col min="3563" max="3563" width="8" style="37" customWidth="1"/>
    <col min="3564" max="3564" width="13.7109375" style="37" customWidth="1"/>
    <col min="3565" max="3565" width="9.85546875" style="37" customWidth="1"/>
    <col min="3566" max="3566" width="13.7109375" style="37" customWidth="1"/>
    <col min="3567" max="3567" width="10.28515625" style="37" customWidth="1"/>
    <col min="3568" max="3568" width="12.7109375" style="37" customWidth="1"/>
    <col min="3569" max="3569" width="16" style="37" customWidth="1"/>
    <col min="3570" max="3570" width="9.7109375" style="37" customWidth="1"/>
    <col min="3571" max="3571" width="8" style="37" customWidth="1"/>
    <col min="3572" max="3572" width="13.7109375" style="37" customWidth="1"/>
    <col min="3573" max="3573" width="9.85546875" style="37" customWidth="1"/>
    <col min="3574" max="3574" width="13.7109375" style="37" customWidth="1"/>
    <col min="3575" max="3575" width="10.28515625" style="37" customWidth="1"/>
    <col min="3576" max="3576" width="12.7109375" style="37" customWidth="1"/>
    <col min="3577" max="3577" width="16" style="37" customWidth="1"/>
    <col min="3578" max="3578" width="9.7109375" style="37" customWidth="1"/>
    <col min="3579" max="3579" width="8" style="37" customWidth="1"/>
    <col min="3580" max="3580" width="13.7109375" style="37" customWidth="1"/>
    <col min="3581" max="3581" width="9.85546875" style="37" customWidth="1"/>
    <col min="3582" max="3582" width="13.7109375" style="37" customWidth="1"/>
    <col min="3583" max="3583" width="10.28515625" style="37" customWidth="1"/>
    <col min="3584" max="3584" width="12.7109375" style="37" customWidth="1"/>
    <col min="3585" max="3585" width="16" style="37" customWidth="1"/>
    <col min="3586" max="3586" width="9.7109375" style="37" customWidth="1"/>
    <col min="3587" max="3587" width="8" style="37" customWidth="1"/>
    <col min="3588" max="3588" width="13.7109375" style="37" customWidth="1"/>
    <col min="3589" max="3589" width="9.85546875" style="37" customWidth="1"/>
    <col min="3590" max="3590" width="13.7109375" style="37" customWidth="1"/>
    <col min="3591" max="3591" width="10.28515625" style="37" customWidth="1"/>
    <col min="3592" max="3592" width="12.7109375" style="37" customWidth="1"/>
    <col min="3593" max="3593" width="16" style="37" customWidth="1"/>
    <col min="3594" max="3594" width="9.7109375" style="37" customWidth="1"/>
    <col min="3595" max="3595" width="8" style="37" customWidth="1"/>
    <col min="3596" max="3596" width="13.7109375" style="37" customWidth="1"/>
    <col min="3597" max="3597" width="9.85546875" style="37" customWidth="1"/>
    <col min="3598" max="3598" width="13.7109375" style="37" customWidth="1"/>
    <col min="3599" max="3599" width="10.28515625" style="37" customWidth="1"/>
    <col min="3600" max="3600" width="12.7109375" style="37" customWidth="1"/>
    <col min="3601" max="3601" width="16" style="37" customWidth="1"/>
    <col min="3602" max="3602" width="9.7109375" style="37" customWidth="1"/>
    <col min="3603" max="3603" width="8" style="37" customWidth="1"/>
    <col min="3604" max="3604" width="13.7109375" style="37" customWidth="1"/>
    <col min="3605" max="3605" width="9.85546875" style="37" customWidth="1"/>
    <col min="3606" max="3606" width="13.7109375" style="37" customWidth="1"/>
    <col min="3607" max="3607" width="10.28515625" style="37" customWidth="1"/>
    <col min="3608" max="3608" width="12.7109375" style="37" customWidth="1"/>
    <col min="3609" max="3609" width="16" style="37" customWidth="1"/>
    <col min="3610" max="3610" width="9.7109375" style="37" customWidth="1"/>
    <col min="3611" max="3611" width="8" style="37" customWidth="1"/>
    <col min="3612" max="3612" width="13.7109375" style="37" customWidth="1"/>
    <col min="3613" max="3613" width="9.85546875" style="37" customWidth="1"/>
    <col min="3614" max="3614" width="13.7109375" style="37" customWidth="1"/>
    <col min="3615" max="3615" width="10.28515625" style="37" customWidth="1"/>
    <col min="3616" max="3791" width="11.42578125" style="37"/>
    <col min="3792" max="3792" width="12.7109375" style="37" customWidth="1"/>
    <col min="3793" max="3793" width="16" style="37" customWidth="1"/>
    <col min="3794" max="3794" width="9.7109375" style="37" customWidth="1"/>
    <col min="3795" max="3795" width="8" style="37" customWidth="1"/>
    <col min="3796" max="3796" width="13.7109375" style="37" customWidth="1"/>
    <col min="3797" max="3797" width="9.85546875" style="37" customWidth="1"/>
    <col min="3798" max="3798" width="13.7109375" style="37" customWidth="1"/>
    <col min="3799" max="3799" width="10.28515625" style="37" customWidth="1"/>
    <col min="3800" max="3800" width="12.7109375" style="37" customWidth="1"/>
    <col min="3801" max="3801" width="16" style="37" customWidth="1"/>
    <col min="3802" max="3802" width="9.7109375" style="37" customWidth="1"/>
    <col min="3803" max="3803" width="8" style="37" customWidth="1"/>
    <col min="3804" max="3804" width="13.7109375" style="37" customWidth="1"/>
    <col min="3805" max="3805" width="9.85546875" style="37" customWidth="1"/>
    <col min="3806" max="3806" width="13.7109375" style="37" customWidth="1"/>
    <col min="3807" max="3807" width="10.28515625" style="37" customWidth="1"/>
    <col min="3808" max="3808" width="12.7109375" style="37" customWidth="1"/>
    <col min="3809" max="3809" width="16" style="37" customWidth="1"/>
    <col min="3810" max="3810" width="9.7109375" style="37" customWidth="1"/>
    <col min="3811" max="3811" width="8" style="37" customWidth="1"/>
    <col min="3812" max="3812" width="13.7109375" style="37" customWidth="1"/>
    <col min="3813" max="3813" width="9.85546875" style="37" customWidth="1"/>
    <col min="3814" max="3814" width="13.7109375" style="37" customWidth="1"/>
    <col min="3815" max="3815" width="10.28515625" style="37" customWidth="1"/>
    <col min="3816" max="3816" width="12.7109375" style="37" customWidth="1"/>
    <col min="3817" max="3817" width="16" style="37" customWidth="1"/>
    <col min="3818" max="3818" width="9.7109375" style="37" customWidth="1"/>
    <col min="3819" max="3819" width="8" style="37" customWidth="1"/>
    <col min="3820" max="3820" width="13.7109375" style="37" customWidth="1"/>
    <col min="3821" max="3821" width="9.85546875" style="37" customWidth="1"/>
    <col min="3822" max="3822" width="13.7109375" style="37" customWidth="1"/>
    <col min="3823" max="3823" width="10.28515625" style="37" customWidth="1"/>
    <col min="3824" max="3824" width="12.7109375" style="37" customWidth="1"/>
    <col min="3825" max="3825" width="16" style="37" customWidth="1"/>
    <col min="3826" max="3826" width="9.7109375" style="37" customWidth="1"/>
    <col min="3827" max="3827" width="8" style="37" customWidth="1"/>
    <col min="3828" max="3828" width="13.7109375" style="37" customWidth="1"/>
    <col min="3829" max="3829" width="9.85546875" style="37" customWidth="1"/>
    <col min="3830" max="3830" width="13.7109375" style="37" customWidth="1"/>
    <col min="3831" max="3831" width="10.28515625" style="37" customWidth="1"/>
    <col min="3832" max="3832" width="12.7109375" style="37" customWidth="1"/>
    <col min="3833" max="3833" width="16" style="37" customWidth="1"/>
    <col min="3834" max="3834" width="9.7109375" style="37" customWidth="1"/>
    <col min="3835" max="3835" width="8" style="37" customWidth="1"/>
    <col min="3836" max="3836" width="13.7109375" style="37" customWidth="1"/>
    <col min="3837" max="3837" width="9.85546875" style="37" customWidth="1"/>
    <col min="3838" max="3838" width="13.7109375" style="37" customWidth="1"/>
    <col min="3839" max="3839" width="10.28515625" style="37" customWidth="1"/>
    <col min="3840" max="3840" width="12.7109375" style="37" customWidth="1"/>
    <col min="3841" max="3841" width="16" style="37" customWidth="1"/>
    <col min="3842" max="3842" width="9.7109375" style="37" customWidth="1"/>
    <col min="3843" max="3843" width="8" style="37" customWidth="1"/>
    <col min="3844" max="3844" width="13.7109375" style="37" customWidth="1"/>
    <col min="3845" max="3845" width="9.85546875" style="37" customWidth="1"/>
    <col min="3846" max="3846" width="13.7109375" style="37" customWidth="1"/>
    <col min="3847" max="3847" width="10.28515625" style="37" customWidth="1"/>
    <col min="3848" max="3848" width="12.7109375" style="37" customWidth="1"/>
    <col min="3849" max="3849" width="16" style="37" customWidth="1"/>
    <col min="3850" max="3850" width="9.7109375" style="37" customWidth="1"/>
    <col min="3851" max="3851" width="8" style="37" customWidth="1"/>
    <col min="3852" max="3852" width="13.7109375" style="37" customWidth="1"/>
    <col min="3853" max="3853" width="9.85546875" style="37" customWidth="1"/>
    <col min="3854" max="3854" width="13.7109375" style="37" customWidth="1"/>
    <col min="3855" max="3855" width="10.28515625" style="37" customWidth="1"/>
    <col min="3856" max="3856" width="12.7109375" style="37" customWidth="1"/>
    <col min="3857" max="3857" width="16" style="37" customWidth="1"/>
    <col min="3858" max="3858" width="9.7109375" style="37" customWidth="1"/>
    <col min="3859" max="3859" width="8" style="37" customWidth="1"/>
    <col min="3860" max="3860" width="13.7109375" style="37" customWidth="1"/>
    <col min="3861" max="3861" width="9.85546875" style="37" customWidth="1"/>
    <col min="3862" max="3862" width="13.7109375" style="37" customWidth="1"/>
    <col min="3863" max="3863" width="10.28515625" style="37" customWidth="1"/>
    <col min="3864" max="3864" width="12.7109375" style="37" customWidth="1"/>
    <col min="3865" max="3865" width="16" style="37" customWidth="1"/>
    <col min="3866" max="3866" width="9.7109375" style="37" customWidth="1"/>
    <col min="3867" max="3867" width="8" style="37" customWidth="1"/>
    <col min="3868" max="3868" width="13.7109375" style="37" customWidth="1"/>
    <col min="3869" max="3869" width="9.85546875" style="37" customWidth="1"/>
    <col min="3870" max="3870" width="13.7109375" style="37" customWidth="1"/>
    <col min="3871" max="3871" width="10.28515625" style="37" customWidth="1"/>
    <col min="3872" max="4047" width="11.42578125" style="37"/>
    <col min="4048" max="4048" width="12.7109375" style="37" customWidth="1"/>
    <col min="4049" max="4049" width="16" style="37" customWidth="1"/>
    <col min="4050" max="4050" width="9.7109375" style="37" customWidth="1"/>
    <col min="4051" max="4051" width="8" style="37" customWidth="1"/>
    <col min="4052" max="4052" width="13.7109375" style="37" customWidth="1"/>
    <col min="4053" max="4053" width="9.85546875" style="37" customWidth="1"/>
    <col min="4054" max="4054" width="13.7109375" style="37" customWidth="1"/>
    <col min="4055" max="4055" width="10.28515625" style="37" customWidth="1"/>
    <col min="4056" max="4056" width="12.7109375" style="37" customWidth="1"/>
    <col min="4057" max="4057" width="16" style="37" customWidth="1"/>
    <col min="4058" max="4058" width="9.7109375" style="37" customWidth="1"/>
    <col min="4059" max="4059" width="8" style="37" customWidth="1"/>
    <col min="4060" max="4060" width="13.7109375" style="37" customWidth="1"/>
    <col min="4061" max="4061" width="9.85546875" style="37" customWidth="1"/>
    <col min="4062" max="4062" width="13.7109375" style="37" customWidth="1"/>
    <col min="4063" max="4063" width="10.28515625" style="37" customWidth="1"/>
    <col min="4064" max="4064" width="12.7109375" style="37" customWidth="1"/>
    <col min="4065" max="4065" width="16" style="37" customWidth="1"/>
    <col min="4066" max="4066" width="9.7109375" style="37" customWidth="1"/>
    <col min="4067" max="4067" width="8" style="37" customWidth="1"/>
    <col min="4068" max="4068" width="13.7109375" style="37" customWidth="1"/>
    <col min="4069" max="4069" width="9.85546875" style="37" customWidth="1"/>
    <col min="4070" max="4070" width="13.7109375" style="37" customWidth="1"/>
    <col min="4071" max="4071" width="10.28515625" style="37" customWidth="1"/>
    <col min="4072" max="4072" width="12.7109375" style="37" customWidth="1"/>
    <col min="4073" max="4073" width="16" style="37" customWidth="1"/>
    <col min="4074" max="4074" width="9.7109375" style="37" customWidth="1"/>
    <col min="4075" max="4075" width="8" style="37" customWidth="1"/>
    <col min="4076" max="4076" width="13.7109375" style="37" customWidth="1"/>
    <col min="4077" max="4077" width="9.85546875" style="37" customWidth="1"/>
    <col min="4078" max="4078" width="13.7109375" style="37" customWidth="1"/>
    <col min="4079" max="4079" width="10.28515625" style="37" customWidth="1"/>
    <col min="4080" max="4080" width="12.7109375" style="37" customWidth="1"/>
    <col min="4081" max="4081" width="16" style="37" customWidth="1"/>
    <col min="4082" max="4082" width="9.7109375" style="37" customWidth="1"/>
    <col min="4083" max="4083" width="8" style="37" customWidth="1"/>
    <col min="4084" max="4084" width="13.7109375" style="37" customWidth="1"/>
    <col min="4085" max="4085" width="9.85546875" style="37" customWidth="1"/>
    <col min="4086" max="4086" width="13.7109375" style="37" customWidth="1"/>
    <col min="4087" max="4087" width="10.28515625" style="37" customWidth="1"/>
    <col min="4088" max="4088" width="12.7109375" style="37" customWidth="1"/>
    <col min="4089" max="4089" width="16" style="37" customWidth="1"/>
    <col min="4090" max="4090" width="9.7109375" style="37" customWidth="1"/>
    <col min="4091" max="4091" width="8" style="37" customWidth="1"/>
    <col min="4092" max="4092" width="13.7109375" style="37" customWidth="1"/>
    <col min="4093" max="4093" width="9.85546875" style="37" customWidth="1"/>
    <col min="4094" max="4094" width="13.7109375" style="37" customWidth="1"/>
    <col min="4095" max="4095" width="10.28515625" style="37" customWidth="1"/>
    <col min="4096" max="4096" width="12.7109375" style="37" customWidth="1"/>
    <col min="4097" max="4097" width="16" style="37" customWidth="1"/>
    <col min="4098" max="4098" width="9.7109375" style="37" customWidth="1"/>
    <col min="4099" max="4099" width="8" style="37" customWidth="1"/>
    <col min="4100" max="4100" width="13.7109375" style="37" customWidth="1"/>
    <col min="4101" max="4101" width="9.85546875" style="37" customWidth="1"/>
    <col min="4102" max="4102" width="13.7109375" style="37" customWidth="1"/>
    <col min="4103" max="4103" width="10.28515625" style="37" customWidth="1"/>
    <col min="4104" max="4104" width="12.7109375" style="37" customWidth="1"/>
    <col min="4105" max="4105" width="16" style="37" customWidth="1"/>
    <col min="4106" max="4106" width="9.7109375" style="37" customWidth="1"/>
    <col min="4107" max="4107" width="8" style="37" customWidth="1"/>
    <col min="4108" max="4108" width="13.7109375" style="37" customWidth="1"/>
    <col min="4109" max="4109" width="9.85546875" style="37" customWidth="1"/>
    <col min="4110" max="4110" width="13.7109375" style="37" customWidth="1"/>
    <col min="4111" max="4111" width="10.28515625" style="37" customWidth="1"/>
    <col min="4112" max="4112" width="12.7109375" style="37" customWidth="1"/>
    <col min="4113" max="4113" width="16" style="37" customWidth="1"/>
    <col min="4114" max="4114" width="9.7109375" style="37" customWidth="1"/>
    <col min="4115" max="4115" width="8" style="37" customWidth="1"/>
    <col min="4116" max="4116" width="13.7109375" style="37" customWidth="1"/>
    <col min="4117" max="4117" width="9.85546875" style="37" customWidth="1"/>
    <col min="4118" max="4118" width="13.7109375" style="37" customWidth="1"/>
    <col min="4119" max="4119" width="10.28515625" style="37" customWidth="1"/>
    <col min="4120" max="4120" width="12.7109375" style="37" customWidth="1"/>
    <col min="4121" max="4121" width="16" style="37" customWidth="1"/>
    <col min="4122" max="4122" width="9.7109375" style="37" customWidth="1"/>
    <col min="4123" max="4123" width="8" style="37" customWidth="1"/>
    <col min="4124" max="4124" width="13.7109375" style="37" customWidth="1"/>
    <col min="4125" max="4125" width="9.85546875" style="37" customWidth="1"/>
    <col min="4126" max="4126" width="13.7109375" style="37" customWidth="1"/>
    <col min="4127" max="4127" width="10.28515625" style="37" customWidth="1"/>
    <col min="4128" max="4303" width="11.42578125" style="37"/>
    <col min="4304" max="4304" width="12.7109375" style="37" customWidth="1"/>
    <col min="4305" max="4305" width="16" style="37" customWidth="1"/>
    <col min="4306" max="4306" width="9.7109375" style="37" customWidth="1"/>
    <col min="4307" max="4307" width="8" style="37" customWidth="1"/>
    <col min="4308" max="4308" width="13.7109375" style="37" customWidth="1"/>
    <col min="4309" max="4309" width="9.85546875" style="37" customWidth="1"/>
    <col min="4310" max="4310" width="13.7109375" style="37" customWidth="1"/>
    <col min="4311" max="4311" width="10.28515625" style="37" customWidth="1"/>
    <col min="4312" max="4312" width="12.7109375" style="37" customWidth="1"/>
    <col min="4313" max="4313" width="16" style="37" customWidth="1"/>
    <col min="4314" max="4314" width="9.7109375" style="37" customWidth="1"/>
    <col min="4315" max="4315" width="8" style="37" customWidth="1"/>
    <col min="4316" max="4316" width="13.7109375" style="37" customWidth="1"/>
    <col min="4317" max="4317" width="9.85546875" style="37" customWidth="1"/>
    <col min="4318" max="4318" width="13.7109375" style="37" customWidth="1"/>
    <col min="4319" max="4319" width="10.28515625" style="37" customWidth="1"/>
    <col min="4320" max="4320" width="12.7109375" style="37" customWidth="1"/>
    <col min="4321" max="4321" width="16" style="37" customWidth="1"/>
    <col min="4322" max="4322" width="9.7109375" style="37" customWidth="1"/>
    <col min="4323" max="4323" width="8" style="37" customWidth="1"/>
    <col min="4324" max="4324" width="13.7109375" style="37" customWidth="1"/>
    <col min="4325" max="4325" width="9.85546875" style="37" customWidth="1"/>
    <col min="4326" max="4326" width="13.7109375" style="37" customWidth="1"/>
    <col min="4327" max="4327" width="10.28515625" style="37" customWidth="1"/>
    <col min="4328" max="4328" width="12.7109375" style="37" customWidth="1"/>
    <col min="4329" max="4329" width="16" style="37" customWidth="1"/>
    <col min="4330" max="4330" width="9.7109375" style="37" customWidth="1"/>
    <col min="4331" max="4331" width="8" style="37" customWidth="1"/>
    <col min="4332" max="4332" width="13.7109375" style="37" customWidth="1"/>
    <col min="4333" max="4333" width="9.85546875" style="37" customWidth="1"/>
    <col min="4334" max="4334" width="13.7109375" style="37" customWidth="1"/>
    <col min="4335" max="4335" width="10.28515625" style="37" customWidth="1"/>
    <col min="4336" max="4336" width="12.7109375" style="37" customWidth="1"/>
    <col min="4337" max="4337" width="16" style="37" customWidth="1"/>
    <col min="4338" max="4338" width="9.7109375" style="37" customWidth="1"/>
    <col min="4339" max="4339" width="8" style="37" customWidth="1"/>
    <col min="4340" max="4340" width="13.7109375" style="37" customWidth="1"/>
    <col min="4341" max="4341" width="9.85546875" style="37" customWidth="1"/>
    <col min="4342" max="4342" width="13.7109375" style="37" customWidth="1"/>
    <col min="4343" max="4343" width="10.28515625" style="37" customWidth="1"/>
    <col min="4344" max="4344" width="12.7109375" style="37" customWidth="1"/>
    <col min="4345" max="4345" width="16" style="37" customWidth="1"/>
    <col min="4346" max="4346" width="9.7109375" style="37" customWidth="1"/>
    <col min="4347" max="4347" width="8" style="37" customWidth="1"/>
    <col min="4348" max="4348" width="13.7109375" style="37" customWidth="1"/>
    <col min="4349" max="4349" width="9.85546875" style="37" customWidth="1"/>
    <col min="4350" max="4350" width="13.7109375" style="37" customWidth="1"/>
    <col min="4351" max="4351" width="10.28515625" style="37" customWidth="1"/>
    <col min="4352" max="4352" width="12.7109375" style="37" customWidth="1"/>
    <col min="4353" max="4353" width="16" style="37" customWidth="1"/>
    <col min="4354" max="4354" width="9.7109375" style="37" customWidth="1"/>
    <col min="4355" max="4355" width="8" style="37" customWidth="1"/>
    <col min="4356" max="4356" width="13.7109375" style="37" customWidth="1"/>
    <col min="4357" max="4357" width="9.85546875" style="37" customWidth="1"/>
    <col min="4358" max="4358" width="13.7109375" style="37" customWidth="1"/>
    <col min="4359" max="4359" width="10.28515625" style="37" customWidth="1"/>
    <col min="4360" max="4360" width="12.7109375" style="37" customWidth="1"/>
    <col min="4361" max="4361" width="16" style="37" customWidth="1"/>
    <col min="4362" max="4362" width="9.7109375" style="37" customWidth="1"/>
    <col min="4363" max="4363" width="8" style="37" customWidth="1"/>
    <col min="4364" max="4364" width="13.7109375" style="37" customWidth="1"/>
    <col min="4365" max="4365" width="9.85546875" style="37" customWidth="1"/>
    <col min="4366" max="4366" width="13.7109375" style="37" customWidth="1"/>
    <col min="4367" max="4367" width="10.28515625" style="37" customWidth="1"/>
    <col min="4368" max="4368" width="12.7109375" style="37" customWidth="1"/>
    <col min="4369" max="4369" width="16" style="37" customWidth="1"/>
    <col min="4370" max="4370" width="9.7109375" style="37" customWidth="1"/>
    <col min="4371" max="4371" width="8" style="37" customWidth="1"/>
    <col min="4372" max="4372" width="13.7109375" style="37" customWidth="1"/>
    <col min="4373" max="4373" width="9.85546875" style="37" customWidth="1"/>
    <col min="4374" max="4374" width="13.7109375" style="37" customWidth="1"/>
    <col min="4375" max="4375" width="10.28515625" style="37" customWidth="1"/>
    <col min="4376" max="4376" width="12.7109375" style="37" customWidth="1"/>
    <col min="4377" max="4377" width="16" style="37" customWidth="1"/>
    <col min="4378" max="4378" width="9.7109375" style="37" customWidth="1"/>
    <col min="4379" max="4379" width="8" style="37" customWidth="1"/>
    <col min="4380" max="4380" width="13.7109375" style="37" customWidth="1"/>
    <col min="4381" max="4381" width="9.85546875" style="37" customWidth="1"/>
    <col min="4382" max="4382" width="13.7109375" style="37" customWidth="1"/>
    <col min="4383" max="4383" width="10.28515625" style="37" customWidth="1"/>
    <col min="4384" max="4559" width="11.42578125" style="37"/>
    <col min="4560" max="4560" width="12.7109375" style="37" customWidth="1"/>
    <col min="4561" max="4561" width="16" style="37" customWidth="1"/>
    <col min="4562" max="4562" width="9.7109375" style="37" customWidth="1"/>
    <col min="4563" max="4563" width="8" style="37" customWidth="1"/>
    <col min="4564" max="4564" width="13.7109375" style="37" customWidth="1"/>
    <col min="4565" max="4565" width="9.85546875" style="37" customWidth="1"/>
    <col min="4566" max="4566" width="13.7109375" style="37" customWidth="1"/>
    <col min="4567" max="4567" width="10.28515625" style="37" customWidth="1"/>
    <col min="4568" max="4568" width="12.7109375" style="37" customWidth="1"/>
    <col min="4569" max="4569" width="16" style="37" customWidth="1"/>
    <col min="4570" max="4570" width="9.7109375" style="37" customWidth="1"/>
    <col min="4571" max="4571" width="8" style="37" customWidth="1"/>
    <col min="4572" max="4572" width="13.7109375" style="37" customWidth="1"/>
    <col min="4573" max="4573" width="9.85546875" style="37" customWidth="1"/>
    <col min="4574" max="4574" width="13.7109375" style="37" customWidth="1"/>
    <col min="4575" max="4575" width="10.28515625" style="37" customWidth="1"/>
    <col min="4576" max="4576" width="12.7109375" style="37" customWidth="1"/>
    <col min="4577" max="4577" width="16" style="37" customWidth="1"/>
    <col min="4578" max="4578" width="9.7109375" style="37" customWidth="1"/>
    <col min="4579" max="4579" width="8" style="37" customWidth="1"/>
    <col min="4580" max="4580" width="13.7109375" style="37" customWidth="1"/>
    <col min="4581" max="4581" width="9.85546875" style="37" customWidth="1"/>
    <col min="4582" max="4582" width="13.7109375" style="37" customWidth="1"/>
    <col min="4583" max="4583" width="10.28515625" style="37" customWidth="1"/>
    <col min="4584" max="4584" width="12.7109375" style="37" customWidth="1"/>
    <col min="4585" max="4585" width="16" style="37" customWidth="1"/>
    <col min="4586" max="4586" width="9.7109375" style="37" customWidth="1"/>
    <col min="4587" max="4587" width="8" style="37" customWidth="1"/>
    <col min="4588" max="4588" width="13.7109375" style="37" customWidth="1"/>
    <col min="4589" max="4589" width="9.85546875" style="37" customWidth="1"/>
    <col min="4590" max="4590" width="13.7109375" style="37" customWidth="1"/>
    <col min="4591" max="4591" width="10.28515625" style="37" customWidth="1"/>
    <col min="4592" max="4592" width="12.7109375" style="37" customWidth="1"/>
    <col min="4593" max="4593" width="16" style="37" customWidth="1"/>
    <col min="4594" max="4594" width="9.7109375" style="37" customWidth="1"/>
    <col min="4595" max="4595" width="8" style="37" customWidth="1"/>
    <col min="4596" max="4596" width="13.7109375" style="37" customWidth="1"/>
    <col min="4597" max="4597" width="9.85546875" style="37" customWidth="1"/>
    <col min="4598" max="4598" width="13.7109375" style="37" customWidth="1"/>
    <col min="4599" max="4599" width="10.28515625" style="37" customWidth="1"/>
    <col min="4600" max="4600" width="12.7109375" style="37" customWidth="1"/>
    <col min="4601" max="4601" width="16" style="37" customWidth="1"/>
    <col min="4602" max="4602" width="9.7109375" style="37" customWidth="1"/>
    <col min="4603" max="4603" width="8" style="37" customWidth="1"/>
    <col min="4604" max="4604" width="13.7109375" style="37" customWidth="1"/>
    <col min="4605" max="4605" width="9.85546875" style="37" customWidth="1"/>
    <col min="4606" max="4606" width="13.7109375" style="37" customWidth="1"/>
    <col min="4607" max="4607" width="10.28515625" style="37" customWidth="1"/>
    <col min="4608" max="4608" width="12.7109375" style="37" customWidth="1"/>
    <col min="4609" max="4609" width="16" style="37" customWidth="1"/>
    <col min="4610" max="4610" width="9.7109375" style="37" customWidth="1"/>
    <col min="4611" max="4611" width="8" style="37" customWidth="1"/>
    <col min="4612" max="4612" width="13.7109375" style="37" customWidth="1"/>
    <col min="4613" max="4613" width="9.85546875" style="37" customWidth="1"/>
    <col min="4614" max="4614" width="13.7109375" style="37" customWidth="1"/>
    <col min="4615" max="4615" width="10.28515625" style="37" customWidth="1"/>
    <col min="4616" max="4616" width="12.7109375" style="37" customWidth="1"/>
    <col min="4617" max="4617" width="16" style="37" customWidth="1"/>
    <col min="4618" max="4618" width="9.7109375" style="37" customWidth="1"/>
    <col min="4619" max="4619" width="8" style="37" customWidth="1"/>
    <col min="4620" max="4620" width="13.7109375" style="37" customWidth="1"/>
    <col min="4621" max="4621" width="9.85546875" style="37" customWidth="1"/>
    <col min="4622" max="4622" width="13.7109375" style="37" customWidth="1"/>
    <col min="4623" max="4623" width="10.28515625" style="37" customWidth="1"/>
    <col min="4624" max="4624" width="12.7109375" style="37" customWidth="1"/>
    <col min="4625" max="4625" width="16" style="37" customWidth="1"/>
    <col min="4626" max="4626" width="9.7109375" style="37" customWidth="1"/>
    <col min="4627" max="4627" width="8" style="37" customWidth="1"/>
    <col min="4628" max="4628" width="13.7109375" style="37" customWidth="1"/>
    <col min="4629" max="4629" width="9.85546875" style="37" customWidth="1"/>
    <col min="4630" max="4630" width="13.7109375" style="37" customWidth="1"/>
    <col min="4631" max="4631" width="10.28515625" style="37" customWidth="1"/>
    <col min="4632" max="4632" width="12.7109375" style="37" customWidth="1"/>
    <col min="4633" max="4633" width="16" style="37" customWidth="1"/>
    <col min="4634" max="4634" width="9.7109375" style="37" customWidth="1"/>
    <col min="4635" max="4635" width="8" style="37" customWidth="1"/>
    <col min="4636" max="4636" width="13.7109375" style="37" customWidth="1"/>
    <col min="4637" max="4637" width="9.85546875" style="37" customWidth="1"/>
    <col min="4638" max="4638" width="13.7109375" style="37" customWidth="1"/>
    <col min="4639" max="4639" width="10.28515625" style="37" customWidth="1"/>
    <col min="4640" max="4815" width="11.42578125" style="37"/>
    <col min="4816" max="4816" width="12.7109375" style="37" customWidth="1"/>
    <col min="4817" max="4817" width="16" style="37" customWidth="1"/>
    <col min="4818" max="4818" width="9.7109375" style="37" customWidth="1"/>
    <col min="4819" max="4819" width="8" style="37" customWidth="1"/>
    <col min="4820" max="4820" width="13.7109375" style="37" customWidth="1"/>
    <col min="4821" max="4821" width="9.85546875" style="37" customWidth="1"/>
    <col min="4822" max="4822" width="13.7109375" style="37" customWidth="1"/>
    <col min="4823" max="4823" width="10.28515625" style="37" customWidth="1"/>
    <col min="4824" max="4824" width="12.7109375" style="37" customWidth="1"/>
    <col min="4825" max="4825" width="16" style="37" customWidth="1"/>
    <col min="4826" max="4826" width="9.7109375" style="37" customWidth="1"/>
    <col min="4827" max="4827" width="8" style="37" customWidth="1"/>
    <col min="4828" max="4828" width="13.7109375" style="37" customWidth="1"/>
    <col min="4829" max="4829" width="9.85546875" style="37" customWidth="1"/>
    <col min="4830" max="4830" width="13.7109375" style="37" customWidth="1"/>
    <col min="4831" max="4831" width="10.28515625" style="37" customWidth="1"/>
    <col min="4832" max="4832" width="12.7109375" style="37" customWidth="1"/>
    <col min="4833" max="4833" width="16" style="37" customWidth="1"/>
    <col min="4834" max="4834" width="9.7109375" style="37" customWidth="1"/>
    <col min="4835" max="4835" width="8" style="37" customWidth="1"/>
    <col min="4836" max="4836" width="13.7109375" style="37" customWidth="1"/>
    <col min="4837" max="4837" width="9.85546875" style="37" customWidth="1"/>
    <col min="4838" max="4838" width="13.7109375" style="37" customWidth="1"/>
    <col min="4839" max="4839" width="10.28515625" style="37" customWidth="1"/>
    <col min="4840" max="4840" width="12.7109375" style="37" customWidth="1"/>
    <col min="4841" max="4841" width="16" style="37" customWidth="1"/>
    <col min="4842" max="4842" width="9.7109375" style="37" customWidth="1"/>
    <col min="4843" max="4843" width="8" style="37" customWidth="1"/>
    <col min="4844" max="4844" width="13.7109375" style="37" customWidth="1"/>
    <col min="4845" max="4845" width="9.85546875" style="37" customWidth="1"/>
    <col min="4846" max="4846" width="13.7109375" style="37" customWidth="1"/>
    <col min="4847" max="4847" width="10.28515625" style="37" customWidth="1"/>
    <col min="4848" max="4848" width="12.7109375" style="37" customWidth="1"/>
    <col min="4849" max="4849" width="16" style="37" customWidth="1"/>
    <col min="4850" max="4850" width="9.7109375" style="37" customWidth="1"/>
    <col min="4851" max="4851" width="8" style="37" customWidth="1"/>
    <col min="4852" max="4852" width="13.7109375" style="37" customWidth="1"/>
    <col min="4853" max="4853" width="9.85546875" style="37" customWidth="1"/>
    <col min="4854" max="4854" width="13.7109375" style="37" customWidth="1"/>
    <col min="4855" max="4855" width="10.28515625" style="37" customWidth="1"/>
    <col min="4856" max="4856" width="12.7109375" style="37" customWidth="1"/>
    <col min="4857" max="4857" width="16" style="37" customWidth="1"/>
    <col min="4858" max="4858" width="9.7109375" style="37" customWidth="1"/>
    <col min="4859" max="4859" width="8" style="37" customWidth="1"/>
    <col min="4860" max="4860" width="13.7109375" style="37" customWidth="1"/>
    <col min="4861" max="4861" width="9.85546875" style="37" customWidth="1"/>
    <col min="4862" max="4862" width="13.7109375" style="37" customWidth="1"/>
    <col min="4863" max="4863" width="10.28515625" style="37" customWidth="1"/>
    <col min="4864" max="4864" width="12.7109375" style="37" customWidth="1"/>
    <col min="4865" max="4865" width="16" style="37" customWidth="1"/>
    <col min="4866" max="4866" width="9.7109375" style="37" customWidth="1"/>
    <col min="4867" max="4867" width="8" style="37" customWidth="1"/>
    <col min="4868" max="4868" width="13.7109375" style="37" customWidth="1"/>
    <col min="4869" max="4869" width="9.85546875" style="37" customWidth="1"/>
    <col min="4870" max="4870" width="13.7109375" style="37" customWidth="1"/>
    <col min="4871" max="4871" width="10.28515625" style="37" customWidth="1"/>
    <col min="4872" max="4872" width="12.7109375" style="37" customWidth="1"/>
    <col min="4873" max="4873" width="16" style="37" customWidth="1"/>
    <col min="4874" max="4874" width="9.7109375" style="37" customWidth="1"/>
    <col min="4875" max="4875" width="8" style="37" customWidth="1"/>
    <col min="4876" max="4876" width="13.7109375" style="37" customWidth="1"/>
    <col min="4877" max="4877" width="9.85546875" style="37" customWidth="1"/>
    <col min="4878" max="4878" width="13.7109375" style="37" customWidth="1"/>
    <col min="4879" max="4879" width="10.28515625" style="37" customWidth="1"/>
    <col min="4880" max="4880" width="12.7109375" style="37" customWidth="1"/>
    <col min="4881" max="4881" width="16" style="37" customWidth="1"/>
    <col min="4882" max="4882" width="9.7109375" style="37" customWidth="1"/>
    <col min="4883" max="4883" width="8" style="37" customWidth="1"/>
    <col min="4884" max="4884" width="13.7109375" style="37" customWidth="1"/>
    <col min="4885" max="4885" width="9.85546875" style="37" customWidth="1"/>
    <col min="4886" max="4886" width="13.7109375" style="37" customWidth="1"/>
    <col min="4887" max="4887" width="10.28515625" style="37" customWidth="1"/>
    <col min="4888" max="4888" width="12.7109375" style="37" customWidth="1"/>
    <col min="4889" max="4889" width="16" style="37" customWidth="1"/>
    <col min="4890" max="4890" width="9.7109375" style="37" customWidth="1"/>
    <col min="4891" max="4891" width="8" style="37" customWidth="1"/>
    <col min="4892" max="4892" width="13.7109375" style="37" customWidth="1"/>
    <col min="4893" max="4893" width="9.85546875" style="37" customWidth="1"/>
    <col min="4894" max="4894" width="13.7109375" style="37" customWidth="1"/>
    <col min="4895" max="4895" width="10.28515625" style="37" customWidth="1"/>
    <col min="4896" max="5071" width="11.42578125" style="37"/>
    <col min="5072" max="5072" width="12.7109375" style="37" customWidth="1"/>
    <col min="5073" max="5073" width="16" style="37" customWidth="1"/>
    <col min="5074" max="5074" width="9.7109375" style="37" customWidth="1"/>
    <col min="5075" max="5075" width="8" style="37" customWidth="1"/>
    <col min="5076" max="5076" width="13.7109375" style="37" customWidth="1"/>
    <col min="5077" max="5077" width="9.85546875" style="37" customWidth="1"/>
    <col min="5078" max="5078" width="13.7109375" style="37" customWidth="1"/>
    <col min="5079" max="5079" width="10.28515625" style="37" customWidth="1"/>
    <col min="5080" max="5080" width="12.7109375" style="37" customWidth="1"/>
    <col min="5081" max="5081" width="16" style="37" customWidth="1"/>
    <col min="5082" max="5082" width="9.7109375" style="37" customWidth="1"/>
    <col min="5083" max="5083" width="8" style="37" customWidth="1"/>
    <col min="5084" max="5084" width="13.7109375" style="37" customWidth="1"/>
    <col min="5085" max="5085" width="9.85546875" style="37" customWidth="1"/>
    <col min="5086" max="5086" width="13.7109375" style="37" customWidth="1"/>
    <col min="5087" max="5087" width="10.28515625" style="37" customWidth="1"/>
    <col min="5088" max="5088" width="12.7109375" style="37" customWidth="1"/>
    <col min="5089" max="5089" width="16" style="37" customWidth="1"/>
    <col min="5090" max="5090" width="9.7109375" style="37" customWidth="1"/>
    <col min="5091" max="5091" width="8" style="37" customWidth="1"/>
    <col min="5092" max="5092" width="13.7109375" style="37" customWidth="1"/>
    <col min="5093" max="5093" width="9.85546875" style="37" customWidth="1"/>
    <col min="5094" max="5094" width="13.7109375" style="37" customWidth="1"/>
    <col min="5095" max="5095" width="10.28515625" style="37" customWidth="1"/>
    <col min="5096" max="5096" width="12.7109375" style="37" customWidth="1"/>
    <col min="5097" max="5097" width="16" style="37" customWidth="1"/>
    <col min="5098" max="5098" width="9.7109375" style="37" customWidth="1"/>
    <col min="5099" max="5099" width="8" style="37" customWidth="1"/>
    <col min="5100" max="5100" width="13.7109375" style="37" customWidth="1"/>
    <col min="5101" max="5101" width="9.85546875" style="37" customWidth="1"/>
    <col min="5102" max="5102" width="13.7109375" style="37" customWidth="1"/>
    <col min="5103" max="5103" width="10.28515625" style="37" customWidth="1"/>
    <col min="5104" max="5104" width="12.7109375" style="37" customWidth="1"/>
    <col min="5105" max="5105" width="16" style="37" customWidth="1"/>
    <col min="5106" max="5106" width="9.7109375" style="37" customWidth="1"/>
    <col min="5107" max="5107" width="8" style="37" customWidth="1"/>
    <col min="5108" max="5108" width="13.7109375" style="37" customWidth="1"/>
    <col min="5109" max="5109" width="9.85546875" style="37" customWidth="1"/>
    <col min="5110" max="5110" width="13.7109375" style="37" customWidth="1"/>
    <col min="5111" max="5111" width="10.28515625" style="37" customWidth="1"/>
    <col min="5112" max="5112" width="12.7109375" style="37" customWidth="1"/>
    <col min="5113" max="5113" width="16" style="37" customWidth="1"/>
    <col min="5114" max="5114" width="9.7109375" style="37" customWidth="1"/>
    <col min="5115" max="5115" width="8" style="37" customWidth="1"/>
    <col min="5116" max="5116" width="13.7109375" style="37" customWidth="1"/>
    <col min="5117" max="5117" width="9.85546875" style="37" customWidth="1"/>
    <col min="5118" max="5118" width="13.7109375" style="37" customWidth="1"/>
    <col min="5119" max="5119" width="10.28515625" style="37" customWidth="1"/>
    <col min="5120" max="5120" width="12.7109375" style="37" customWidth="1"/>
    <col min="5121" max="5121" width="16" style="37" customWidth="1"/>
    <col min="5122" max="5122" width="9.7109375" style="37" customWidth="1"/>
    <col min="5123" max="5123" width="8" style="37" customWidth="1"/>
    <col min="5124" max="5124" width="13.7109375" style="37" customWidth="1"/>
    <col min="5125" max="5125" width="9.85546875" style="37" customWidth="1"/>
    <col min="5126" max="5126" width="13.7109375" style="37" customWidth="1"/>
    <col min="5127" max="5127" width="10.28515625" style="37" customWidth="1"/>
    <col min="5128" max="5128" width="12.7109375" style="37" customWidth="1"/>
    <col min="5129" max="5129" width="16" style="37" customWidth="1"/>
    <col min="5130" max="5130" width="9.7109375" style="37" customWidth="1"/>
    <col min="5131" max="5131" width="8" style="37" customWidth="1"/>
    <col min="5132" max="5132" width="13.7109375" style="37" customWidth="1"/>
    <col min="5133" max="5133" width="9.85546875" style="37" customWidth="1"/>
    <col min="5134" max="5134" width="13.7109375" style="37" customWidth="1"/>
    <col min="5135" max="5135" width="10.28515625" style="37" customWidth="1"/>
    <col min="5136" max="5136" width="12.7109375" style="37" customWidth="1"/>
    <col min="5137" max="5137" width="16" style="37" customWidth="1"/>
    <col min="5138" max="5138" width="9.7109375" style="37" customWidth="1"/>
    <col min="5139" max="5139" width="8" style="37" customWidth="1"/>
    <col min="5140" max="5140" width="13.7109375" style="37" customWidth="1"/>
    <col min="5141" max="5141" width="9.85546875" style="37" customWidth="1"/>
    <col min="5142" max="5142" width="13.7109375" style="37" customWidth="1"/>
    <col min="5143" max="5143" width="10.28515625" style="37" customWidth="1"/>
    <col min="5144" max="5144" width="12.7109375" style="37" customWidth="1"/>
    <col min="5145" max="5145" width="16" style="37" customWidth="1"/>
    <col min="5146" max="5146" width="9.7109375" style="37" customWidth="1"/>
    <col min="5147" max="5147" width="8" style="37" customWidth="1"/>
    <col min="5148" max="5148" width="13.7109375" style="37" customWidth="1"/>
    <col min="5149" max="5149" width="9.85546875" style="37" customWidth="1"/>
    <col min="5150" max="5150" width="13.7109375" style="37" customWidth="1"/>
    <col min="5151" max="5151" width="10.28515625" style="37" customWidth="1"/>
    <col min="5152" max="5327" width="11.42578125" style="37"/>
    <col min="5328" max="5328" width="12.7109375" style="37" customWidth="1"/>
    <col min="5329" max="5329" width="16" style="37" customWidth="1"/>
    <col min="5330" max="5330" width="9.7109375" style="37" customWidth="1"/>
    <col min="5331" max="5331" width="8" style="37" customWidth="1"/>
    <col min="5332" max="5332" width="13.7109375" style="37" customWidth="1"/>
    <col min="5333" max="5333" width="9.85546875" style="37" customWidth="1"/>
    <col min="5334" max="5334" width="13.7109375" style="37" customWidth="1"/>
    <col min="5335" max="5335" width="10.28515625" style="37" customWidth="1"/>
    <col min="5336" max="5336" width="12.7109375" style="37" customWidth="1"/>
    <col min="5337" max="5337" width="16" style="37" customWidth="1"/>
    <col min="5338" max="5338" width="9.7109375" style="37" customWidth="1"/>
    <col min="5339" max="5339" width="8" style="37" customWidth="1"/>
    <col min="5340" max="5340" width="13.7109375" style="37" customWidth="1"/>
    <col min="5341" max="5341" width="9.85546875" style="37" customWidth="1"/>
    <col min="5342" max="5342" width="13.7109375" style="37" customWidth="1"/>
    <col min="5343" max="5343" width="10.28515625" style="37" customWidth="1"/>
    <col min="5344" max="5344" width="12.7109375" style="37" customWidth="1"/>
    <col min="5345" max="5345" width="16" style="37" customWidth="1"/>
    <col min="5346" max="5346" width="9.7109375" style="37" customWidth="1"/>
    <col min="5347" max="5347" width="8" style="37" customWidth="1"/>
    <col min="5348" max="5348" width="13.7109375" style="37" customWidth="1"/>
    <col min="5349" max="5349" width="9.85546875" style="37" customWidth="1"/>
    <col min="5350" max="5350" width="13.7109375" style="37" customWidth="1"/>
    <col min="5351" max="5351" width="10.28515625" style="37" customWidth="1"/>
    <col min="5352" max="5352" width="12.7109375" style="37" customWidth="1"/>
    <col min="5353" max="5353" width="16" style="37" customWidth="1"/>
    <col min="5354" max="5354" width="9.7109375" style="37" customWidth="1"/>
    <col min="5355" max="5355" width="8" style="37" customWidth="1"/>
    <col min="5356" max="5356" width="13.7109375" style="37" customWidth="1"/>
    <col min="5357" max="5357" width="9.85546875" style="37" customWidth="1"/>
    <col min="5358" max="5358" width="13.7109375" style="37" customWidth="1"/>
    <col min="5359" max="5359" width="10.28515625" style="37" customWidth="1"/>
    <col min="5360" max="5360" width="12.7109375" style="37" customWidth="1"/>
    <col min="5361" max="5361" width="16" style="37" customWidth="1"/>
    <col min="5362" max="5362" width="9.7109375" style="37" customWidth="1"/>
    <col min="5363" max="5363" width="8" style="37" customWidth="1"/>
    <col min="5364" max="5364" width="13.7109375" style="37" customWidth="1"/>
    <col min="5365" max="5365" width="9.85546875" style="37" customWidth="1"/>
    <col min="5366" max="5366" width="13.7109375" style="37" customWidth="1"/>
    <col min="5367" max="5367" width="10.28515625" style="37" customWidth="1"/>
    <col min="5368" max="5368" width="12.7109375" style="37" customWidth="1"/>
    <col min="5369" max="5369" width="16" style="37" customWidth="1"/>
    <col min="5370" max="5370" width="9.7109375" style="37" customWidth="1"/>
    <col min="5371" max="5371" width="8" style="37" customWidth="1"/>
    <col min="5372" max="5372" width="13.7109375" style="37" customWidth="1"/>
    <col min="5373" max="5373" width="9.85546875" style="37" customWidth="1"/>
    <col min="5374" max="5374" width="13.7109375" style="37" customWidth="1"/>
    <col min="5375" max="5375" width="10.28515625" style="37" customWidth="1"/>
    <col min="5376" max="5376" width="12.7109375" style="37" customWidth="1"/>
    <col min="5377" max="5377" width="16" style="37" customWidth="1"/>
    <col min="5378" max="5378" width="9.7109375" style="37" customWidth="1"/>
    <col min="5379" max="5379" width="8" style="37" customWidth="1"/>
    <col min="5380" max="5380" width="13.7109375" style="37" customWidth="1"/>
    <col min="5381" max="5381" width="9.85546875" style="37" customWidth="1"/>
    <col min="5382" max="5382" width="13.7109375" style="37" customWidth="1"/>
    <col min="5383" max="5383" width="10.28515625" style="37" customWidth="1"/>
    <col min="5384" max="5384" width="12.7109375" style="37" customWidth="1"/>
    <col min="5385" max="5385" width="16" style="37" customWidth="1"/>
    <col min="5386" max="5386" width="9.7109375" style="37" customWidth="1"/>
    <col min="5387" max="5387" width="8" style="37" customWidth="1"/>
    <col min="5388" max="5388" width="13.7109375" style="37" customWidth="1"/>
    <col min="5389" max="5389" width="9.85546875" style="37" customWidth="1"/>
    <col min="5390" max="5390" width="13.7109375" style="37" customWidth="1"/>
    <col min="5391" max="5391" width="10.28515625" style="37" customWidth="1"/>
    <col min="5392" max="5392" width="12.7109375" style="37" customWidth="1"/>
    <col min="5393" max="5393" width="16" style="37" customWidth="1"/>
    <col min="5394" max="5394" width="9.7109375" style="37" customWidth="1"/>
    <col min="5395" max="5395" width="8" style="37" customWidth="1"/>
    <col min="5396" max="5396" width="13.7109375" style="37" customWidth="1"/>
    <col min="5397" max="5397" width="9.85546875" style="37" customWidth="1"/>
    <col min="5398" max="5398" width="13.7109375" style="37" customWidth="1"/>
    <col min="5399" max="5399" width="10.28515625" style="37" customWidth="1"/>
    <col min="5400" max="5400" width="12.7109375" style="37" customWidth="1"/>
    <col min="5401" max="5401" width="16" style="37" customWidth="1"/>
    <col min="5402" max="5402" width="9.7109375" style="37" customWidth="1"/>
    <col min="5403" max="5403" width="8" style="37" customWidth="1"/>
    <col min="5404" max="5404" width="13.7109375" style="37" customWidth="1"/>
    <col min="5405" max="5405" width="9.85546875" style="37" customWidth="1"/>
    <col min="5406" max="5406" width="13.7109375" style="37" customWidth="1"/>
    <col min="5407" max="5407" width="10.28515625" style="37" customWidth="1"/>
    <col min="5408" max="5583" width="11.42578125" style="37"/>
    <col min="5584" max="5584" width="12.7109375" style="37" customWidth="1"/>
    <col min="5585" max="5585" width="16" style="37" customWidth="1"/>
    <col min="5586" max="5586" width="9.7109375" style="37" customWidth="1"/>
    <col min="5587" max="5587" width="8" style="37" customWidth="1"/>
    <col min="5588" max="5588" width="13.7109375" style="37" customWidth="1"/>
    <col min="5589" max="5589" width="9.85546875" style="37" customWidth="1"/>
    <col min="5590" max="5590" width="13.7109375" style="37" customWidth="1"/>
    <col min="5591" max="5591" width="10.28515625" style="37" customWidth="1"/>
    <col min="5592" max="5592" width="12.7109375" style="37" customWidth="1"/>
    <col min="5593" max="5593" width="16" style="37" customWidth="1"/>
    <col min="5594" max="5594" width="9.7109375" style="37" customWidth="1"/>
    <col min="5595" max="5595" width="8" style="37" customWidth="1"/>
    <col min="5596" max="5596" width="13.7109375" style="37" customWidth="1"/>
    <col min="5597" max="5597" width="9.85546875" style="37" customWidth="1"/>
    <col min="5598" max="5598" width="13.7109375" style="37" customWidth="1"/>
    <col min="5599" max="5599" width="10.28515625" style="37" customWidth="1"/>
    <col min="5600" max="5600" width="12.7109375" style="37" customWidth="1"/>
    <col min="5601" max="5601" width="16" style="37" customWidth="1"/>
    <col min="5602" max="5602" width="9.7109375" style="37" customWidth="1"/>
    <col min="5603" max="5603" width="8" style="37" customWidth="1"/>
    <col min="5604" max="5604" width="13.7109375" style="37" customWidth="1"/>
    <col min="5605" max="5605" width="9.85546875" style="37" customWidth="1"/>
    <col min="5606" max="5606" width="13.7109375" style="37" customWidth="1"/>
    <col min="5607" max="5607" width="10.28515625" style="37" customWidth="1"/>
    <col min="5608" max="5608" width="12.7109375" style="37" customWidth="1"/>
    <col min="5609" max="5609" width="16" style="37" customWidth="1"/>
    <col min="5610" max="5610" width="9.7109375" style="37" customWidth="1"/>
    <col min="5611" max="5611" width="8" style="37" customWidth="1"/>
    <col min="5612" max="5612" width="13.7109375" style="37" customWidth="1"/>
    <col min="5613" max="5613" width="9.85546875" style="37" customWidth="1"/>
    <col min="5614" max="5614" width="13.7109375" style="37" customWidth="1"/>
    <col min="5615" max="5615" width="10.28515625" style="37" customWidth="1"/>
    <col min="5616" max="5616" width="12.7109375" style="37" customWidth="1"/>
    <col min="5617" max="5617" width="16" style="37" customWidth="1"/>
    <col min="5618" max="5618" width="9.7109375" style="37" customWidth="1"/>
    <col min="5619" max="5619" width="8" style="37" customWidth="1"/>
    <col min="5620" max="5620" width="13.7109375" style="37" customWidth="1"/>
    <col min="5621" max="5621" width="9.85546875" style="37" customWidth="1"/>
    <col min="5622" max="5622" width="13.7109375" style="37" customWidth="1"/>
    <col min="5623" max="5623" width="10.28515625" style="37" customWidth="1"/>
    <col min="5624" max="5624" width="12.7109375" style="37" customWidth="1"/>
    <col min="5625" max="5625" width="16" style="37" customWidth="1"/>
    <col min="5626" max="5626" width="9.7109375" style="37" customWidth="1"/>
    <col min="5627" max="5627" width="8" style="37" customWidth="1"/>
    <col min="5628" max="5628" width="13.7109375" style="37" customWidth="1"/>
    <col min="5629" max="5629" width="9.85546875" style="37" customWidth="1"/>
    <col min="5630" max="5630" width="13.7109375" style="37" customWidth="1"/>
    <col min="5631" max="5631" width="10.28515625" style="37" customWidth="1"/>
    <col min="5632" max="5632" width="12.7109375" style="37" customWidth="1"/>
    <col min="5633" max="5633" width="16" style="37" customWidth="1"/>
    <col min="5634" max="5634" width="9.7109375" style="37" customWidth="1"/>
    <col min="5635" max="5635" width="8" style="37" customWidth="1"/>
    <col min="5636" max="5636" width="13.7109375" style="37" customWidth="1"/>
    <col min="5637" max="5637" width="9.85546875" style="37" customWidth="1"/>
    <col min="5638" max="5638" width="13.7109375" style="37" customWidth="1"/>
    <col min="5639" max="5639" width="10.28515625" style="37" customWidth="1"/>
    <col min="5640" max="5640" width="12.7109375" style="37" customWidth="1"/>
    <col min="5641" max="5641" width="16" style="37" customWidth="1"/>
    <col min="5642" max="5642" width="9.7109375" style="37" customWidth="1"/>
    <col min="5643" max="5643" width="8" style="37" customWidth="1"/>
    <col min="5644" max="5644" width="13.7109375" style="37" customWidth="1"/>
    <col min="5645" max="5645" width="9.85546875" style="37" customWidth="1"/>
    <col min="5646" max="5646" width="13.7109375" style="37" customWidth="1"/>
    <col min="5647" max="5647" width="10.28515625" style="37" customWidth="1"/>
    <col min="5648" max="5648" width="12.7109375" style="37" customWidth="1"/>
    <col min="5649" max="5649" width="16" style="37" customWidth="1"/>
    <col min="5650" max="5650" width="9.7109375" style="37" customWidth="1"/>
    <col min="5651" max="5651" width="8" style="37" customWidth="1"/>
    <col min="5652" max="5652" width="13.7109375" style="37" customWidth="1"/>
    <col min="5653" max="5653" width="9.85546875" style="37" customWidth="1"/>
    <col min="5654" max="5654" width="13.7109375" style="37" customWidth="1"/>
    <col min="5655" max="5655" width="10.28515625" style="37" customWidth="1"/>
    <col min="5656" max="5656" width="12.7109375" style="37" customWidth="1"/>
    <col min="5657" max="5657" width="16" style="37" customWidth="1"/>
    <col min="5658" max="5658" width="9.7109375" style="37" customWidth="1"/>
    <col min="5659" max="5659" width="8" style="37" customWidth="1"/>
    <col min="5660" max="5660" width="13.7109375" style="37" customWidth="1"/>
    <col min="5661" max="5661" width="9.85546875" style="37" customWidth="1"/>
    <col min="5662" max="5662" width="13.7109375" style="37" customWidth="1"/>
    <col min="5663" max="5663" width="10.28515625" style="37" customWidth="1"/>
    <col min="5664" max="5839" width="11.42578125" style="37"/>
    <col min="5840" max="5840" width="12.7109375" style="37" customWidth="1"/>
    <col min="5841" max="5841" width="16" style="37" customWidth="1"/>
    <col min="5842" max="5842" width="9.7109375" style="37" customWidth="1"/>
    <col min="5843" max="5843" width="8" style="37" customWidth="1"/>
    <col min="5844" max="5844" width="13.7109375" style="37" customWidth="1"/>
    <col min="5845" max="5845" width="9.85546875" style="37" customWidth="1"/>
    <col min="5846" max="5846" width="13.7109375" style="37" customWidth="1"/>
    <col min="5847" max="5847" width="10.28515625" style="37" customWidth="1"/>
    <col min="5848" max="5848" width="12.7109375" style="37" customWidth="1"/>
    <col min="5849" max="5849" width="16" style="37" customWidth="1"/>
    <col min="5850" max="5850" width="9.7109375" style="37" customWidth="1"/>
    <col min="5851" max="5851" width="8" style="37" customWidth="1"/>
    <col min="5852" max="5852" width="13.7109375" style="37" customWidth="1"/>
    <col min="5853" max="5853" width="9.85546875" style="37" customWidth="1"/>
    <col min="5854" max="5854" width="13.7109375" style="37" customWidth="1"/>
    <col min="5855" max="5855" width="10.28515625" style="37" customWidth="1"/>
    <col min="5856" max="5856" width="12.7109375" style="37" customWidth="1"/>
    <col min="5857" max="5857" width="16" style="37" customWidth="1"/>
    <col min="5858" max="5858" width="9.7109375" style="37" customWidth="1"/>
    <col min="5859" max="5859" width="8" style="37" customWidth="1"/>
    <col min="5860" max="5860" width="13.7109375" style="37" customWidth="1"/>
    <col min="5861" max="5861" width="9.85546875" style="37" customWidth="1"/>
    <col min="5862" max="5862" width="13.7109375" style="37" customWidth="1"/>
    <col min="5863" max="5863" width="10.28515625" style="37" customWidth="1"/>
    <col min="5864" max="5864" width="12.7109375" style="37" customWidth="1"/>
    <col min="5865" max="5865" width="16" style="37" customWidth="1"/>
    <col min="5866" max="5866" width="9.7109375" style="37" customWidth="1"/>
    <col min="5867" max="5867" width="8" style="37" customWidth="1"/>
    <col min="5868" max="5868" width="13.7109375" style="37" customWidth="1"/>
    <col min="5869" max="5869" width="9.85546875" style="37" customWidth="1"/>
    <col min="5870" max="5870" width="13.7109375" style="37" customWidth="1"/>
    <col min="5871" max="5871" width="10.28515625" style="37" customWidth="1"/>
    <col min="5872" max="5872" width="12.7109375" style="37" customWidth="1"/>
    <col min="5873" max="5873" width="16" style="37" customWidth="1"/>
    <col min="5874" max="5874" width="9.7109375" style="37" customWidth="1"/>
    <col min="5875" max="5875" width="8" style="37" customWidth="1"/>
    <col min="5876" max="5876" width="13.7109375" style="37" customWidth="1"/>
    <col min="5877" max="5877" width="9.85546875" style="37" customWidth="1"/>
    <col min="5878" max="5878" width="13.7109375" style="37" customWidth="1"/>
    <col min="5879" max="5879" width="10.28515625" style="37" customWidth="1"/>
    <col min="5880" max="5880" width="12.7109375" style="37" customWidth="1"/>
    <col min="5881" max="5881" width="16" style="37" customWidth="1"/>
    <col min="5882" max="5882" width="9.7109375" style="37" customWidth="1"/>
    <col min="5883" max="5883" width="8" style="37" customWidth="1"/>
    <col min="5884" max="5884" width="13.7109375" style="37" customWidth="1"/>
    <col min="5885" max="5885" width="9.85546875" style="37" customWidth="1"/>
    <col min="5886" max="5886" width="13.7109375" style="37" customWidth="1"/>
    <col min="5887" max="5887" width="10.28515625" style="37" customWidth="1"/>
    <col min="5888" max="5888" width="12.7109375" style="37" customWidth="1"/>
    <col min="5889" max="5889" width="16" style="37" customWidth="1"/>
    <col min="5890" max="5890" width="9.7109375" style="37" customWidth="1"/>
    <col min="5891" max="5891" width="8" style="37" customWidth="1"/>
    <col min="5892" max="5892" width="13.7109375" style="37" customWidth="1"/>
    <col min="5893" max="5893" width="9.85546875" style="37" customWidth="1"/>
    <col min="5894" max="5894" width="13.7109375" style="37" customWidth="1"/>
    <col min="5895" max="5895" width="10.28515625" style="37" customWidth="1"/>
    <col min="5896" max="5896" width="12.7109375" style="37" customWidth="1"/>
    <col min="5897" max="5897" width="16" style="37" customWidth="1"/>
    <col min="5898" max="5898" width="9.7109375" style="37" customWidth="1"/>
    <col min="5899" max="5899" width="8" style="37" customWidth="1"/>
    <col min="5900" max="5900" width="13.7109375" style="37" customWidth="1"/>
    <col min="5901" max="5901" width="9.85546875" style="37" customWidth="1"/>
    <col min="5902" max="5902" width="13.7109375" style="37" customWidth="1"/>
    <col min="5903" max="5903" width="10.28515625" style="37" customWidth="1"/>
    <col min="5904" max="5904" width="12.7109375" style="37" customWidth="1"/>
    <col min="5905" max="5905" width="16" style="37" customWidth="1"/>
    <col min="5906" max="5906" width="9.7109375" style="37" customWidth="1"/>
    <col min="5907" max="5907" width="8" style="37" customWidth="1"/>
    <col min="5908" max="5908" width="13.7109375" style="37" customWidth="1"/>
    <col min="5909" max="5909" width="9.85546875" style="37" customWidth="1"/>
    <col min="5910" max="5910" width="13.7109375" style="37" customWidth="1"/>
    <col min="5911" max="5911" width="10.28515625" style="37" customWidth="1"/>
    <col min="5912" max="5912" width="12.7109375" style="37" customWidth="1"/>
    <col min="5913" max="5913" width="16" style="37" customWidth="1"/>
    <col min="5914" max="5914" width="9.7109375" style="37" customWidth="1"/>
    <col min="5915" max="5915" width="8" style="37" customWidth="1"/>
    <col min="5916" max="5916" width="13.7109375" style="37" customWidth="1"/>
    <col min="5917" max="5917" width="9.85546875" style="37" customWidth="1"/>
    <col min="5918" max="5918" width="13.7109375" style="37" customWidth="1"/>
    <col min="5919" max="5919" width="10.28515625" style="37" customWidth="1"/>
    <col min="5920" max="6095" width="11.42578125" style="37"/>
    <col min="6096" max="6096" width="12.7109375" style="37" customWidth="1"/>
    <col min="6097" max="6097" width="16" style="37" customWidth="1"/>
    <col min="6098" max="6098" width="9.7109375" style="37" customWidth="1"/>
    <col min="6099" max="6099" width="8" style="37" customWidth="1"/>
    <col min="6100" max="6100" width="13.7109375" style="37" customWidth="1"/>
    <col min="6101" max="6101" width="9.85546875" style="37" customWidth="1"/>
    <col min="6102" max="6102" width="13.7109375" style="37" customWidth="1"/>
    <col min="6103" max="6103" width="10.28515625" style="37" customWidth="1"/>
    <col min="6104" max="6104" width="12.7109375" style="37" customWidth="1"/>
    <col min="6105" max="6105" width="16" style="37" customWidth="1"/>
    <col min="6106" max="6106" width="9.7109375" style="37" customWidth="1"/>
    <col min="6107" max="6107" width="8" style="37" customWidth="1"/>
    <col min="6108" max="6108" width="13.7109375" style="37" customWidth="1"/>
    <col min="6109" max="6109" width="9.85546875" style="37" customWidth="1"/>
    <col min="6110" max="6110" width="13.7109375" style="37" customWidth="1"/>
    <col min="6111" max="6111" width="10.28515625" style="37" customWidth="1"/>
    <col min="6112" max="6112" width="12.7109375" style="37" customWidth="1"/>
    <col min="6113" max="6113" width="16" style="37" customWidth="1"/>
    <col min="6114" max="6114" width="9.7109375" style="37" customWidth="1"/>
    <col min="6115" max="6115" width="8" style="37" customWidth="1"/>
    <col min="6116" max="6116" width="13.7109375" style="37" customWidth="1"/>
    <col min="6117" max="6117" width="9.85546875" style="37" customWidth="1"/>
    <col min="6118" max="6118" width="13.7109375" style="37" customWidth="1"/>
    <col min="6119" max="6119" width="10.28515625" style="37" customWidth="1"/>
    <col min="6120" max="6120" width="12.7109375" style="37" customWidth="1"/>
    <col min="6121" max="6121" width="16" style="37" customWidth="1"/>
    <col min="6122" max="6122" width="9.7109375" style="37" customWidth="1"/>
    <col min="6123" max="6123" width="8" style="37" customWidth="1"/>
    <col min="6124" max="6124" width="13.7109375" style="37" customWidth="1"/>
    <col min="6125" max="6125" width="9.85546875" style="37" customWidth="1"/>
    <col min="6126" max="6126" width="13.7109375" style="37" customWidth="1"/>
    <col min="6127" max="6127" width="10.28515625" style="37" customWidth="1"/>
    <col min="6128" max="6128" width="12.7109375" style="37" customWidth="1"/>
    <col min="6129" max="6129" width="16" style="37" customWidth="1"/>
    <col min="6130" max="6130" width="9.7109375" style="37" customWidth="1"/>
    <col min="6131" max="6131" width="8" style="37" customWidth="1"/>
    <col min="6132" max="6132" width="13.7109375" style="37" customWidth="1"/>
    <col min="6133" max="6133" width="9.85546875" style="37" customWidth="1"/>
    <col min="6134" max="6134" width="13.7109375" style="37" customWidth="1"/>
    <col min="6135" max="6135" width="10.28515625" style="37" customWidth="1"/>
    <col min="6136" max="6136" width="12.7109375" style="37" customWidth="1"/>
    <col min="6137" max="6137" width="16" style="37" customWidth="1"/>
    <col min="6138" max="6138" width="9.7109375" style="37" customWidth="1"/>
    <col min="6139" max="6139" width="8" style="37" customWidth="1"/>
    <col min="6140" max="6140" width="13.7109375" style="37" customWidth="1"/>
    <col min="6141" max="6141" width="9.85546875" style="37" customWidth="1"/>
    <col min="6142" max="6142" width="13.7109375" style="37" customWidth="1"/>
    <col min="6143" max="6143" width="10.28515625" style="37" customWidth="1"/>
    <col min="6144" max="6144" width="12.7109375" style="37" customWidth="1"/>
    <col min="6145" max="6145" width="16" style="37" customWidth="1"/>
    <col min="6146" max="6146" width="9.7109375" style="37" customWidth="1"/>
    <col min="6147" max="6147" width="8" style="37" customWidth="1"/>
    <col min="6148" max="6148" width="13.7109375" style="37" customWidth="1"/>
    <col min="6149" max="6149" width="9.85546875" style="37" customWidth="1"/>
    <col min="6150" max="6150" width="13.7109375" style="37" customWidth="1"/>
    <col min="6151" max="6151" width="10.28515625" style="37" customWidth="1"/>
    <col min="6152" max="6152" width="12.7109375" style="37" customWidth="1"/>
    <col min="6153" max="6153" width="16" style="37" customWidth="1"/>
    <col min="6154" max="6154" width="9.7109375" style="37" customWidth="1"/>
    <col min="6155" max="6155" width="8" style="37" customWidth="1"/>
    <col min="6156" max="6156" width="13.7109375" style="37" customWidth="1"/>
    <col min="6157" max="6157" width="9.85546875" style="37" customWidth="1"/>
    <col min="6158" max="6158" width="13.7109375" style="37" customWidth="1"/>
    <col min="6159" max="6159" width="10.28515625" style="37" customWidth="1"/>
    <col min="6160" max="6160" width="12.7109375" style="37" customWidth="1"/>
    <col min="6161" max="6161" width="16" style="37" customWidth="1"/>
    <col min="6162" max="6162" width="9.7109375" style="37" customWidth="1"/>
    <col min="6163" max="6163" width="8" style="37" customWidth="1"/>
    <col min="6164" max="6164" width="13.7109375" style="37" customWidth="1"/>
    <col min="6165" max="6165" width="9.85546875" style="37" customWidth="1"/>
    <col min="6166" max="6166" width="13.7109375" style="37" customWidth="1"/>
    <col min="6167" max="6167" width="10.28515625" style="37" customWidth="1"/>
    <col min="6168" max="6168" width="12.7109375" style="37" customWidth="1"/>
    <col min="6169" max="6169" width="16" style="37" customWidth="1"/>
    <col min="6170" max="6170" width="9.7109375" style="37" customWidth="1"/>
    <col min="6171" max="6171" width="8" style="37" customWidth="1"/>
    <col min="6172" max="6172" width="13.7109375" style="37" customWidth="1"/>
    <col min="6173" max="6173" width="9.85546875" style="37" customWidth="1"/>
    <col min="6174" max="6174" width="13.7109375" style="37" customWidth="1"/>
    <col min="6175" max="6175" width="10.28515625" style="37" customWidth="1"/>
    <col min="6176" max="6351" width="11.42578125" style="37"/>
    <col min="6352" max="6352" width="12.7109375" style="37" customWidth="1"/>
    <col min="6353" max="6353" width="16" style="37" customWidth="1"/>
    <col min="6354" max="6354" width="9.7109375" style="37" customWidth="1"/>
    <col min="6355" max="6355" width="8" style="37" customWidth="1"/>
    <col min="6356" max="6356" width="13.7109375" style="37" customWidth="1"/>
    <col min="6357" max="6357" width="9.85546875" style="37" customWidth="1"/>
    <col min="6358" max="6358" width="13.7109375" style="37" customWidth="1"/>
    <col min="6359" max="6359" width="10.28515625" style="37" customWidth="1"/>
    <col min="6360" max="6360" width="12.7109375" style="37" customWidth="1"/>
    <col min="6361" max="6361" width="16" style="37" customWidth="1"/>
    <col min="6362" max="6362" width="9.7109375" style="37" customWidth="1"/>
    <col min="6363" max="6363" width="8" style="37" customWidth="1"/>
    <col min="6364" max="6364" width="13.7109375" style="37" customWidth="1"/>
    <col min="6365" max="6365" width="9.85546875" style="37" customWidth="1"/>
    <col min="6366" max="6366" width="13.7109375" style="37" customWidth="1"/>
    <col min="6367" max="6367" width="10.28515625" style="37" customWidth="1"/>
    <col min="6368" max="6368" width="12.7109375" style="37" customWidth="1"/>
    <col min="6369" max="6369" width="16" style="37" customWidth="1"/>
    <col min="6370" max="6370" width="9.7109375" style="37" customWidth="1"/>
    <col min="6371" max="6371" width="8" style="37" customWidth="1"/>
    <col min="6372" max="6372" width="13.7109375" style="37" customWidth="1"/>
    <col min="6373" max="6373" width="9.85546875" style="37" customWidth="1"/>
    <col min="6374" max="6374" width="13.7109375" style="37" customWidth="1"/>
    <col min="6375" max="6375" width="10.28515625" style="37" customWidth="1"/>
    <col min="6376" max="6376" width="12.7109375" style="37" customWidth="1"/>
    <col min="6377" max="6377" width="16" style="37" customWidth="1"/>
    <col min="6378" max="6378" width="9.7109375" style="37" customWidth="1"/>
    <col min="6379" max="6379" width="8" style="37" customWidth="1"/>
    <col min="6380" max="6380" width="13.7109375" style="37" customWidth="1"/>
    <col min="6381" max="6381" width="9.85546875" style="37" customWidth="1"/>
    <col min="6382" max="6382" width="13.7109375" style="37" customWidth="1"/>
    <col min="6383" max="6383" width="10.28515625" style="37" customWidth="1"/>
    <col min="6384" max="6384" width="12.7109375" style="37" customWidth="1"/>
    <col min="6385" max="6385" width="16" style="37" customWidth="1"/>
    <col min="6386" max="6386" width="9.7109375" style="37" customWidth="1"/>
    <col min="6387" max="6387" width="8" style="37" customWidth="1"/>
    <col min="6388" max="6388" width="13.7109375" style="37" customWidth="1"/>
    <col min="6389" max="6389" width="9.85546875" style="37" customWidth="1"/>
    <col min="6390" max="6390" width="13.7109375" style="37" customWidth="1"/>
    <col min="6391" max="6391" width="10.28515625" style="37" customWidth="1"/>
    <col min="6392" max="6392" width="12.7109375" style="37" customWidth="1"/>
    <col min="6393" max="6393" width="16" style="37" customWidth="1"/>
    <col min="6394" max="6394" width="9.7109375" style="37" customWidth="1"/>
    <col min="6395" max="6395" width="8" style="37" customWidth="1"/>
    <col min="6396" max="6396" width="13.7109375" style="37" customWidth="1"/>
    <col min="6397" max="6397" width="9.85546875" style="37" customWidth="1"/>
    <col min="6398" max="6398" width="13.7109375" style="37" customWidth="1"/>
    <col min="6399" max="6399" width="10.28515625" style="37" customWidth="1"/>
    <col min="6400" max="6400" width="12.7109375" style="37" customWidth="1"/>
    <col min="6401" max="6401" width="16" style="37" customWidth="1"/>
    <col min="6402" max="6402" width="9.7109375" style="37" customWidth="1"/>
    <col min="6403" max="6403" width="8" style="37" customWidth="1"/>
    <col min="6404" max="6404" width="13.7109375" style="37" customWidth="1"/>
    <col min="6405" max="6405" width="9.85546875" style="37" customWidth="1"/>
    <col min="6406" max="6406" width="13.7109375" style="37" customWidth="1"/>
    <col min="6407" max="6407" width="10.28515625" style="37" customWidth="1"/>
    <col min="6408" max="6408" width="12.7109375" style="37" customWidth="1"/>
    <col min="6409" max="6409" width="16" style="37" customWidth="1"/>
    <col min="6410" max="6410" width="9.7109375" style="37" customWidth="1"/>
    <col min="6411" max="6411" width="8" style="37" customWidth="1"/>
    <col min="6412" max="6412" width="13.7109375" style="37" customWidth="1"/>
    <col min="6413" max="6413" width="9.85546875" style="37" customWidth="1"/>
    <col min="6414" max="6414" width="13.7109375" style="37" customWidth="1"/>
    <col min="6415" max="6415" width="10.28515625" style="37" customWidth="1"/>
    <col min="6416" max="6416" width="12.7109375" style="37" customWidth="1"/>
    <col min="6417" max="6417" width="16" style="37" customWidth="1"/>
    <col min="6418" max="6418" width="9.7109375" style="37" customWidth="1"/>
    <col min="6419" max="6419" width="8" style="37" customWidth="1"/>
    <col min="6420" max="6420" width="13.7109375" style="37" customWidth="1"/>
    <col min="6421" max="6421" width="9.85546875" style="37" customWidth="1"/>
    <col min="6422" max="6422" width="13.7109375" style="37" customWidth="1"/>
    <col min="6423" max="6423" width="10.28515625" style="37" customWidth="1"/>
    <col min="6424" max="6424" width="12.7109375" style="37" customWidth="1"/>
    <col min="6425" max="6425" width="16" style="37" customWidth="1"/>
    <col min="6426" max="6426" width="9.7109375" style="37" customWidth="1"/>
    <col min="6427" max="6427" width="8" style="37" customWidth="1"/>
    <col min="6428" max="6428" width="13.7109375" style="37" customWidth="1"/>
    <col min="6429" max="6429" width="9.85546875" style="37" customWidth="1"/>
    <col min="6430" max="6430" width="13.7109375" style="37" customWidth="1"/>
    <col min="6431" max="6431" width="10.28515625" style="37" customWidth="1"/>
    <col min="6432" max="6607" width="11.42578125" style="37"/>
    <col min="6608" max="6608" width="12.7109375" style="37" customWidth="1"/>
    <col min="6609" max="6609" width="16" style="37" customWidth="1"/>
    <col min="6610" max="6610" width="9.7109375" style="37" customWidth="1"/>
    <col min="6611" max="6611" width="8" style="37" customWidth="1"/>
    <col min="6612" max="6612" width="13.7109375" style="37" customWidth="1"/>
    <col min="6613" max="6613" width="9.85546875" style="37" customWidth="1"/>
    <col min="6614" max="6614" width="13.7109375" style="37" customWidth="1"/>
    <col min="6615" max="6615" width="10.28515625" style="37" customWidth="1"/>
    <col min="6616" max="6616" width="12.7109375" style="37" customWidth="1"/>
    <col min="6617" max="6617" width="16" style="37" customWidth="1"/>
    <col min="6618" max="6618" width="9.7109375" style="37" customWidth="1"/>
    <col min="6619" max="6619" width="8" style="37" customWidth="1"/>
    <col min="6620" max="6620" width="13.7109375" style="37" customWidth="1"/>
    <col min="6621" max="6621" width="9.85546875" style="37" customWidth="1"/>
    <col min="6622" max="6622" width="13.7109375" style="37" customWidth="1"/>
    <col min="6623" max="6623" width="10.28515625" style="37" customWidth="1"/>
    <col min="6624" max="6624" width="12.7109375" style="37" customWidth="1"/>
    <col min="6625" max="6625" width="16" style="37" customWidth="1"/>
    <col min="6626" max="6626" width="9.7109375" style="37" customWidth="1"/>
    <col min="6627" max="6627" width="8" style="37" customWidth="1"/>
    <col min="6628" max="6628" width="13.7109375" style="37" customWidth="1"/>
    <col min="6629" max="6629" width="9.85546875" style="37" customWidth="1"/>
    <col min="6630" max="6630" width="13.7109375" style="37" customWidth="1"/>
    <col min="6631" max="6631" width="10.28515625" style="37" customWidth="1"/>
    <col min="6632" max="6632" width="12.7109375" style="37" customWidth="1"/>
    <col min="6633" max="6633" width="16" style="37" customWidth="1"/>
    <col min="6634" max="6634" width="9.7109375" style="37" customWidth="1"/>
    <col min="6635" max="6635" width="8" style="37" customWidth="1"/>
    <col min="6636" max="6636" width="13.7109375" style="37" customWidth="1"/>
    <col min="6637" max="6637" width="9.85546875" style="37" customWidth="1"/>
    <col min="6638" max="6638" width="13.7109375" style="37" customWidth="1"/>
    <col min="6639" max="6639" width="10.28515625" style="37" customWidth="1"/>
    <col min="6640" max="6640" width="12.7109375" style="37" customWidth="1"/>
    <col min="6641" max="6641" width="16" style="37" customWidth="1"/>
    <col min="6642" max="6642" width="9.7109375" style="37" customWidth="1"/>
    <col min="6643" max="6643" width="8" style="37" customWidth="1"/>
    <col min="6644" max="6644" width="13.7109375" style="37" customWidth="1"/>
    <col min="6645" max="6645" width="9.85546875" style="37" customWidth="1"/>
    <col min="6646" max="6646" width="13.7109375" style="37" customWidth="1"/>
    <col min="6647" max="6647" width="10.28515625" style="37" customWidth="1"/>
    <col min="6648" max="6648" width="12.7109375" style="37" customWidth="1"/>
    <col min="6649" max="6649" width="16" style="37" customWidth="1"/>
    <col min="6650" max="6650" width="9.7109375" style="37" customWidth="1"/>
    <col min="6651" max="6651" width="8" style="37" customWidth="1"/>
    <col min="6652" max="6652" width="13.7109375" style="37" customWidth="1"/>
    <col min="6653" max="6653" width="9.85546875" style="37" customWidth="1"/>
    <col min="6654" max="6654" width="13.7109375" style="37" customWidth="1"/>
    <col min="6655" max="6655" width="10.28515625" style="37" customWidth="1"/>
    <col min="6656" max="6656" width="12.7109375" style="37" customWidth="1"/>
    <col min="6657" max="6657" width="16" style="37" customWidth="1"/>
    <col min="6658" max="6658" width="9.7109375" style="37" customWidth="1"/>
    <col min="6659" max="6659" width="8" style="37" customWidth="1"/>
    <col min="6660" max="6660" width="13.7109375" style="37" customWidth="1"/>
    <col min="6661" max="6661" width="9.85546875" style="37" customWidth="1"/>
    <col min="6662" max="6662" width="13.7109375" style="37" customWidth="1"/>
    <col min="6663" max="6663" width="10.28515625" style="37" customWidth="1"/>
    <col min="6664" max="6664" width="12.7109375" style="37" customWidth="1"/>
    <col min="6665" max="6665" width="16" style="37" customWidth="1"/>
    <col min="6666" max="6666" width="9.7109375" style="37" customWidth="1"/>
    <col min="6667" max="6667" width="8" style="37" customWidth="1"/>
    <col min="6668" max="6668" width="13.7109375" style="37" customWidth="1"/>
    <col min="6669" max="6669" width="9.85546875" style="37" customWidth="1"/>
    <col min="6670" max="6670" width="13.7109375" style="37" customWidth="1"/>
    <col min="6671" max="6671" width="10.28515625" style="37" customWidth="1"/>
    <col min="6672" max="6672" width="12.7109375" style="37" customWidth="1"/>
    <col min="6673" max="6673" width="16" style="37" customWidth="1"/>
    <col min="6674" max="6674" width="9.7109375" style="37" customWidth="1"/>
    <col min="6675" max="6675" width="8" style="37" customWidth="1"/>
    <col min="6676" max="6676" width="13.7109375" style="37" customWidth="1"/>
    <col min="6677" max="6677" width="9.85546875" style="37" customWidth="1"/>
    <col min="6678" max="6678" width="13.7109375" style="37" customWidth="1"/>
    <col min="6679" max="6679" width="10.28515625" style="37" customWidth="1"/>
    <col min="6680" max="6680" width="12.7109375" style="37" customWidth="1"/>
    <col min="6681" max="6681" width="16" style="37" customWidth="1"/>
    <col min="6682" max="6682" width="9.7109375" style="37" customWidth="1"/>
    <col min="6683" max="6683" width="8" style="37" customWidth="1"/>
    <col min="6684" max="6684" width="13.7109375" style="37" customWidth="1"/>
    <col min="6685" max="6685" width="9.85546875" style="37" customWidth="1"/>
    <col min="6686" max="6686" width="13.7109375" style="37" customWidth="1"/>
    <col min="6687" max="6687" width="10.28515625" style="37" customWidth="1"/>
    <col min="6688" max="6863" width="11.42578125" style="37"/>
    <col min="6864" max="6864" width="12.7109375" style="37" customWidth="1"/>
    <col min="6865" max="6865" width="16" style="37" customWidth="1"/>
    <col min="6866" max="6866" width="9.7109375" style="37" customWidth="1"/>
    <col min="6867" max="6867" width="8" style="37" customWidth="1"/>
    <col min="6868" max="6868" width="13.7109375" style="37" customWidth="1"/>
    <col min="6869" max="6869" width="9.85546875" style="37" customWidth="1"/>
    <col min="6870" max="6870" width="13.7109375" style="37" customWidth="1"/>
    <col min="6871" max="6871" width="10.28515625" style="37" customWidth="1"/>
    <col min="6872" max="6872" width="12.7109375" style="37" customWidth="1"/>
    <col min="6873" max="6873" width="16" style="37" customWidth="1"/>
    <col min="6874" max="6874" width="9.7109375" style="37" customWidth="1"/>
    <col min="6875" max="6875" width="8" style="37" customWidth="1"/>
    <col min="6876" max="6876" width="13.7109375" style="37" customWidth="1"/>
    <col min="6877" max="6877" width="9.85546875" style="37" customWidth="1"/>
    <col min="6878" max="6878" width="13.7109375" style="37" customWidth="1"/>
    <col min="6879" max="6879" width="10.28515625" style="37" customWidth="1"/>
    <col min="6880" max="6880" width="12.7109375" style="37" customWidth="1"/>
    <col min="6881" max="6881" width="16" style="37" customWidth="1"/>
    <col min="6882" max="6882" width="9.7109375" style="37" customWidth="1"/>
    <col min="6883" max="6883" width="8" style="37" customWidth="1"/>
    <col min="6884" max="6884" width="13.7109375" style="37" customWidth="1"/>
    <col min="6885" max="6885" width="9.85546875" style="37" customWidth="1"/>
    <col min="6886" max="6886" width="13.7109375" style="37" customWidth="1"/>
    <col min="6887" max="6887" width="10.28515625" style="37" customWidth="1"/>
    <col min="6888" max="6888" width="12.7109375" style="37" customWidth="1"/>
    <col min="6889" max="6889" width="16" style="37" customWidth="1"/>
    <col min="6890" max="6890" width="9.7109375" style="37" customWidth="1"/>
    <col min="6891" max="6891" width="8" style="37" customWidth="1"/>
    <col min="6892" max="6892" width="13.7109375" style="37" customWidth="1"/>
    <col min="6893" max="6893" width="9.85546875" style="37" customWidth="1"/>
    <col min="6894" max="6894" width="13.7109375" style="37" customWidth="1"/>
    <col min="6895" max="6895" width="10.28515625" style="37" customWidth="1"/>
    <col min="6896" max="6896" width="12.7109375" style="37" customWidth="1"/>
    <col min="6897" max="6897" width="16" style="37" customWidth="1"/>
    <col min="6898" max="6898" width="9.7109375" style="37" customWidth="1"/>
    <col min="6899" max="6899" width="8" style="37" customWidth="1"/>
    <col min="6900" max="6900" width="13.7109375" style="37" customWidth="1"/>
    <col min="6901" max="6901" width="9.85546875" style="37" customWidth="1"/>
    <col min="6902" max="6902" width="13.7109375" style="37" customWidth="1"/>
    <col min="6903" max="6903" width="10.28515625" style="37" customWidth="1"/>
    <col min="6904" max="6904" width="12.7109375" style="37" customWidth="1"/>
    <col min="6905" max="6905" width="16" style="37" customWidth="1"/>
    <col min="6906" max="6906" width="9.7109375" style="37" customWidth="1"/>
    <col min="6907" max="6907" width="8" style="37" customWidth="1"/>
    <col min="6908" max="6908" width="13.7109375" style="37" customWidth="1"/>
    <col min="6909" max="6909" width="9.85546875" style="37" customWidth="1"/>
    <col min="6910" max="6910" width="13.7109375" style="37" customWidth="1"/>
    <col min="6911" max="6911" width="10.28515625" style="37" customWidth="1"/>
    <col min="6912" max="6912" width="12.7109375" style="37" customWidth="1"/>
    <col min="6913" max="6913" width="16" style="37" customWidth="1"/>
    <col min="6914" max="6914" width="9.7109375" style="37" customWidth="1"/>
    <col min="6915" max="6915" width="8" style="37" customWidth="1"/>
    <col min="6916" max="6916" width="13.7109375" style="37" customWidth="1"/>
    <col min="6917" max="6917" width="9.85546875" style="37" customWidth="1"/>
    <col min="6918" max="6918" width="13.7109375" style="37" customWidth="1"/>
    <col min="6919" max="6919" width="10.28515625" style="37" customWidth="1"/>
    <col min="6920" max="6920" width="12.7109375" style="37" customWidth="1"/>
    <col min="6921" max="6921" width="16" style="37" customWidth="1"/>
    <col min="6922" max="6922" width="9.7109375" style="37" customWidth="1"/>
    <col min="6923" max="6923" width="8" style="37" customWidth="1"/>
    <col min="6924" max="6924" width="13.7109375" style="37" customWidth="1"/>
    <col min="6925" max="6925" width="9.85546875" style="37" customWidth="1"/>
    <col min="6926" max="6926" width="13.7109375" style="37" customWidth="1"/>
    <col min="6927" max="6927" width="10.28515625" style="37" customWidth="1"/>
    <col min="6928" max="6928" width="12.7109375" style="37" customWidth="1"/>
    <col min="6929" max="6929" width="16" style="37" customWidth="1"/>
    <col min="6930" max="6930" width="9.7109375" style="37" customWidth="1"/>
    <col min="6931" max="6931" width="8" style="37" customWidth="1"/>
    <col min="6932" max="6932" width="13.7109375" style="37" customWidth="1"/>
    <col min="6933" max="6933" width="9.85546875" style="37" customWidth="1"/>
    <col min="6934" max="6934" width="13.7109375" style="37" customWidth="1"/>
    <col min="6935" max="6935" width="10.28515625" style="37" customWidth="1"/>
    <col min="6936" max="6936" width="12.7109375" style="37" customWidth="1"/>
    <col min="6937" max="6937" width="16" style="37" customWidth="1"/>
    <col min="6938" max="6938" width="9.7109375" style="37" customWidth="1"/>
    <col min="6939" max="6939" width="8" style="37" customWidth="1"/>
    <col min="6940" max="6940" width="13.7109375" style="37" customWidth="1"/>
    <col min="6941" max="6941" width="9.85546875" style="37" customWidth="1"/>
    <col min="6942" max="6942" width="13.7109375" style="37" customWidth="1"/>
    <col min="6943" max="6943" width="10.28515625" style="37" customWidth="1"/>
    <col min="6944" max="7119" width="11.42578125" style="37"/>
    <col min="7120" max="7120" width="12.7109375" style="37" customWidth="1"/>
    <col min="7121" max="7121" width="16" style="37" customWidth="1"/>
    <col min="7122" max="7122" width="9.7109375" style="37" customWidth="1"/>
    <col min="7123" max="7123" width="8" style="37" customWidth="1"/>
    <col min="7124" max="7124" width="13.7109375" style="37" customWidth="1"/>
    <col min="7125" max="7125" width="9.85546875" style="37" customWidth="1"/>
    <col min="7126" max="7126" width="13.7109375" style="37" customWidth="1"/>
    <col min="7127" max="7127" width="10.28515625" style="37" customWidth="1"/>
    <col min="7128" max="7128" width="12.7109375" style="37" customWidth="1"/>
    <col min="7129" max="7129" width="16" style="37" customWidth="1"/>
    <col min="7130" max="7130" width="9.7109375" style="37" customWidth="1"/>
    <col min="7131" max="7131" width="8" style="37" customWidth="1"/>
    <col min="7132" max="7132" width="13.7109375" style="37" customWidth="1"/>
    <col min="7133" max="7133" width="9.85546875" style="37" customWidth="1"/>
    <col min="7134" max="7134" width="13.7109375" style="37" customWidth="1"/>
    <col min="7135" max="7135" width="10.28515625" style="37" customWidth="1"/>
    <col min="7136" max="7136" width="12.7109375" style="37" customWidth="1"/>
    <col min="7137" max="7137" width="16" style="37" customWidth="1"/>
    <col min="7138" max="7138" width="9.7109375" style="37" customWidth="1"/>
    <col min="7139" max="7139" width="8" style="37" customWidth="1"/>
    <col min="7140" max="7140" width="13.7109375" style="37" customWidth="1"/>
    <col min="7141" max="7141" width="9.85546875" style="37" customWidth="1"/>
    <col min="7142" max="7142" width="13.7109375" style="37" customWidth="1"/>
    <col min="7143" max="7143" width="10.28515625" style="37" customWidth="1"/>
    <col min="7144" max="7144" width="12.7109375" style="37" customWidth="1"/>
    <col min="7145" max="7145" width="16" style="37" customWidth="1"/>
    <col min="7146" max="7146" width="9.7109375" style="37" customWidth="1"/>
    <col min="7147" max="7147" width="8" style="37" customWidth="1"/>
    <col min="7148" max="7148" width="13.7109375" style="37" customWidth="1"/>
    <col min="7149" max="7149" width="9.85546875" style="37" customWidth="1"/>
    <col min="7150" max="7150" width="13.7109375" style="37" customWidth="1"/>
    <col min="7151" max="7151" width="10.28515625" style="37" customWidth="1"/>
    <col min="7152" max="7152" width="12.7109375" style="37" customWidth="1"/>
    <col min="7153" max="7153" width="16" style="37" customWidth="1"/>
    <col min="7154" max="7154" width="9.7109375" style="37" customWidth="1"/>
    <col min="7155" max="7155" width="8" style="37" customWidth="1"/>
    <col min="7156" max="7156" width="13.7109375" style="37" customWidth="1"/>
    <col min="7157" max="7157" width="9.85546875" style="37" customWidth="1"/>
    <col min="7158" max="7158" width="13.7109375" style="37" customWidth="1"/>
    <col min="7159" max="7159" width="10.28515625" style="37" customWidth="1"/>
    <col min="7160" max="7160" width="12.7109375" style="37" customWidth="1"/>
    <col min="7161" max="7161" width="16" style="37" customWidth="1"/>
    <col min="7162" max="7162" width="9.7109375" style="37" customWidth="1"/>
    <col min="7163" max="7163" width="8" style="37" customWidth="1"/>
    <col min="7164" max="7164" width="13.7109375" style="37" customWidth="1"/>
    <col min="7165" max="7165" width="9.85546875" style="37" customWidth="1"/>
    <col min="7166" max="7166" width="13.7109375" style="37" customWidth="1"/>
    <col min="7167" max="7167" width="10.28515625" style="37" customWidth="1"/>
    <col min="7168" max="7168" width="12.7109375" style="37" customWidth="1"/>
    <col min="7169" max="7169" width="16" style="37" customWidth="1"/>
    <col min="7170" max="7170" width="9.7109375" style="37" customWidth="1"/>
    <col min="7171" max="7171" width="8" style="37" customWidth="1"/>
    <col min="7172" max="7172" width="13.7109375" style="37" customWidth="1"/>
    <col min="7173" max="7173" width="9.85546875" style="37" customWidth="1"/>
    <col min="7174" max="7174" width="13.7109375" style="37" customWidth="1"/>
    <col min="7175" max="7175" width="10.28515625" style="37" customWidth="1"/>
    <col min="7176" max="7176" width="12.7109375" style="37" customWidth="1"/>
    <col min="7177" max="7177" width="16" style="37" customWidth="1"/>
    <col min="7178" max="7178" width="9.7109375" style="37" customWidth="1"/>
    <col min="7179" max="7179" width="8" style="37" customWidth="1"/>
    <col min="7180" max="7180" width="13.7109375" style="37" customWidth="1"/>
    <col min="7181" max="7181" width="9.85546875" style="37" customWidth="1"/>
    <col min="7182" max="7182" width="13.7109375" style="37" customWidth="1"/>
    <col min="7183" max="7183" width="10.28515625" style="37" customWidth="1"/>
    <col min="7184" max="7184" width="12.7109375" style="37" customWidth="1"/>
    <col min="7185" max="7185" width="16" style="37" customWidth="1"/>
    <col min="7186" max="7186" width="9.7109375" style="37" customWidth="1"/>
    <col min="7187" max="7187" width="8" style="37" customWidth="1"/>
    <col min="7188" max="7188" width="13.7109375" style="37" customWidth="1"/>
    <col min="7189" max="7189" width="9.85546875" style="37" customWidth="1"/>
    <col min="7190" max="7190" width="13.7109375" style="37" customWidth="1"/>
    <col min="7191" max="7191" width="10.28515625" style="37" customWidth="1"/>
    <col min="7192" max="7192" width="12.7109375" style="37" customWidth="1"/>
    <col min="7193" max="7193" width="16" style="37" customWidth="1"/>
    <col min="7194" max="7194" width="9.7109375" style="37" customWidth="1"/>
    <col min="7195" max="7195" width="8" style="37" customWidth="1"/>
    <col min="7196" max="7196" width="13.7109375" style="37" customWidth="1"/>
    <col min="7197" max="7197" width="9.85546875" style="37" customWidth="1"/>
    <col min="7198" max="7198" width="13.7109375" style="37" customWidth="1"/>
    <col min="7199" max="7199" width="10.28515625" style="37" customWidth="1"/>
    <col min="7200" max="7375" width="11.42578125" style="37"/>
    <col min="7376" max="7376" width="12.7109375" style="37" customWidth="1"/>
    <col min="7377" max="7377" width="16" style="37" customWidth="1"/>
    <col min="7378" max="7378" width="9.7109375" style="37" customWidth="1"/>
    <col min="7379" max="7379" width="8" style="37" customWidth="1"/>
    <col min="7380" max="7380" width="13.7109375" style="37" customWidth="1"/>
    <col min="7381" max="7381" width="9.85546875" style="37" customWidth="1"/>
    <col min="7382" max="7382" width="13.7109375" style="37" customWidth="1"/>
    <col min="7383" max="7383" width="10.28515625" style="37" customWidth="1"/>
    <col min="7384" max="7384" width="12.7109375" style="37" customWidth="1"/>
    <col min="7385" max="7385" width="16" style="37" customWidth="1"/>
    <col min="7386" max="7386" width="9.7109375" style="37" customWidth="1"/>
    <col min="7387" max="7387" width="8" style="37" customWidth="1"/>
    <col min="7388" max="7388" width="13.7109375" style="37" customWidth="1"/>
    <col min="7389" max="7389" width="9.85546875" style="37" customWidth="1"/>
    <col min="7390" max="7390" width="13.7109375" style="37" customWidth="1"/>
    <col min="7391" max="7391" width="10.28515625" style="37" customWidth="1"/>
    <col min="7392" max="7392" width="12.7109375" style="37" customWidth="1"/>
    <col min="7393" max="7393" width="16" style="37" customWidth="1"/>
    <col min="7394" max="7394" width="9.7109375" style="37" customWidth="1"/>
    <col min="7395" max="7395" width="8" style="37" customWidth="1"/>
    <col min="7396" max="7396" width="13.7109375" style="37" customWidth="1"/>
    <col min="7397" max="7397" width="9.85546875" style="37" customWidth="1"/>
    <col min="7398" max="7398" width="13.7109375" style="37" customWidth="1"/>
    <col min="7399" max="7399" width="10.28515625" style="37" customWidth="1"/>
    <col min="7400" max="7400" width="12.7109375" style="37" customWidth="1"/>
    <col min="7401" max="7401" width="16" style="37" customWidth="1"/>
    <col min="7402" max="7402" width="9.7109375" style="37" customWidth="1"/>
    <col min="7403" max="7403" width="8" style="37" customWidth="1"/>
    <col min="7404" max="7404" width="13.7109375" style="37" customWidth="1"/>
    <col min="7405" max="7405" width="9.85546875" style="37" customWidth="1"/>
    <col min="7406" max="7406" width="13.7109375" style="37" customWidth="1"/>
    <col min="7407" max="7407" width="10.28515625" style="37" customWidth="1"/>
    <col min="7408" max="7408" width="12.7109375" style="37" customWidth="1"/>
    <col min="7409" max="7409" width="16" style="37" customWidth="1"/>
    <col min="7410" max="7410" width="9.7109375" style="37" customWidth="1"/>
    <col min="7411" max="7411" width="8" style="37" customWidth="1"/>
    <col min="7412" max="7412" width="13.7109375" style="37" customWidth="1"/>
    <col min="7413" max="7413" width="9.85546875" style="37" customWidth="1"/>
    <col min="7414" max="7414" width="13.7109375" style="37" customWidth="1"/>
    <col min="7415" max="7415" width="10.28515625" style="37" customWidth="1"/>
    <col min="7416" max="7416" width="12.7109375" style="37" customWidth="1"/>
    <col min="7417" max="7417" width="16" style="37" customWidth="1"/>
    <col min="7418" max="7418" width="9.7109375" style="37" customWidth="1"/>
    <col min="7419" max="7419" width="8" style="37" customWidth="1"/>
    <col min="7420" max="7420" width="13.7109375" style="37" customWidth="1"/>
    <col min="7421" max="7421" width="9.85546875" style="37" customWidth="1"/>
    <col min="7422" max="7422" width="13.7109375" style="37" customWidth="1"/>
    <col min="7423" max="7423" width="10.28515625" style="37" customWidth="1"/>
    <col min="7424" max="7424" width="12.7109375" style="37" customWidth="1"/>
    <col min="7425" max="7425" width="16" style="37" customWidth="1"/>
    <col min="7426" max="7426" width="9.7109375" style="37" customWidth="1"/>
    <col min="7427" max="7427" width="8" style="37" customWidth="1"/>
    <col min="7428" max="7428" width="13.7109375" style="37" customWidth="1"/>
    <col min="7429" max="7429" width="9.85546875" style="37" customWidth="1"/>
    <col min="7430" max="7430" width="13.7109375" style="37" customWidth="1"/>
    <col min="7431" max="7431" width="10.28515625" style="37" customWidth="1"/>
    <col min="7432" max="7432" width="12.7109375" style="37" customWidth="1"/>
    <col min="7433" max="7433" width="16" style="37" customWidth="1"/>
    <col min="7434" max="7434" width="9.7109375" style="37" customWidth="1"/>
    <col min="7435" max="7435" width="8" style="37" customWidth="1"/>
    <col min="7436" max="7436" width="13.7109375" style="37" customWidth="1"/>
    <col min="7437" max="7437" width="9.85546875" style="37" customWidth="1"/>
    <col min="7438" max="7438" width="13.7109375" style="37" customWidth="1"/>
    <col min="7439" max="7439" width="10.28515625" style="37" customWidth="1"/>
    <col min="7440" max="7440" width="12.7109375" style="37" customWidth="1"/>
    <col min="7441" max="7441" width="16" style="37" customWidth="1"/>
    <col min="7442" max="7442" width="9.7109375" style="37" customWidth="1"/>
    <col min="7443" max="7443" width="8" style="37" customWidth="1"/>
    <col min="7444" max="7444" width="13.7109375" style="37" customWidth="1"/>
    <col min="7445" max="7445" width="9.85546875" style="37" customWidth="1"/>
    <col min="7446" max="7446" width="13.7109375" style="37" customWidth="1"/>
    <col min="7447" max="7447" width="10.28515625" style="37" customWidth="1"/>
    <col min="7448" max="7448" width="12.7109375" style="37" customWidth="1"/>
    <col min="7449" max="7449" width="16" style="37" customWidth="1"/>
    <col min="7450" max="7450" width="9.7109375" style="37" customWidth="1"/>
    <col min="7451" max="7451" width="8" style="37" customWidth="1"/>
    <col min="7452" max="7452" width="13.7109375" style="37" customWidth="1"/>
    <col min="7453" max="7453" width="9.85546875" style="37" customWidth="1"/>
    <col min="7454" max="7454" width="13.7109375" style="37" customWidth="1"/>
    <col min="7455" max="7455" width="10.28515625" style="37" customWidth="1"/>
    <col min="7456" max="7631" width="11.42578125" style="37"/>
    <col min="7632" max="7632" width="12.7109375" style="37" customWidth="1"/>
    <col min="7633" max="7633" width="16" style="37" customWidth="1"/>
    <col min="7634" max="7634" width="9.7109375" style="37" customWidth="1"/>
    <col min="7635" max="7635" width="8" style="37" customWidth="1"/>
    <col min="7636" max="7636" width="13.7109375" style="37" customWidth="1"/>
    <col min="7637" max="7637" width="9.85546875" style="37" customWidth="1"/>
    <col min="7638" max="7638" width="13.7109375" style="37" customWidth="1"/>
    <col min="7639" max="7639" width="10.28515625" style="37" customWidth="1"/>
    <col min="7640" max="7640" width="12.7109375" style="37" customWidth="1"/>
    <col min="7641" max="7641" width="16" style="37" customWidth="1"/>
    <col min="7642" max="7642" width="9.7109375" style="37" customWidth="1"/>
    <col min="7643" max="7643" width="8" style="37" customWidth="1"/>
    <col min="7644" max="7644" width="13.7109375" style="37" customWidth="1"/>
    <col min="7645" max="7645" width="9.85546875" style="37" customWidth="1"/>
    <col min="7646" max="7646" width="13.7109375" style="37" customWidth="1"/>
    <col min="7647" max="7647" width="10.28515625" style="37" customWidth="1"/>
    <col min="7648" max="7648" width="12.7109375" style="37" customWidth="1"/>
    <col min="7649" max="7649" width="16" style="37" customWidth="1"/>
    <col min="7650" max="7650" width="9.7109375" style="37" customWidth="1"/>
    <col min="7651" max="7651" width="8" style="37" customWidth="1"/>
    <col min="7652" max="7652" width="13.7109375" style="37" customWidth="1"/>
    <col min="7653" max="7653" width="9.85546875" style="37" customWidth="1"/>
    <col min="7654" max="7654" width="13.7109375" style="37" customWidth="1"/>
    <col min="7655" max="7655" width="10.28515625" style="37" customWidth="1"/>
    <col min="7656" max="7656" width="12.7109375" style="37" customWidth="1"/>
    <col min="7657" max="7657" width="16" style="37" customWidth="1"/>
    <col min="7658" max="7658" width="9.7109375" style="37" customWidth="1"/>
    <col min="7659" max="7659" width="8" style="37" customWidth="1"/>
    <col min="7660" max="7660" width="13.7109375" style="37" customWidth="1"/>
    <col min="7661" max="7661" width="9.85546875" style="37" customWidth="1"/>
    <col min="7662" max="7662" width="13.7109375" style="37" customWidth="1"/>
    <col min="7663" max="7663" width="10.28515625" style="37" customWidth="1"/>
    <col min="7664" max="7664" width="12.7109375" style="37" customWidth="1"/>
    <col min="7665" max="7665" width="16" style="37" customWidth="1"/>
    <col min="7666" max="7666" width="9.7109375" style="37" customWidth="1"/>
    <col min="7667" max="7667" width="8" style="37" customWidth="1"/>
    <col min="7668" max="7668" width="13.7109375" style="37" customWidth="1"/>
    <col min="7669" max="7669" width="9.85546875" style="37" customWidth="1"/>
    <col min="7670" max="7670" width="13.7109375" style="37" customWidth="1"/>
    <col min="7671" max="7671" width="10.28515625" style="37" customWidth="1"/>
    <col min="7672" max="7672" width="12.7109375" style="37" customWidth="1"/>
    <col min="7673" max="7673" width="16" style="37" customWidth="1"/>
    <col min="7674" max="7674" width="9.7109375" style="37" customWidth="1"/>
    <col min="7675" max="7675" width="8" style="37" customWidth="1"/>
    <col min="7676" max="7676" width="13.7109375" style="37" customWidth="1"/>
    <col min="7677" max="7677" width="9.85546875" style="37" customWidth="1"/>
    <col min="7678" max="7678" width="13.7109375" style="37" customWidth="1"/>
    <col min="7679" max="7679" width="10.28515625" style="37" customWidth="1"/>
    <col min="7680" max="7680" width="12.7109375" style="37" customWidth="1"/>
    <col min="7681" max="7681" width="16" style="37" customWidth="1"/>
    <col min="7682" max="7682" width="9.7109375" style="37" customWidth="1"/>
    <col min="7683" max="7683" width="8" style="37" customWidth="1"/>
    <col min="7684" max="7684" width="13.7109375" style="37" customWidth="1"/>
    <col min="7685" max="7685" width="9.85546875" style="37" customWidth="1"/>
    <col min="7686" max="7686" width="13.7109375" style="37" customWidth="1"/>
    <col min="7687" max="7687" width="10.28515625" style="37" customWidth="1"/>
    <col min="7688" max="7688" width="12.7109375" style="37" customWidth="1"/>
    <col min="7689" max="7689" width="16" style="37" customWidth="1"/>
    <col min="7690" max="7690" width="9.7109375" style="37" customWidth="1"/>
    <col min="7691" max="7691" width="8" style="37" customWidth="1"/>
    <col min="7692" max="7692" width="13.7109375" style="37" customWidth="1"/>
    <col min="7693" max="7693" width="9.85546875" style="37" customWidth="1"/>
    <col min="7694" max="7694" width="13.7109375" style="37" customWidth="1"/>
    <col min="7695" max="7695" width="10.28515625" style="37" customWidth="1"/>
    <col min="7696" max="7696" width="12.7109375" style="37" customWidth="1"/>
    <col min="7697" max="7697" width="16" style="37" customWidth="1"/>
    <col min="7698" max="7698" width="9.7109375" style="37" customWidth="1"/>
    <col min="7699" max="7699" width="8" style="37" customWidth="1"/>
    <col min="7700" max="7700" width="13.7109375" style="37" customWidth="1"/>
    <col min="7701" max="7701" width="9.85546875" style="37" customWidth="1"/>
    <col min="7702" max="7702" width="13.7109375" style="37" customWidth="1"/>
    <col min="7703" max="7703" width="10.28515625" style="37" customWidth="1"/>
    <col min="7704" max="7704" width="12.7109375" style="37" customWidth="1"/>
    <col min="7705" max="7705" width="16" style="37" customWidth="1"/>
    <col min="7706" max="7706" width="9.7109375" style="37" customWidth="1"/>
    <col min="7707" max="7707" width="8" style="37" customWidth="1"/>
    <col min="7708" max="7708" width="13.7109375" style="37" customWidth="1"/>
    <col min="7709" max="7709" width="9.85546875" style="37" customWidth="1"/>
    <col min="7710" max="7710" width="13.7109375" style="37" customWidth="1"/>
    <col min="7711" max="7711" width="10.28515625" style="37" customWidth="1"/>
    <col min="7712" max="7887" width="11.42578125" style="37"/>
    <col min="7888" max="7888" width="12.7109375" style="37" customWidth="1"/>
    <col min="7889" max="7889" width="16" style="37" customWidth="1"/>
    <col min="7890" max="7890" width="9.7109375" style="37" customWidth="1"/>
    <col min="7891" max="7891" width="8" style="37" customWidth="1"/>
    <col min="7892" max="7892" width="13.7109375" style="37" customWidth="1"/>
    <col min="7893" max="7893" width="9.85546875" style="37" customWidth="1"/>
    <col min="7894" max="7894" width="13.7109375" style="37" customWidth="1"/>
    <col min="7895" max="7895" width="10.28515625" style="37" customWidth="1"/>
    <col min="7896" max="7896" width="12.7109375" style="37" customWidth="1"/>
    <col min="7897" max="7897" width="16" style="37" customWidth="1"/>
    <col min="7898" max="7898" width="9.7109375" style="37" customWidth="1"/>
    <col min="7899" max="7899" width="8" style="37" customWidth="1"/>
    <col min="7900" max="7900" width="13.7109375" style="37" customWidth="1"/>
    <col min="7901" max="7901" width="9.85546875" style="37" customWidth="1"/>
    <col min="7902" max="7902" width="13.7109375" style="37" customWidth="1"/>
    <col min="7903" max="7903" width="10.28515625" style="37" customWidth="1"/>
    <col min="7904" max="7904" width="12.7109375" style="37" customWidth="1"/>
    <col min="7905" max="7905" width="16" style="37" customWidth="1"/>
    <col min="7906" max="7906" width="9.7109375" style="37" customWidth="1"/>
    <col min="7907" max="7907" width="8" style="37" customWidth="1"/>
    <col min="7908" max="7908" width="13.7109375" style="37" customWidth="1"/>
    <col min="7909" max="7909" width="9.85546875" style="37" customWidth="1"/>
    <col min="7910" max="7910" width="13.7109375" style="37" customWidth="1"/>
    <col min="7911" max="7911" width="10.28515625" style="37" customWidth="1"/>
    <col min="7912" max="7912" width="12.7109375" style="37" customWidth="1"/>
    <col min="7913" max="7913" width="16" style="37" customWidth="1"/>
    <col min="7914" max="7914" width="9.7109375" style="37" customWidth="1"/>
    <col min="7915" max="7915" width="8" style="37" customWidth="1"/>
    <col min="7916" max="7916" width="13.7109375" style="37" customWidth="1"/>
    <col min="7917" max="7917" width="9.85546875" style="37" customWidth="1"/>
    <col min="7918" max="7918" width="13.7109375" style="37" customWidth="1"/>
    <col min="7919" max="7919" width="10.28515625" style="37" customWidth="1"/>
    <col min="7920" max="7920" width="12.7109375" style="37" customWidth="1"/>
    <col min="7921" max="7921" width="16" style="37" customWidth="1"/>
    <col min="7922" max="7922" width="9.7109375" style="37" customWidth="1"/>
    <col min="7923" max="7923" width="8" style="37" customWidth="1"/>
    <col min="7924" max="7924" width="13.7109375" style="37" customWidth="1"/>
    <col min="7925" max="7925" width="9.85546875" style="37" customWidth="1"/>
    <col min="7926" max="7926" width="13.7109375" style="37" customWidth="1"/>
    <col min="7927" max="7927" width="10.28515625" style="37" customWidth="1"/>
    <col min="7928" max="7928" width="12.7109375" style="37" customWidth="1"/>
    <col min="7929" max="7929" width="16" style="37" customWidth="1"/>
    <col min="7930" max="7930" width="9.7109375" style="37" customWidth="1"/>
    <col min="7931" max="7931" width="8" style="37" customWidth="1"/>
    <col min="7932" max="7932" width="13.7109375" style="37" customWidth="1"/>
    <col min="7933" max="7933" width="9.85546875" style="37" customWidth="1"/>
    <col min="7934" max="7934" width="13.7109375" style="37" customWidth="1"/>
    <col min="7935" max="7935" width="10.28515625" style="37" customWidth="1"/>
    <col min="7936" max="7936" width="12.7109375" style="37" customWidth="1"/>
    <col min="7937" max="7937" width="16" style="37" customWidth="1"/>
    <col min="7938" max="7938" width="9.7109375" style="37" customWidth="1"/>
    <col min="7939" max="7939" width="8" style="37" customWidth="1"/>
    <col min="7940" max="7940" width="13.7109375" style="37" customWidth="1"/>
    <col min="7941" max="7941" width="9.85546875" style="37" customWidth="1"/>
    <col min="7942" max="7942" width="13.7109375" style="37" customWidth="1"/>
    <col min="7943" max="7943" width="10.28515625" style="37" customWidth="1"/>
    <col min="7944" max="7944" width="12.7109375" style="37" customWidth="1"/>
    <col min="7945" max="7945" width="16" style="37" customWidth="1"/>
    <col min="7946" max="7946" width="9.7109375" style="37" customWidth="1"/>
    <col min="7947" max="7947" width="8" style="37" customWidth="1"/>
    <col min="7948" max="7948" width="13.7109375" style="37" customWidth="1"/>
    <col min="7949" max="7949" width="9.85546875" style="37" customWidth="1"/>
    <col min="7950" max="7950" width="13.7109375" style="37" customWidth="1"/>
    <col min="7951" max="7951" width="10.28515625" style="37" customWidth="1"/>
    <col min="7952" max="7952" width="12.7109375" style="37" customWidth="1"/>
    <col min="7953" max="7953" width="16" style="37" customWidth="1"/>
    <col min="7954" max="7954" width="9.7109375" style="37" customWidth="1"/>
    <col min="7955" max="7955" width="8" style="37" customWidth="1"/>
    <col min="7956" max="7956" width="13.7109375" style="37" customWidth="1"/>
    <col min="7957" max="7957" width="9.85546875" style="37" customWidth="1"/>
    <col min="7958" max="7958" width="13.7109375" style="37" customWidth="1"/>
    <col min="7959" max="7959" width="10.28515625" style="37" customWidth="1"/>
    <col min="7960" max="7960" width="12.7109375" style="37" customWidth="1"/>
    <col min="7961" max="7961" width="16" style="37" customWidth="1"/>
    <col min="7962" max="7962" width="9.7109375" style="37" customWidth="1"/>
    <col min="7963" max="7963" width="8" style="37" customWidth="1"/>
    <col min="7964" max="7964" width="13.7109375" style="37" customWidth="1"/>
    <col min="7965" max="7965" width="9.85546875" style="37" customWidth="1"/>
    <col min="7966" max="7966" width="13.7109375" style="37" customWidth="1"/>
    <col min="7967" max="7967" width="10.28515625" style="37" customWidth="1"/>
    <col min="7968" max="8143" width="11.42578125" style="37"/>
    <col min="8144" max="8144" width="12.7109375" style="37" customWidth="1"/>
    <col min="8145" max="8145" width="16" style="37" customWidth="1"/>
    <col min="8146" max="8146" width="9.7109375" style="37" customWidth="1"/>
    <col min="8147" max="8147" width="8" style="37" customWidth="1"/>
    <col min="8148" max="8148" width="13.7109375" style="37" customWidth="1"/>
    <col min="8149" max="8149" width="9.85546875" style="37" customWidth="1"/>
    <col min="8150" max="8150" width="13.7109375" style="37" customWidth="1"/>
    <col min="8151" max="8151" width="10.28515625" style="37" customWidth="1"/>
    <col min="8152" max="8152" width="12.7109375" style="37" customWidth="1"/>
    <col min="8153" max="8153" width="16" style="37" customWidth="1"/>
    <col min="8154" max="8154" width="9.7109375" style="37" customWidth="1"/>
    <col min="8155" max="8155" width="8" style="37" customWidth="1"/>
    <col min="8156" max="8156" width="13.7109375" style="37" customWidth="1"/>
    <col min="8157" max="8157" width="9.85546875" style="37" customWidth="1"/>
    <col min="8158" max="8158" width="13.7109375" style="37" customWidth="1"/>
    <col min="8159" max="8159" width="10.28515625" style="37" customWidth="1"/>
    <col min="8160" max="8160" width="12.7109375" style="37" customWidth="1"/>
    <col min="8161" max="8161" width="16" style="37" customWidth="1"/>
    <col min="8162" max="8162" width="9.7109375" style="37" customWidth="1"/>
    <col min="8163" max="8163" width="8" style="37" customWidth="1"/>
    <col min="8164" max="8164" width="13.7109375" style="37" customWidth="1"/>
    <col min="8165" max="8165" width="9.85546875" style="37" customWidth="1"/>
    <col min="8166" max="8166" width="13.7109375" style="37" customWidth="1"/>
    <col min="8167" max="8167" width="10.28515625" style="37" customWidth="1"/>
    <col min="8168" max="8168" width="12.7109375" style="37" customWidth="1"/>
    <col min="8169" max="8169" width="16" style="37" customWidth="1"/>
    <col min="8170" max="8170" width="9.7109375" style="37" customWidth="1"/>
    <col min="8171" max="8171" width="8" style="37" customWidth="1"/>
    <col min="8172" max="8172" width="13.7109375" style="37" customWidth="1"/>
    <col min="8173" max="8173" width="9.85546875" style="37" customWidth="1"/>
    <col min="8174" max="8174" width="13.7109375" style="37" customWidth="1"/>
    <col min="8175" max="8175" width="10.28515625" style="37" customWidth="1"/>
    <col min="8176" max="8176" width="12.7109375" style="37" customWidth="1"/>
    <col min="8177" max="8177" width="16" style="37" customWidth="1"/>
    <col min="8178" max="8178" width="9.7109375" style="37" customWidth="1"/>
    <col min="8179" max="8179" width="8" style="37" customWidth="1"/>
    <col min="8180" max="8180" width="13.7109375" style="37" customWidth="1"/>
    <col min="8181" max="8181" width="9.85546875" style="37" customWidth="1"/>
    <col min="8182" max="8182" width="13.7109375" style="37" customWidth="1"/>
    <col min="8183" max="8183" width="10.28515625" style="37" customWidth="1"/>
    <col min="8184" max="8184" width="12.7109375" style="37" customWidth="1"/>
    <col min="8185" max="8185" width="16" style="37" customWidth="1"/>
    <col min="8186" max="8186" width="9.7109375" style="37" customWidth="1"/>
    <col min="8187" max="8187" width="8" style="37" customWidth="1"/>
    <col min="8188" max="8188" width="13.7109375" style="37" customWidth="1"/>
    <col min="8189" max="8189" width="9.85546875" style="37" customWidth="1"/>
    <col min="8190" max="8190" width="13.7109375" style="37" customWidth="1"/>
    <col min="8191" max="8191" width="10.28515625" style="37" customWidth="1"/>
    <col min="8192" max="8192" width="12.7109375" style="37" customWidth="1"/>
    <col min="8193" max="8193" width="16" style="37" customWidth="1"/>
    <col min="8194" max="8194" width="9.7109375" style="37" customWidth="1"/>
    <col min="8195" max="8195" width="8" style="37" customWidth="1"/>
    <col min="8196" max="8196" width="13.7109375" style="37" customWidth="1"/>
    <col min="8197" max="8197" width="9.85546875" style="37" customWidth="1"/>
    <col min="8198" max="8198" width="13.7109375" style="37" customWidth="1"/>
    <col min="8199" max="8199" width="10.28515625" style="37" customWidth="1"/>
    <col min="8200" max="8200" width="12.7109375" style="37" customWidth="1"/>
    <col min="8201" max="8201" width="16" style="37" customWidth="1"/>
    <col min="8202" max="8202" width="9.7109375" style="37" customWidth="1"/>
    <col min="8203" max="8203" width="8" style="37" customWidth="1"/>
    <col min="8204" max="8204" width="13.7109375" style="37" customWidth="1"/>
    <col min="8205" max="8205" width="9.85546875" style="37" customWidth="1"/>
    <col min="8206" max="8206" width="13.7109375" style="37" customWidth="1"/>
    <col min="8207" max="8207" width="10.28515625" style="37" customWidth="1"/>
    <col min="8208" max="8208" width="12.7109375" style="37" customWidth="1"/>
    <col min="8209" max="8209" width="16" style="37" customWidth="1"/>
    <col min="8210" max="8210" width="9.7109375" style="37" customWidth="1"/>
    <col min="8211" max="8211" width="8" style="37" customWidth="1"/>
    <col min="8212" max="8212" width="13.7109375" style="37" customWidth="1"/>
    <col min="8213" max="8213" width="9.85546875" style="37" customWidth="1"/>
    <col min="8214" max="8214" width="13.7109375" style="37" customWidth="1"/>
    <col min="8215" max="8215" width="10.28515625" style="37" customWidth="1"/>
    <col min="8216" max="8216" width="12.7109375" style="37" customWidth="1"/>
    <col min="8217" max="8217" width="16" style="37" customWidth="1"/>
    <col min="8218" max="8218" width="9.7109375" style="37" customWidth="1"/>
    <col min="8219" max="8219" width="8" style="37" customWidth="1"/>
    <col min="8220" max="8220" width="13.7109375" style="37" customWidth="1"/>
    <col min="8221" max="8221" width="9.85546875" style="37" customWidth="1"/>
    <col min="8222" max="8222" width="13.7109375" style="37" customWidth="1"/>
    <col min="8223" max="8223" width="10.28515625" style="37" customWidth="1"/>
    <col min="8224" max="8399" width="11.42578125" style="37"/>
    <col min="8400" max="8400" width="12.7109375" style="37" customWidth="1"/>
    <col min="8401" max="8401" width="16" style="37" customWidth="1"/>
    <col min="8402" max="8402" width="9.7109375" style="37" customWidth="1"/>
    <col min="8403" max="8403" width="8" style="37" customWidth="1"/>
    <col min="8404" max="8404" width="13.7109375" style="37" customWidth="1"/>
    <col min="8405" max="8405" width="9.85546875" style="37" customWidth="1"/>
    <col min="8406" max="8406" width="13.7109375" style="37" customWidth="1"/>
    <col min="8407" max="8407" width="10.28515625" style="37" customWidth="1"/>
    <col min="8408" max="8408" width="12.7109375" style="37" customWidth="1"/>
    <col min="8409" max="8409" width="16" style="37" customWidth="1"/>
    <col min="8410" max="8410" width="9.7109375" style="37" customWidth="1"/>
    <col min="8411" max="8411" width="8" style="37" customWidth="1"/>
    <col min="8412" max="8412" width="13.7109375" style="37" customWidth="1"/>
    <col min="8413" max="8413" width="9.85546875" style="37" customWidth="1"/>
    <col min="8414" max="8414" width="13.7109375" style="37" customWidth="1"/>
    <col min="8415" max="8415" width="10.28515625" style="37" customWidth="1"/>
    <col min="8416" max="8416" width="12.7109375" style="37" customWidth="1"/>
    <col min="8417" max="8417" width="16" style="37" customWidth="1"/>
    <col min="8418" max="8418" width="9.7109375" style="37" customWidth="1"/>
    <col min="8419" max="8419" width="8" style="37" customWidth="1"/>
    <col min="8420" max="8420" width="13.7109375" style="37" customWidth="1"/>
    <col min="8421" max="8421" width="9.85546875" style="37" customWidth="1"/>
    <col min="8422" max="8422" width="13.7109375" style="37" customWidth="1"/>
    <col min="8423" max="8423" width="10.28515625" style="37" customWidth="1"/>
    <col min="8424" max="8424" width="12.7109375" style="37" customWidth="1"/>
    <col min="8425" max="8425" width="16" style="37" customWidth="1"/>
    <col min="8426" max="8426" width="9.7109375" style="37" customWidth="1"/>
    <col min="8427" max="8427" width="8" style="37" customWidth="1"/>
    <col min="8428" max="8428" width="13.7109375" style="37" customWidth="1"/>
    <col min="8429" max="8429" width="9.85546875" style="37" customWidth="1"/>
    <col min="8430" max="8430" width="13.7109375" style="37" customWidth="1"/>
    <col min="8431" max="8431" width="10.28515625" style="37" customWidth="1"/>
    <col min="8432" max="8432" width="12.7109375" style="37" customWidth="1"/>
    <col min="8433" max="8433" width="16" style="37" customWidth="1"/>
    <col min="8434" max="8434" width="9.7109375" style="37" customWidth="1"/>
    <col min="8435" max="8435" width="8" style="37" customWidth="1"/>
    <col min="8436" max="8436" width="13.7109375" style="37" customWidth="1"/>
    <col min="8437" max="8437" width="9.85546875" style="37" customWidth="1"/>
    <col min="8438" max="8438" width="13.7109375" style="37" customWidth="1"/>
    <col min="8439" max="8439" width="10.28515625" style="37" customWidth="1"/>
    <col min="8440" max="8440" width="12.7109375" style="37" customWidth="1"/>
    <col min="8441" max="8441" width="16" style="37" customWidth="1"/>
    <col min="8442" max="8442" width="9.7109375" style="37" customWidth="1"/>
    <col min="8443" max="8443" width="8" style="37" customWidth="1"/>
    <col min="8444" max="8444" width="13.7109375" style="37" customWidth="1"/>
    <col min="8445" max="8445" width="9.85546875" style="37" customWidth="1"/>
    <col min="8446" max="8446" width="13.7109375" style="37" customWidth="1"/>
    <col min="8447" max="8447" width="10.28515625" style="37" customWidth="1"/>
    <col min="8448" max="8448" width="12.7109375" style="37" customWidth="1"/>
    <col min="8449" max="8449" width="16" style="37" customWidth="1"/>
    <col min="8450" max="8450" width="9.7109375" style="37" customWidth="1"/>
    <col min="8451" max="8451" width="8" style="37" customWidth="1"/>
    <col min="8452" max="8452" width="13.7109375" style="37" customWidth="1"/>
    <col min="8453" max="8453" width="9.85546875" style="37" customWidth="1"/>
    <col min="8454" max="8454" width="13.7109375" style="37" customWidth="1"/>
    <col min="8455" max="8455" width="10.28515625" style="37" customWidth="1"/>
    <col min="8456" max="8456" width="12.7109375" style="37" customWidth="1"/>
    <col min="8457" max="8457" width="16" style="37" customWidth="1"/>
    <col min="8458" max="8458" width="9.7109375" style="37" customWidth="1"/>
    <col min="8459" max="8459" width="8" style="37" customWidth="1"/>
    <col min="8460" max="8460" width="13.7109375" style="37" customWidth="1"/>
    <col min="8461" max="8461" width="9.85546875" style="37" customWidth="1"/>
    <col min="8462" max="8462" width="13.7109375" style="37" customWidth="1"/>
    <col min="8463" max="8463" width="10.28515625" style="37" customWidth="1"/>
    <col min="8464" max="8464" width="12.7109375" style="37" customWidth="1"/>
    <col min="8465" max="8465" width="16" style="37" customWidth="1"/>
    <col min="8466" max="8466" width="9.7109375" style="37" customWidth="1"/>
    <col min="8467" max="8467" width="8" style="37" customWidth="1"/>
    <col min="8468" max="8468" width="13.7109375" style="37" customWidth="1"/>
    <col min="8469" max="8469" width="9.85546875" style="37" customWidth="1"/>
    <col min="8470" max="8470" width="13.7109375" style="37" customWidth="1"/>
    <col min="8471" max="8471" width="10.28515625" style="37" customWidth="1"/>
    <col min="8472" max="8472" width="12.7109375" style="37" customWidth="1"/>
    <col min="8473" max="8473" width="16" style="37" customWidth="1"/>
    <col min="8474" max="8474" width="9.7109375" style="37" customWidth="1"/>
    <col min="8475" max="8475" width="8" style="37" customWidth="1"/>
    <col min="8476" max="8476" width="13.7109375" style="37" customWidth="1"/>
    <col min="8477" max="8477" width="9.85546875" style="37" customWidth="1"/>
    <col min="8478" max="8478" width="13.7109375" style="37" customWidth="1"/>
    <col min="8479" max="8479" width="10.28515625" style="37" customWidth="1"/>
    <col min="8480" max="8655" width="11.42578125" style="37"/>
    <col min="8656" max="8656" width="12.7109375" style="37" customWidth="1"/>
    <col min="8657" max="8657" width="16" style="37" customWidth="1"/>
    <col min="8658" max="8658" width="9.7109375" style="37" customWidth="1"/>
    <col min="8659" max="8659" width="8" style="37" customWidth="1"/>
    <col min="8660" max="8660" width="13.7109375" style="37" customWidth="1"/>
    <col min="8661" max="8661" width="9.85546875" style="37" customWidth="1"/>
    <col min="8662" max="8662" width="13.7109375" style="37" customWidth="1"/>
    <col min="8663" max="8663" width="10.28515625" style="37" customWidth="1"/>
    <col min="8664" max="8664" width="12.7109375" style="37" customWidth="1"/>
    <col min="8665" max="8665" width="16" style="37" customWidth="1"/>
    <col min="8666" max="8666" width="9.7109375" style="37" customWidth="1"/>
    <col min="8667" max="8667" width="8" style="37" customWidth="1"/>
    <col min="8668" max="8668" width="13.7109375" style="37" customWidth="1"/>
    <col min="8669" max="8669" width="9.85546875" style="37" customWidth="1"/>
    <col min="8670" max="8670" width="13.7109375" style="37" customWidth="1"/>
    <col min="8671" max="8671" width="10.28515625" style="37" customWidth="1"/>
    <col min="8672" max="8672" width="12.7109375" style="37" customWidth="1"/>
    <col min="8673" max="8673" width="16" style="37" customWidth="1"/>
    <col min="8674" max="8674" width="9.7109375" style="37" customWidth="1"/>
    <col min="8675" max="8675" width="8" style="37" customWidth="1"/>
    <col min="8676" max="8676" width="13.7109375" style="37" customWidth="1"/>
    <col min="8677" max="8677" width="9.85546875" style="37" customWidth="1"/>
    <col min="8678" max="8678" width="13.7109375" style="37" customWidth="1"/>
    <col min="8679" max="8679" width="10.28515625" style="37" customWidth="1"/>
    <col min="8680" max="8680" width="12.7109375" style="37" customWidth="1"/>
    <col min="8681" max="8681" width="16" style="37" customWidth="1"/>
    <col min="8682" max="8682" width="9.7109375" style="37" customWidth="1"/>
    <col min="8683" max="8683" width="8" style="37" customWidth="1"/>
    <col min="8684" max="8684" width="13.7109375" style="37" customWidth="1"/>
    <col min="8685" max="8685" width="9.85546875" style="37" customWidth="1"/>
    <col min="8686" max="8686" width="13.7109375" style="37" customWidth="1"/>
    <col min="8687" max="8687" width="10.28515625" style="37" customWidth="1"/>
    <col min="8688" max="8688" width="12.7109375" style="37" customWidth="1"/>
    <col min="8689" max="8689" width="16" style="37" customWidth="1"/>
    <col min="8690" max="8690" width="9.7109375" style="37" customWidth="1"/>
    <col min="8691" max="8691" width="8" style="37" customWidth="1"/>
    <col min="8692" max="8692" width="13.7109375" style="37" customWidth="1"/>
    <col min="8693" max="8693" width="9.85546875" style="37" customWidth="1"/>
    <col min="8694" max="8694" width="13.7109375" style="37" customWidth="1"/>
    <col min="8695" max="8695" width="10.28515625" style="37" customWidth="1"/>
    <col min="8696" max="8696" width="12.7109375" style="37" customWidth="1"/>
    <col min="8697" max="8697" width="16" style="37" customWidth="1"/>
    <col min="8698" max="8698" width="9.7109375" style="37" customWidth="1"/>
    <col min="8699" max="8699" width="8" style="37" customWidth="1"/>
    <col min="8700" max="8700" width="13.7109375" style="37" customWidth="1"/>
    <col min="8701" max="8701" width="9.85546875" style="37" customWidth="1"/>
    <col min="8702" max="8702" width="13.7109375" style="37" customWidth="1"/>
    <col min="8703" max="8703" width="10.28515625" style="37" customWidth="1"/>
    <col min="8704" max="8704" width="12.7109375" style="37" customWidth="1"/>
    <col min="8705" max="8705" width="16" style="37" customWidth="1"/>
    <col min="8706" max="8706" width="9.7109375" style="37" customWidth="1"/>
    <col min="8707" max="8707" width="8" style="37" customWidth="1"/>
    <col min="8708" max="8708" width="13.7109375" style="37" customWidth="1"/>
    <col min="8709" max="8709" width="9.85546875" style="37" customWidth="1"/>
    <col min="8710" max="8710" width="13.7109375" style="37" customWidth="1"/>
    <col min="8711" max="8711" width="10.28515625" style="37" customWidth="1"/>
    <col min="8712" max="8712" width="12.7109375" style="37" customWidth="1"/>
    <col min="8713" max="8713" width="16" style="37" customWidth="1"/>
    <col min="8714" max="8714" width="9.7109375" style="37" customWidth="1"/>
    <col min="8715" max="8715" width="8" style="37" customWidth="1"/>
    <col min="8716" max="8716" width="13.7109375" style="37" customWidth="1"/>
    <col min="8717" max="8717" width="9.85546875" style="37" customWidth="1"/>
    <col min="8718" max="8718" width="13.7109375" style="37" customWidth="1"/>
    <col min="8719" max="8719" width="10.28515625" style="37" customWidth="1"/>
    <col min="8720" max="8720" width="12.7109375" style="37" customWidth="1"/>
    <col min="8721" max="8721" width="16" style="37" customWidth="1"/>
    <col min="8722" max="8722" width="9.7109375" style="37" customWidth="1"/>
    <col min="8723" max="8723" width="8" style="37" customWidth="1"/>
    <col min="8724" max="8724" width="13.7109375" style="37" customWidth="1"/>
    <col min="8725" max="8725" width="9.85546875" style="37" customWidth="1"/>
    <col min="8726" max="8726" width="13.7109375" style="37" customWidth="1"/>
    <col min="8727" max="8727" width="10.28515625" style="37" customWidth="1"/>
    <col min="8728" max="8728" width="12.7109375" style="37" customWidth="1"/>
    <col min="8729" max="8729" width="16" style="37" customWidth="1"/>
    <col min="8730" max="8730" width="9.7109375" style="37" customWidth="1"/>
    <col min="8731" max="8731" width="8" style="37" customWidth="1"/>
    <col min="8732" max="8732" width="13.7109375" style="37" customWidth="1"/>
    <col min="8733" max="8733" width="9.85546875" style="37" customWidth="1"/>
    <col min="8734" max="8734" width="13.7109375" style="37" customWidth="1"/>
    <col min="8735" max="8735" width="10.28515625" style="37" customWidth="1"/>
    <col min="8736" max="8911" width="11.42578125" style="37"/>
    <col min="8912" max="8912" width="12.7109375" style="37" customWidth="1"/>
    <col min="8913" max="8913" width="16" style="37" customWidth="1"/>
    <col min="8914" max="8914" width="9.7109375" style="37" customWidth="1"/>
    <col min="8915" max="8915" width="8" style="37" customWidth="1"/>
    <col min="8916" max="8916" width="13.7109375" style="37" customWidth="1"/>
    <col min="8917" max="8917" width="9.85546875" style="37" customWidth="1"/>
    <col min="8918" max="8918" width="13.7109375" style="37" customWidth="1"/>
    <col min="8919" max="8919" width="10.28515625" style="37" customWidth="1"/>
    <col min="8920" max="8920" width="12.7109375" style="37" customWidth="1"/>
    <col min="8921" max="8921" width="16" style="37" customWidth="1"/>
    <col min="8922" max="8922" width="9.7109375" style="37" customWidth="1"/>
    <col min="8923" max="8923" width="8" style="37" customWidth="1"/>
    <col min="8924" max="8924" width="13.7109375" style="37" customWidth="1"/>
    <col min="8925" max="8925" width="9.85546875" style="37" customWidth="1"/>
    <col min="8926" max="8926" width="13.7109375" style="37" customWidth="1"/>
    <col min="8927" max="8927" width="10.28515625" style="37" customWidth="1"/>
    <col min="8928" max="8928" width="12.7109375" style="37" customWidth="1"/>
    <col min="8929" max="8929" width="16" style="37" customWidth="1"/>
    <col min="8930" max="8930" width="9.7109375" style="37" customWidth="1"/>
    <col min="8931" max="8931" width="8" style="37" customWidth="1"/>
    <col min="8932" max="8932" width="13.7109375" style="37" customWidth="1"/>
    <col min="8933" max="8933" width="9.85546875" style="37" customWidth="1"/>
    <col min="8934" max="8934" width="13.7109375" style="37" customWidth="1"/>
    <col min="8935" max="8935" width="10.28515625" style="37" customWidth="1"/>
    <col min="8936" max="8936" width="12.7109375" style="37" customWidth="1"/>
    <col min="8937" max="8937" width="16" style="37" customWidth="1"/>
    <col min="8938" max="8938" width="9.7109375" style="37" customWidth="1"/>
    <col min="8939" max="8939" width="8" style="37" customWidth="1"/>
    <col min="8940" max="8940" width="13.7109375" style="37" customWidth="1"/>
    <col min="8941" max="8941" width="9.85546875" style="37" customWidth="1"/>
    <col min="8942" max="8942" width="13.7109375" style="37" customWidth="1"/>
    <col min="8943" max="8943" width="10.28515625" style="37" customWidth="1"/>
    <col min="8944" max="8944" width="12.7109375" style="37" customWidth="1"/>
    <col min="8945" max="8945" width="16" style="37" customWidth="1"/>
    <col min="8946" max="8946" width="9.7109375" style="37" customWidth="1"/>
    <col min="8947" max="8947" width="8" style="37" customWidth="1"/>
    <col min="8948" max="8948" width="13.7109375" style="37" customWidth="1"/>
    <col min="8949" max="8949" width="9.85546875" style="37" customWidth="1"/>
    <col min="8950" max="8950" width="13.7109375" style="37" customWidth="1"/>
    <col min="8951" max="8951" width="10.28515625" style="37" customWidth="1"/>
    <col min="8952" max="8952" width="12.7109375" style="37" customWidth="1"/>
    <col min="8953" max="8953" width="16" style="37" customWidth="1"/>
    <col min="8954" max="8954" width="9.7109375" style="37" customWidth="1"/>
    <col min="8955" max="8955" width="8" style="37" customWidth="1"/>
    <col min="8956" max="8956" width="13.7109375" style="37" customWidth="1"/>
    <col min="8957" max="8957" width="9.85546875" style="37" customWidth="1"/>
    <col min="8958" max="8958" width="13.7109375" style="37" customWidth="1"/>
    <col min="8959" max="8959" width="10.28515625" style="37" customWidth="1"/>
    <col min="8960" max="8960" width="12.7109375" style="37" customWidth="1"/>
    <col min="8961" max="8961" width="16" style="37" customWidth="1"/>
    <col min="8962" max="8962" width="9.7109375" style="37" customWidth="1"/>
    <col min="8963" max="8963" width="8" style="37" customWidth="1"/>
    <col min="8964" max="8964" width="13.7109375" style="37" customWidth="1"/>
    <col min="8965" max="8965" width="9.85546875" style="37" customWidth="1"/>
    <col min="8966" max="8966" width="13.7109375" style="37" customWidth="1"/>
    <col min="8967" max="8967" width="10.28515625" style="37" customWidth="1"/>
    <col min="8968" max="8968" width="12.7109375" style="37" customWidth="1"/>
    <col min="8969" max="8969" width="16" style="37" customWidth="1"/>
    <col min="8970" max="8970" width="9.7109375" style="37" customWidth="1"/>
    <col min="8971" max="8971" width="8" style="37" customWidth="1"/>
    <col min="8972" max="8972" width="13.7109375" style="37" customWidth="1"/>
    <col min="8973" max="8973" width="9.85546875" style="37" customWidth="1"/>
    <col min="8974" max="8974" width="13.7109375" style="37" customWidth="1"/>
    <col min="8975" max="8975" width="10.28515625" style="37" customWidth="1"/>
    <col min="8976" max="8976" width="12.7109375" style="37" customWidth="1"/>
    <col min="8977" max="8977" width="16" style="37" customWidth="1"/>
    <col min="8978" max="8978" width="9.7109375" style="37" customWidth="1"/>
    <col min="8979" max="8979" width="8" style="37" customWidth="1"/>
    <col min="8980" max="8980" width="13.7109375" style="37" customWidth="1"/>
    <col min="8981" max="8981" width="9.85546875" style="37" customWidth="1"/>
    <col min="8982" max="8982" width="13.7109375" style="37" customWidth="1"/>
    <col min="8983" max="8983" width="10.28515625" style="37" customWidth="1"/>
    <col min="8984" max="8984" width="12.7109375" style="37" customWidth="1"/>
    <col min="8985" max="8985" width="16" style="37" customWidth="1"/>
    <col min="8986" max="8986" width="9.7109375" style="37" customWidth="1"/>
    <col min="8987" max="8987" width="8" style="37" customWidth="1"/>
    <col min="8988" max="8988" width="13.7109375" style="37" customWidth="1"/>
    <col min="8989" max="8989" width="9.85546875" style="37" customWidth="1"/>
    <col min="8990" max="8990" width="13.7109375" style="37" customWidth="1"/>
    <col min="8991" max="8991" width="10.28515625" style="37" customWidth="1"/>
    <col min="8992" max="9167" width="11.42578125" style="37"/>
    <col min="9168" max="9168" width="12.7109375" style="37" customWidth="1"/>
    <col min="9169" max="9169" width="16" style="37" customWidth="1"/>
    <col min="9170" max="9170" width="9.7109375" style="37" customWidth="1"/>
    <col min="9171" max="9171" width="8" style="37" customWidth="1"/>
    <col min="9172" max="9172" width="13.7109375" style="37" customWidth="1"/>
    <col min="9173" max="9173" width="9.85546875" style="37" customWidth="1"/>
    <col min="9174" max="9174" width="13.7109375" style="37" customWidth="1"/>
    <col min="9175" max="9175" width="10.28515625" style="37" customWidth="1"/>
    <col min="9176" max="9176" width="12.7109375" style="37" customWidth="1"/>
    <col min="9177" max="9177" width="16" style="37" customWidth="1"/>
    <col min="9178" max="9178" width="9.7109375" style="37" customWidth="1"/>
    <col min="9179" max="9179" width="8" style="37" customWidth="1"/>
    <col min="9180" max="9180" width="13.7109375" style="37" customWidth="1"/>
    <col min="9181" max="9181" width="9.85546875" style="37" customWidth="1"/>
    <col min="9182" max="9182" width="13.7109375" style="37" customWidth="1"/>
    <col min="9183" max="9183" width="10.28515625" style="37" customWidth="1"/>
    <col min="9184" max="9184" width="12.7109375" style="37" customWidth="1"/>
    <col min="9185" max="9185" width="16" style="37" customWidth="1"/>
    <col min="9186" max="9186" width="9.7109375" style="37" customWidth="1"/>
    <col min="9187" max="9187" width="8" style="37" customWidth="1"/>
    <col min="9188" max="9188" width="13.7109375" style="37" customWidth="1"/>
    <col min="9189" max="9189" width="9.85546875" style="37" customWidth="1"/>
    <col min="9190" max="9190" width="13.7109375" style="37" customWidth="1"/>
    <col min="9191" max="9191" width="10.28515625" style="37" customWidth="1"/>
    <col min="9192" max="9192" width="12.7109375" style="37" customWidth="1"/>
    <col min="9193" max="9193" width="16" style="37" customWidth="1"/>
    <col min="9194" max="9194" width="9.7109375" style="37" customWidth="1"/>
    <col min="9195" max="9195" width="8" style="37" customWidth="1"/>
    <col min="9196" max="9196" width="13.7109375" style="37" customWidth="1"/>
    <col min="9197" max="9197" width="9.85546875" style="37" customWidth="1"/>
    <col min="9198" max="9198" width="13.7109375" style="37" customWidth="1"/>
    <col min="9199" max="9199" width="10.28515625" style="37" customWidth="1"/>
    <col min="9200" max="9200" width="12.7109375" style="37" customWidth="1"/>
    <col min="9201" max="9201" width="16" style="37" customWidth="1"/>
    <col min="9202" max="9202" width="9.7109375" style="37" customWidth="1"/>
    <col min="9203" max="9203" width="8" style="37" customWidth="1"/>
    <col min="9204" max="9204" width="13.7109375" style="37" customWidth="1"/>
    <col min="9205" max="9205" width="9.85546875" style="37" customWidth="1"/>
    <col min="9206" max="9206" width="13.7109375" style="37" customWidth="1"/>
    <col min="9207" max="9207" width="10.28515625" style="37" customWidth="1"/>
    <col min="9208" max="9208" width="12.7109375" style="37" customWidth="1"/>
    <col min="9209" max="9209" width="16" style="37" customWidth="1"/>
    <col min="9210" max="9210" width="9.7109375" style="37" customWidth="1"/>
    <col min="9211" max="9211" width="8" style="37" customWidth="1"/>
    <col min="9212" max="9212" width="13.7109375" style="37" customWidth="1"/>
    <col min="9213" max="9213" width="9.85546875" style="37" customWidth="1"/>
    <col min="9214" max="9214" width="13.7109375" style="37" customWidth="1"/>
    <col min="9215" max="9215" width="10.28515625" style="37" customWidth="1"/>
    <col min="9216" max="9216" width="12.7109375" style="37" customWidth="1"/>
    <col min="9217" max="9217" width="16" style="37" customWidth="1"/>
    <col min="9218" max="9218" width="9.7109375" style="37" customWidth="1"/>
    <col min="9219" max="9219" width="8" style="37" customWidth="1"/>
    <col min="9220" max="9220" width="13.7109375" style="37" customWidth="1"/>
    <col min="9221" max="9221" width="9.85546875" style="37" customWidth="1"/>
    <col min="9222" max="9222" width="13.7109375" style="37" customWidth="1"/>
    <col min="9223" max="9223" width="10.28515625" style="37" customWidth="1"/>
    <col min="9224" max="9224" width="12.7109375" style="37" customWidth="1"/>
    <col min="9225" max="9225" width="16" style="37" customWidth="1"/>
    <col min="9226" max="9226" width="9.7109375" style="37" customWidth="1"/>
    <col min="9227" max="9227" width="8" style="37" customWidth="1"/>
    <col min="9228" max="9228" width="13.7109375" style="37" customWidth="1"/>
    <col min="9229" max="9229" width="9.85546875" style="37" customWidth="1"/>
    <col min="9230" max="9230" width="13.7109375" style="37" customWidth="1"/>
    <col min="9231" max="9231" width="10.28515625" style="37" customWidth="1"/>
    <col min="9232" max="9232" width="12.7109375" style="37" customWidth="1"/>
    <col min="9233" max="9233" width="16" style="37" customWidth="1"/>
    <col min="9234" max="9234" width="9.7109375" style="37" customWidth="1"/>
    <col min="9235" max="9235" width="8" style="37" customWidth="1"/>
    <col min="9236" max="9236" width="13.7109375" style="37" customWidth="1"/>
    <col min="9237" max="9237" width="9.85546875" style="37" customWidth="1"/>
    <col min="9238" max="9238" width="13.7109375" style="37" customWidth="1"/>
    <col min="9239" max="9239" width="10.28515625" style="37" customWidth="1"/>
    <col min="9240" max="9240" width="12.7109375" style="37" customWidth="1"/>
    <col min="9241" max="9241" width="16" style="37" customWidth="1"/>
    <col min="9242" max="9242" width="9.7109375" style="37" customWidth="1"/>
    <col min="9243" max="9243" width="8" style="37" customWidth="1"/>
    <col min="9244" max="9244" width="13.7109375" style="37" customWidth="1"/>
    <col min="9245" max="9245" width="9.85546875" style="37" customWidth="1"/>
    <col min="9246" max="9246" width="13.7109375" style="37" customWidth="1"/>
    <col min="9247" max="9247" width="10.28515625" style="37" customWidth="1"/>
    <col min="9248" max="9423" width="11.42578125" style="37"/>
    <col min="9424" max="9424" width="12.7109375" style="37" customWidth="1"/>
    <col min="9425" max="9425" width="16" style="37" customWidth="1"/>
    <col min="9426" max="9426" width="9.7109375" style="37" customWidth="1"/>
    <col min="9427" max="9427" width="8" style="37" customWidth="1"/>
    <col min="9428" max="9428" width="13.7109375" style="37" customWidth="1"/>
    <col min="9429" max="9429" width="9.85546875" style="37" customWidth="1"/>
    <col min="9430" max="9430" width="13.7109375" style="37" customWidth="1"/>
    <col min="9431" max="9431" width="10.28515625" style="37" customWidth="1"/>
    <col min="9432" max="9432" width="12.7109375" style="37" customWidth="1"/>
    <col min="9433" max="9433" width="16" style="37" customWidth="1"/>
    <col min="9434" max="9434" width="9.7109375" style="37" customWidth="1"/>
    <col min="9435" max="9435" width="8" style="37" customWidth="1"/>
    <col min="9436" max="9436" width="13.7109375" style="37" customWidth="1"/>
    <col min="9437" max="9437" width="9.85546875" style="37" customWidth="1"/>
    <col min="9438" max="9438" width="13.7109375" style="37" customWidth="1"/>
    <col min="9439" max="9439" width="10.28515625" style="37" customWidth="1"/>
    <col min="9440" max="9440" width="12.7109375" style="37" customWidth="1"/>
    <col min="9441" max="9441" width="16" style="37" customWidth="1"/>
    <col min="9442" max="9442" width="9.7109375" style="37" customWidth="1"/>
    <col min="9443" max="9443" width="8" style="37" customWidth="1"/>
    <col min="9444" max="9444" width="13.7109375" style="37" customWidth="1"/>
    <col min="9445" max="9445" width="9.85546875" style="37" customWidth="1"/>
    <col min="9446" max="9446" width="13.7109375" style="37" customWidth="1"/>
    <col min="9447" max="9447" width="10.28515625" style="37" customWidth="1"/>
    <col min="9448" max="9448" width="12.7109375" style="37" customWidth="1"/>
    <col min="9449" max="9449" width="16" style="37" customWidth="1"/>
    <col min="9450" max="9450" width="9.7109375" style="37" customWidth="1"/>
    <col min="9451" max="9451" width="8" style="37" customWidth="1"/>
    <col min="9452" max="9452" width="13.7109375" style="37" customWidth="1"/>
    <col min="9453" max="9453" width="9.85546875" style="37" customWidth="1"/>
    <col min="9454" max="9454" width="13.7109375" style="37" customWidth="1"/>
    <col min="9455" max="9455" width="10.28515625" style="37" customWidth="1"/>
    <col min="9456" max="9456" width="12.7109375" style="37" customWidth="1"/>
    <col min="9457" max="9457" width="16" style="37" customWidth="1"/>
    <col min="9458" max="9458" width="9.7109375" style="37" customWidth="1"/>
    <col min="9459" max="9459" width="8" style="37" customWidth="1"/>
    <col min="9460" max="9460" width="13.7109375" style="37" customWidth="1"/>
    <col min="9461" max="9461" width="9.85546875" style="37" customWidth="1"/>
    <col min="9462" max="9462" width="13.7109375" style="37" customWidth="1"/>
    <col min="9463" max="9463" width="10.28515625" style="37" customWidth="1"/>
    <col min="9464" max="9464" width="12.7109375" style="37" customWidth="1"/>
    <col min="9465" max="9465" width="16" style="37" customWidth="1"/>
    <col min="9466" max="9466" width="9.7109375" style="37" customWidth="1"/>
    <col min="9467" max="9467" width="8" style="37" customWidth="1"/>
    <col min="9468" max="9468" width="13.7109375" style="37" customWidth="1"/>
    <col min="9469" max="9469" width="9.85546875" style="37" customWidth="1"/>
    <col min="9470" max="9470" width="13.7109375" style="37" customWidth="1"/>
    <col min="9471" max="9471" width="10.28515625" style="37" customWidth="1"/>
    <col min="9472" max="9472" width="12.7109375" style="37" customWidth="1"/>
    <col min="9473" max="9473" width="16" style="37" customWidth="1"/>
    <col min="9474" max="9474" width="9.7109375" style="37" customWidth="1"/>
    <col min="9475" max="9475" width="8" style="37" customWidth="1"/>
    <col min="9476" max="9476" width="13.7109375" style="37" customWidth="1"/>
    <col min="9477" max="9477" width="9.85546875" style="37" customWidth="1"/>
    <col min="9478" max="9478" width="13.7109375" style="37" customWidth="1"/>
    <col min="9479" max="9479" width="10.28515625" style="37" customWidth="1"/>
    <col min="9480" max="9480" width="12.7109375" style="37" customWidth="1"/>
    <col min="9481" max="9481" width="16" style="37" customWidth="1"/>
    <col min="9482" max="9482" width="9.7109375" style="37" customWidth="1"/>
    <col min="9483" max="9483" width="8" style="37" customWidth="1"/>
    <col min="9484" max="9484" width="13.7109375" style="37" customWidth="1"/>
    <col min="9485" max="9485" width="9.85546875" style="37" customWidth="1"/>
    <col min="9486" max="9486" width="13.7109375" style="37" customWidth="1"/>
    <col min="9487" max="9487" width="10.28515625" style="37" customWidth="1"/>
    <col min="9488" max="9488" width="12.7109375" style="37" customWidth="1"/>
    <col min="9489" max="9489" width="16" style="37" customWidth="1"/>
    <col min="9490" max="9490" width="9.7109375" style="37" customWidth="1"/>
    <col min="9491" max="9491" width="8" style="37" customWidth="1"/>
    <col min="9492" max="9492" width="13.7109375" style="37" customWidth="1"/>
    <col min="9493" max="9493" width="9.85546875" style="37" customWidth="1"/>
    <col min="9494" max="9494" width="13.7109375" style="37" customWidth="1"/>
    <col min="9495" max="9495" width="10.28515625" style="37" customWidth="1"/>
    <col min="9496" max="9496" width="12.7109375" style="37" customWidth="1"/>
    <col min="9497" max="9497" width="16" style="37" customWidth="1"/>
    <col min="9498" max="9498" width="9.7109375" style="37" customWidth="1"/>
    <col min="9499" max="9499" width="8" style="37" customWidth="1"/>
    <col min="9500" max="9500" width="13.7109375" style="37" customWidth="1"/>
    <col min="9501" max="9501" width="9.85546875" style="37" customWidth="1"/>
    <col min="9502" max="9502" width="13.7109375" style="37" customWidth="1"/>
    <col min="9503" max="9503" width="10.28515625" style="37" customWidth="1"/>
    <col min="9504" max="9679" width="11.42578125" style="37"/>
    <col min="9680" max="9680" width="12.7109375" style="37" customWidth="1"/>
    <col min="9681" max="9681" width="16" style="37" customWidth="1"/>
    <col min="9682" max="9682" width="9.7109375" style="37" customWidth="1"/>
    <col min="9683" max="9683" width="8" style="37" customWidth="1"/>
    <col min="9684" max="9684" width="13.7109375" style="37" customWidth="1"/>
    <col min="9685" max="9685" width="9.85546875" style="37" customWidth="1"/>
    <col min="9686" max="9686" width="13.7109375" style="37" customWidth="1"/>
    <col min="9687" max="9687" width="10.28515625" style="37" customWidth="1"/>
    <col min="9688" max="9688" width="12.7109375" style="37" customWidth="1"/>
    <col min="9689" max="9689" width="16" style="37" customWidth="1"/>
    <col min="9690" max="9690" width="9.7109375" style="37" customWidth="1"/>
    <col min="9691" max="9691" width="8" style="37" customWidth="1"/>
    <col min="9692" max="9692" width="13.7109375" style="37" customWidth="1"/>
    <col min="9693" max="9693" width="9.85546875" style="37" customWidth="1"/>
    <col min="9694" max="9694" width="13.7109375" style="37" customWidth="1"/>
    <col min="9695" max="9695" width="10.28515625" style="37" customWidth="1"/>
    <col min="9696" max="9696" width="12.7109375" style="37" customWidth="1"/>
    <col min="9697" max="9697" width="16" style="37" customWidth="1"/>
    <col min="9698" max="9698" width="9.7109375" style="37" customWidth="1"/>
    <col min="9699" max="9699" width="8" style="37" customWidth="1"/>
    <col min="9700" max="9700" width="13.7109375" style="37" customWidth="1"/>
    <col min="9701" max="9701" width="9.85546875" style="37" customWidth="1"/>
    <col min="9702" max="9702" width="13.7109375" style="37" customWidth="1"/>
    <col min="9703" max="9703" width="10.28515625" style="37" customWidth="1"/>
    <col min="9704" max="9704" width="12.7109375" style="37" customWidth="1"/>
    <col min="9705" max="9705" width="16" style="37" customWidth="1"/>
    <col min="9706" max="9706" width="9.7109375" style="37" customWidth="1"/>
    <col min="9707" max="9707" width="8" style="37" customWidth="1"/>
    <col min="9708" max="9708" width="13.7109375" style="37" customWidth="1"/>
    <col min="9709" max="9709" width="9.85546875" style="37" customWidth="1"/>
    <col min="9710" max="9710" width="13.7109375" style="37" customWidth="1"/>
    <col min="9711" max="9711" width="10.28515625" style="37" customWidth="1"/>
    <col min="9712" max="9712" width="12.7109375" style="37" customWidth="1"/>
    <col min="9713" max="9713" width="16" style="37" customWidth="1"/>
    <col min="9714" max="9714" width="9.7109375" style="37" customWidth="1"/>
    <col min="9715" max="9715" width="8" style="37" customWidth="1"/>
    <col min="9716" max="9716" width="13.7109375" style="37" customWidth="1"/>
    <col min="9717" max="9717" width="9.85546875" style="37" customWidth="1"/>
    <col min="9718" max="9718" width="13.7109375" style="37" customWidth="1"/>
    <col min="9719" max="9719" width="10.28515625" style="37" customWidth="1"/>
    <col min="9720" max="9720" width="12.7109375" style="37" customWidth="1"/>
    <col min="9721" max="9721" width="16" style="37" customWidth="1"/>
    <col min="9722" max="9722" width="9.7109375" style="37" customWidth="1"/>
    <col min="9723" max="9723" width="8" style="37" customWidth="1"/>
    <col min="9724" max="9724" width="13.7109375" style="37" customWidth="1"/>
    <col min="9725" max="9725" width="9.85546875" style="37" customWidth="1"/>
    <col min="9726" max="9726" width="13.7109375" style="37" customWidth="1"/>
    <col min="9727" max="9727" width="10.28515625" style="37" customWidth="1"/>
    <col min="9728" max="9728" width="12.7109375" style="37" customWidth="1"/>
    <col min="9729" max="9729" width="16" style="37" customWidth="1"/>
    <col min="9730" max="9730" width="9.7109375" style="37" customWidth="1"/>
    <col min="9731" max="9731" width="8" style="37" customWidth="1"/>
    <col min="9732" max="9732" width="13.7109375" style="37" customWidth="1"/>
    <col min="9733" max="9733" width="9.85546875" style="37" customWidth="1"/>
    <col min="9734" max="9734" width="13.7109375" style="37" customWidth="1"/>
    <col min="9735" max="9735" width="10.28515625" style="37" customWidth="1"/>
    <col min="9736" max="9736" width="12.7109375" style="37" customWidth="1"/>
    <col min="9737" max="9737" width="16" style="37" customWidth="1"/>
    <col min="9738" max="9738" width="9.7109375" style="37" customWidth="1"/>
    <col min="9739" max="9739" width="8" style="37" customWidth="1"/>
    <col min="9740" max="9740" width="13.7109375" style="37" customWidth="1"/>
    <col min="9741" max="9741" width="9.85546875" style="37" customWidth="1"/>
    <col min="9742" max="9742" width="13.7109375" style="37" customWidth="1"/>
    <col min="9743" max="9743" width="10.28515625" style="37" customWidth="1"/>
    <col min="9744" max="9744" width="12.7109375" style="37" customWidth="1"/>
    <col min="9745" max="9745" width="16" style="37" customWidth="1"/>
    <col min="9746" max="9746" width="9.7109375" style="37" customWidth="1"/>
    <col min="9747" max="9747" width="8" style="37" customWidth="1"/>
    <col min="9748" max="9748" width="13.7109375" style="37" customWidth="1"/>
    <col min="9749" max="9749" width="9.85546875" style="37" customWidth="1"/>
    <col min="9750" max="9750" width="13.7109375" style="37" customWidth="1"/>
    <col min="9751" max="9751" width="10.28515625" style="37" customWidth="1"/>
    <col min="9752" max="9752" width="12.7109375" style="37" customWidth="1"/>
    <col min="9753" max="9753" width="16" style="37" customWidth="1"/>
    <col min="9754" max="9754" width="9.7109375" style="37" customWidth="1"/>
    <col min="9755" max="9755" width="8" style="37" customWidth="1"/>
    <col min="9756" max="9756" width="13.7109375" style="37" customWidth="1"/>
    <col min="9757" max="9757" width="9.85546875" style="37" customWidth="1"/>
    <col min="9758" max="9758" width="13.7109375" style="37" customWidth="1"/>
    <col min="9759" max="9759" width="10.28515625" style="37" customWidth="1"/>
    <col min="9760" max="9935" width="11.42578125" style="37"/>
    <col min="9936" max="9936" width="12.7109375" style="37" customWidth="1"/>
    <col min="9937" max="9937" width="16" style="37" customWidth="1"/>
    <col min="9938" max="9938" width="9.7109375" style="37" customWidth="1"/>
    <col min="9939" max="9939" width="8" style="37" customWidth="1"/>
    <col min="9940" max="9940" width="13.7109375" style="37" customWidth="1"/>
    <col min="9941" max="9941" width="9.85546875" style="37" customWidth="1"/>
    <col min="9942" max="9942" width="13.7109375" style="37" customWidth="1"/>
    <col min="9943" max="9943" width="10.28515625" style="37" customWidth="1"/>
    <col min="9944" max="9944" width="12.7109375" style="37" customWidth="1"/>
    <col min="9945" max="9945" width="16" style="37" customWidth="1"/>
    <col min="9946" max="9946" width="9.7109375" style="37" customWidth="1"/>
    <col min="9947" max="9947" width="8" style="37" customWidth="1"/>
    <col min="9948" max="9948" width="13.7109375" style="37" customWidth="1"/>
    <col min="9949" max="9949" width="9.85546875" style="37" customWidth="1"/>
    <col min="9950" max="9950" width="13.7109375" style="37" customWidth="1"/>
    <col min="9951" max="9951" width="10.28515625" style="37" customWidth="1"/>
    <col min="9952" max="9952" width="12.7109375" style="37" customWidth="1"/>
    <col min="9953" max="9953" width="16" style="37" customWidth="1"/>
    <col min="9954" max="9954" width="9.7109375" style="37" customWidth="1"/>
    <col min="9955" max="9955" width="8" style="37" customWidth="1"/>
    <col min="9956" max="9956" width="13.7109375" style="37" customWidth="1"/>
    <col min="9957" max="9957" width="9.85546875" style="37" customWidth="1"/>
    <col min="9958" max="9958" width="13.7109375" style="37" customWidth="1"/>
    <col min="9959" max="9959" width="10.28515625" style="37" customWidth="1"/>
    <col min="9960" max="9960" width="12.7109375" style="37" customWidth="1"/>
    <col min="9961" max="9961" width="16" style="37" customWidth="1"/>
    <col min="9962" max="9962" width="9.7109375" style="37" customWidth="1"/>
    <col min="9963" max="9963" width="8" style="37" customWidth="1"/>
    <col min="9964" max="9964" width="13.7109375" style="37" customWidth="1"/>
    <col min="9965" max="9965" width="9.85546875" style="37" customWidth="1"/>
    <col min="9966" max="9966" width="13.7109375" style="37" customWidth="1"/>
    <col min="9967" max="9967" width="10.28515625" style="37" customWidth="1"/>
    <col min="9968" max="9968" width="12.7109375" style="37" customWidth="1"/>
    <col min="9969" max="9969" width="16" style="37" customWidth="1"/>
    <col min="9970" max="9970" width="9.7109375" style="37" customWidth="1"/>
    <col min="9971" max="9971" width="8" style="37" customWidth="1"/>
    <col min="9972" max="9972" width="13.7109375" style="37" customWidth="1"/>
    <col min="9973" max="9973" width="9.85546875" style="37" customWidth="1"/>
    <col min="9974" max="9974" width="13.7109375" style="37" customWidth="1"/>
    <col min="9975" max="9975" width="10.28515625" style="37" customWidth="1"/>
    <col min="9976" max="9976" width="12.7109375" style="37" customWidth="1"/>
    <col min="9977" max="9977" width="16" style="37" customWidth="1"/>
    <col min="9978" max="9978" width="9.7109375" style="37" customWidth="1"/>
    <col min="9979" max="9979" width="8" style="37" customWidth="1"/>
    <col min="9980" max="9980" width="13.7109375" style="37" customWidth="1"/>
    <col min="9981" max="9981" width="9.85546875" style="37" customWidth="1"/>
    <col min="9982" max="9982" width="13.7109375" style="37" customWidth="1"/>
    <col min="9983" max="9983" width="10.28515625" style="37" customWidth="1"/>
    <col min="9984" max="9984" width="12.7109375" style="37" customWidth="1"/>
    <col min="9985" max="9985" width="16" style="37" customWidth="1"/>
    <col min="9986" max="9986" width="9.7109375" style="37" customWidth="1"/>
    <col min="9987" max="9987" width="8" style="37" customWidth="1"/>
    <col min="9988" max="9988" width="13.7109375" style="37" customWidth="1"/>
    <col min="9989" max="9989" width="9.85546875" style="37" customWidth="1"/>
    <col min="9990" max="9990" width="13.7109375" style="37" customWidth="1"/>
    <col min="9991" max="9991" width="10.28515625" style="37" customWidth="1"/>
    <col min="9992" max="9992" width="12.7109375" style="37" customWidth="1"/>
    <col min="9993" max="9993" width="16" style="37" customWidth="1"/>
    <col min="9994" max="9994" width="9.7109375" style="37" customWidth="1"/>
    <col min="9995" max="9995" width="8" style="37" customWidth="1"/>
    <col min="9996" max="9996" width="13.7109375" style="37" customWidth="1"/>
    <col min="9997" max="9997" width="9.85546875" style="37" customWidth="1"/>
    <col min="9998" max="9998" width="13.7109375" style="37" customWidth="1"/>
    <col min="9999" max="9999" width="10.28515625" style="37" customWidth="1"/>
    <col min="10000" max="10000" width="12.7109375" style="37" customWidth="1"/>
    <col min="10001" max="10001" width="16" style="37" customWidth="1"/>
    <col min="10002" max="10002" width="9.7109375" style="37" customWidth="1"/>
    <col min="10003" max="10003" width="8" style="37" customWidth="1"/>
    <col min="10004" max="10004" width="13.7109375" style="37" customWidth="1"/>
    <col min="10005" max="10005" width="9.85546875" style="37" customWidth="1"/>
    <col min="10006" max="10006" width="13.7109375" style="37" customWidth="1"/>
    <col min="10007" max="10007" width="10.28515625" style="37" customWidth="1"/>
    <col min="10008" max="10008" width="12.7109375" style="37" customWidth="1"/>
    <col min="10009" max="10009" width="16" style="37" customWidth="1"/>
    <col min="10010" max="10010" width="9.7109375" style="37" customWidth="1"/>
    <col min="10011" max="10011" width="8" style="37" customWidth="1"/>
    <col min="10012" max="10012" width="13.7109375" style="37" customWidth="1"/>
    <col min="10013" max="10013" width="9.85546875" style="37" customWidth="1"/>
    <col min="10014" max="10014" width="13.7109375" style="37" customWidth="1"/>
    <col min="10015" max="10015" width="10.28515625" style="37" customWidth="1"/>
    <col min="10016" max="10191" width="11.42578125" style="37"/>
    <col min="10192" max="10192" width="12.7109375" style="37" customWidth="1"/>
    <col min="10193" max="10193" width="16" style="37" customWidth="1"/>
    <col min="10194" max="10194" width="9.7109375" style="37" customWidth="1"/>
    <col min="10195" max="10195" width="8" style="37" customWidth="1"/>
    <col min="10196" max="10196" width="13.7109375" style="37" customWidth="1"/>
    <col min="10197" max="10197" width="9.85546875" style="37" customWidth="1"/>
    <col min="10198" max="10198" width="13.7109375" style="37" customWidth="1"/>
    <col min="10199" max="10199" width="10.28515625" style="37" customWidth="1"/>
    <col min="10200" max="10200" width="12.7109375" style="37" customWidth="1"/>
    <col min="10201" max="10201" width="16" style="37" customWidth="1"/>
    <col min="10202" max="10202" width="9.7109375" style="37" customWidth="1"/>
    <col min="10203" max="10203" width="8" style="37" customWidth="1"/>
    <col min="10204" max="10204" width="13.7109375" style="37" customWidth="1"/>
    <col min="10205" max="10205" width="9.85546875" style="37" customWidth="1"/>
    <col min="10206" max="10206" width="13.7109375" style="37" customWidth="1"/>
    <col min="10207" max="10207" width="10.28515625" style="37" customWidth="1"/>
    <col min="10208" max="10208" width="12.7109375" style="37" customWidth="1"/>
    <col min="10209" max="10209" width="16" style="37" customWidth="1"/>
    <col min="10210" max="10210" width="9.7109375" style="37" customWidth="1"/>
    <col min="10211" max="10211" width="8" style="37" customWidth="1"/>
    <col min="10212" max="10212" width="13.7109375" style="37" customWidth="1"/>
    <col min="10213" max="10213" width="9.85546875" style="37" customWidth="1"/>
    <col min="10214" max="10214" width="13.7109375" style="37" customWidth="1"/>
    <col min="10215" max="10215" width="10.28515625" style="37" customWidth="1"/>
    <col min="10216" max="10216" width="12.7109375" style="37" customWidth="1"/>
    <col min="10217" max="10217" width="16" style="37" customWidth="1"/>
    <col min="10218" max="10218" width="9.7109375" style="37" customWidth="1"/>
    <col min="10219" max="10219" width="8" style="37" customWidth="1"/>
    <col min="10220" max="10220" width="13.7109375" style="37" customWidth="1"/>
    <col min="10221" max="10221" width="9.85546875" style="37" customWidth="1"/>
    <col min="10222" max="10222" width="13.7109375" style="37" customWidth="1"/>
    <col min="10223" max="10223" width="10.28515625" style="37" customWidth="1"/>
    <col min="10224" max="10224" width="12.7109375" style="37" customWidth="1"/>
    <col min="10225" max="10225" width="16" style="37" customWidth="1"/>
    <col min="10226" max="10226" width="9.7109375" style="37" customWidth="1"/>
    <col min="10227" max="10227" width="8" style="37" customWidth="1"/>
    <col min="10228" max="10228" width="13.7109375" style="37" customWidth="1"/>
    <col min="10229" max="10229" width="9.85546875" style="37" customWidth="1"/>
    <col min="10230" max="10230" width="13.7109375" style="37" customWidth="1"/>
    <col min="10231" max="10231" width="10.28515625" style="37" customWidth="1"/>
    <col min="10232" max="10232" width="12.7109375" style="37" customWidth="1"/>
    <col min="10233" max="10233" width="16" style="37" customWidth="1"/>
    <col min="10234" max="10234" width="9.7109375" style="37" customWidth="1"/>
    <col min="10235" max="10235" width="8" style="37" customWidth="1"/>
    <col min="10236" max="10236" width="13.7109375" style="37" customWidth="1"/>
    <col min="10237" max="10237" width="9.85546875" style="37" customWidth="1"/>
    <col min="10238" max="10238" width="13.7109375" style="37" customWidth="1"/>
    <col min="10239" max="10239" width="10.28515625" style="37" customWidth="1"/>
    <col min="10240" max="10240" width="12.7109375" style="37" customWidth="1"/>
    <col min="10241" max="10241" width="16" style="37" customWidth="1"/>
    <col min="10242" max="10242" width="9.7109375" style="37" customWidth="1"/>
    <col min="10243" max="10243" width="8" style="37" customWidth="1"/>
    <col min="10244" max="10244" width="13.7109375" style="37" customWidth="1"/>
    <col min="10245" max="10245" width="9.85546875" style="37" customWidth="1"/>
    <col min="10246" max="10246" width="13.7109375" style="37" customWidth="1"/>
    <col min="10247" max="10247" width="10.28515625" style="37" customWidth="1"/>
    <col min="10248" max="10248" width="12.7109375" style="37" customWidth="1"/>
    <col min="10249" max="10249" width="16" style="37" customWidth="1"/>
    <col min="10250" max="10250" width="9.7109375" style="37" customWidth="1"/>
    <col min="10251" max="10251" width="8" style="37" customWidth="1"/>
    <col min="10252" max="10252" width="13.7109375" style="37" customWidth="1"/>
    <col min="10253" max="10253" width="9.85546875" style="37" customWidth="1"/>
    <col min="10254" max="10254" width="13.7109375" style="37" customWidth="1"/>
    <col min="10255" max="10255" width="10.28515625" style="37" customWidth="1"/>
    <col min="10256" max="10256" width="12.7109375" style="37" customWidth="1"/>
    <col min="10257" max="10257" width="16" style="37" customWidth="1"/>
    <col min="10258" max="10258" width="9.7109375" style="37" customWidth="1"/>
    <col min="10259" max="10259" width="8" style="37" customWidth="1"/>
    <col min="10260" max="10260" width="13.7109375" style="37" customWidth="1"/>
    <col min="10261" max="10261" width="9.85546875" style="37" customWidth="1"/>
    <col min="10262" max="10262" width="13.7109375" style="37" customWidth="1"/>
    <col min="10263" max="10263" width="10.28515625" style="37" customWidth="1"/>
    <col min="10264" max="10264" width="12.7109375" style="37" customWidth="1"/>
    <col min="10265" max="10265" width="16" style="37" customWidth="1"/>
    <col min="10266" max="10266" width="9.7109375" style="37" customWidth="1"/>
    <col min="10267" max="10267" width="8" style="37" customWidth="1"/>
    <col min="10268" max="10268" width="13.7109375" style="37" customWidth="1"/>
    <col min="10269" max="10269" width="9.85546875" style="37" customWidth="1"/>
    <col min="10270" max="10270" width="13.7109375" style="37" customWidth="1"/>
    <col min="10271" max="10271" width="10.28515625" style="37" customWidth="1"/>
    <col min="10272" max="10447" width="11.42578125" style="37"/>
    <col min="10448" max="10448" width="12.7109375" style="37" customWidth="1"/>
    <col min="10449" max="10449" width="16" style="37" customWidth="1"/>
    <col min="10450" max="10450" width="9.7109375" style="37" customWidth="1"/>
    <col min="10451" max="10451" width="8" style="37" customWidth="1"/>
    <col min="10452" max="10452" width="13.7109375" style="37" customWidth="1"/>
    <col min="10453" max="10453" width="9.85546875" style="37" customWidth="1"/>
    <col min="10454" max="10454" width="13.7109375" style="37" customWidth="1"/>
    <col min="10455" max="10455" width="10.28515625" style="37" customWidth="1"/>
    <col min="10456" max="10456" width="12.7109375" style="37" customWidth="1"/>
    <col min="10457" max="10457" width="16" style="37" customWidth="1"/>
    <col min="10458" max="10458" width="9.7109375" style="37" customWidth="1"/>
    <col min="10459" max="10459" width="8" style="37" customWidth="1"/>
    <col min="10460" max="10460" width="13.7109375" style="37" customWidth="1"/>
    <col min="10461" max="10461" width="9.85546875" style="37" customWidth="1"/>
    <col min="10462" max="10462" width="13.7109375" style="37" customWidth="1"/>
    <col min="10463" max="10463" width="10.28515625" style="37" customWidth="1"/>
    <col min="10464" max="10464" width="12.7109375" style="37" customWidth="1"/>
    <col min="10465" max="10465" width="16" style="37" customWidth="1"/>
    <col min="10466" max="10466" width="9.7109375" style="37" customWidth="1"/>
    <col min="10467" max="10467" width="8" style="37" customWidth="1"/>
    <col min="10468" max="10468" width="13.7109375" style="37" customWidth="1"/>
    <col min="10469" max="10469" width="9.85546875" style="37" customWidth="1"/>
    <col min="10470" max="10470" width="13.7109375" style="37" customWidth="1"/>
    <col min="10471" max="10471" width="10.28515625" style="37" customWidth="1"/>
    <col min="10472" max="10472" width="12.7109375" style="37" customWidth="1"/>
    <col min="10473" max="10473" width="16" style="37" customWidth="1"/>
    <col min="10474" max="10474" width="9.7109375" style="37" customWidth="1"/>
    <col min="10475" max="10475" width="8" style="37" customWidth="1"/>
    <col min="10476" max="10476" width="13.7109375" style="37" customWidth="1"/>
    <col min="10477" max="10477" width="9.85546875" style="37" customWidth="1"/>
    <col min="10478" max="10478" width="13.7109375" style="37" customWidth="1"/>
    <col min="10479" max="10479" width="10.28515625" style="37" customWidth="1"/>
    <col min="10480" max="10480" width="12.7109375" style="37" customWidth="1"/>
    <col min="10481" max="10481" width="16" style="37" customWidth="1"/>
    <col min="10482" max="10482" width="9.7109375" style="37" customWidth="1"/>
    <col min="10483" max="10483" width="8" style="37" customWidth="1"/>
    <col min="10484" max="10484" width="13.7109375" style="37" customWidth="1"/>
    <col min="10485" max="10485" width="9.85546875" style="37" customWidth="1"/>
    <col min="10486" max="10486" width="13.7109375" style="37" customWidth="1"/>
    <col min="10487" max="10487" width="10.28515625" style="37" customWidth="1"/>
    <col min="10488" max="10488" width="12.7109375" style="37" customWidth="1"/>
    <col min="10489" max="10489" width="16" style="37" customWidth="1"/>
    <col min="10490" max="10490" width="9.7109375" style="37" customWidth="1"/>
    <col min="10491" max="10491" width="8" style="37" customWidth="1"/>
    <col min="10492" max="10492" width="13.7109375" style="37" customWidth="1"/>
    <col min="10493" max="10493" width="9.85546875" style="37" customWidth="1"/>
    <col min="10494" max="10494" width="13.7109375" style="37" customWidth="1"/>
    <col min="10495" max="10495" width="10.28515625" style="37" customWidth="1"/>
    <col min="10496" max="10496" width="12.7109375" style="37" customWidth="1"/>
    <col min="10497" max="10497" width="16" style="37" customWidth="1"/>
    <col min="10498" max="10498" width="9.7109375" style="37" customWidth="1"/>
    <col min="10499" max="10499" width="8" style="37" customWidth="1"/>
    <col min="10500" max="10500" width="13.7109375" style="37" customWidth="1"/>
    <col min="10501" max="10501" width="9.85546875" style="37" customWidth="1"/>
    <col min="10502" max="10502" width="13.7109375" style="37" customWidth="1"/>
    <col min="10503" max="10503" width="10.28515625" style="37" customWidth="1"/>
    <col min="10504" max="10504" width="12.7109375" style="37" customWidth="1"/>
    <col min="10505" max="10505" width="16" style="37" customWidth="1"/>
    <col min="10506" max="10506" width="9.7109375" style="37" customWidth="1"/>
    <col min="10507" max="10507" width="8" style="37" customWidth="1"/>
    <col min="10508" max="10508" width="13.7109375" style="37" customWidth="1"/>
    <col min="10509" max="10509" width="9.85546875" style="37" customWidth="1"/>
    <col min="10510" max="10510" width="13.7109375" style="37" customWidth="1"/>
    <col min="10511" max="10511" width="10.28515625" style="37" customWidth="1"/>
    <col min="10512" max="10512" width="12.7109375" style="37" customWidth="1"/>
    <col min="10513" max="10513" width="16" style="37" customWidth="1"/>
    <col min="10514" max="10514" width="9.7109375" style="37" customWidth="1"/>
    <col min="10515" max="10515" width="8" style="37" customWidth="1"/>
    <col min="10516" max="10516" width="13.7109375" style="37" customWidth="1"/>
    <col min="10517" max="10517" width="9.85546875" style="37" customWidth="1"/>
    <col min="10518" max="10518" width="13.7109375" style="37" customWidth="1"/>
    <col min="10519" max="10519" width="10.28515625" style="37" customWidth="1"/>
    <col min="10520" max="10520" width="12.7109375" style="37" customWidth="1"/>
    <col min="10521" max="10521" width="16" style="37" customWidth="1"/>
    <col min="10522" max="10522" width="9.7109375" style="37" customWidth="1"/>
    <col min="10523" max="10523" width="8" style="37" customWidth="1"/>
    <col min="10524" max="10524" width="13.7109375" style="37" customWidth="1"/>
    <col min="10525" max="10525" width="9.85546875" style="37" customWidth="1"/>
    <col min="10526" max="10526" width="13.7109375" style="37" customWidth="1"/>
    <col min="10527" max="10527" width="10.28515625" style="37" customWidth="1"/>
    <col min="10528" max="10703" width="11.42578125" style="37"/>
    <col min="10704" max="10704" width="12.7109375" style="37" customWidth="1"/>
    <col min="10705" max="10705" width="16" style="37" customWidth="1"/>
    <col min="10706" max="10706" width="9.7109375" style="37" customWidth="1"/>
    <col min="10707" max="10707" width="8" style="37" customWidth="1"/>
    <col min="10708" max="10708" width="13.7109375" style="37" customWidth="1"/>
    <col min="10709" max="10709" width="9.85546875" style="37" customWidth="1"/>
    <col min="10710" max="10710" width="13.7109375" style="37" customWidth="1"/>
    <col min="10711" max="10711" width="10.28515625" style="37" customWidth="1"/>
    <col min="10712" max="10712" width="12.7109375" style="37" customWidth="1"/>
    <col min="10713" max="10713" width="16" style="37" customWidth="1"/>
    <col min="10714" max="10714" width="9.7109375" style="37" customWidth="1"/>
    <col min="10715" max="10715" width="8" style="37" customWidth="1"/>
    <col min="10716" max="10716" width="13.7109375" style="37" customWidth="1"/>
    <col min="10717" max="10717" width="9.85546875" style="37" customWidth="1"/>
    <col min="10718" max="10718" width="13.7109375" style="37" customWidth="1"/>
    <col min="10719" max="10719" width="10.28515625" style="37" customWidth="1"/>
    <col min="10720" max="10720" width="12.7109375" style="37" customWidth="1"/>
    <col min="10721" max="10721" width="16" style="37" customWidth="1"/>
    <col min="10722" max="10722" width="9.7109375" style="37" customWidth="1"/>
    <col min="10723" max="10723" width="8" style="37" customWidth="1"/>
    <col min="10724" max="10724" width="13.7109375" style="37" customWidth="1"/>
    <col min="10725" max="10725" width="9.85546875" style="37" customWidth="1"/>
    <col min="10726" max="10726" width="13.7109375" style="37" customWidth="1"/>
    <col min="10727" max="10727" width="10.28515625" style="37" customWidth="1"/>
    <col min="10728" max="10728" width="12.7109375" style="37" customWidth="1"/>
    <col min="10729" max="10729" width="16" style="37" customWidth="1"/>
    <col min="10730" max="10730" width="9.7109375" style="37" customWidth="1"/>
    <col min="10731" max="10731" width="8" style="37" customWidth="1"/>
    <col min="10732" max="10732" width="13.7109375" style="37" customWidth="1"/>
    <col min="10733" max="10733" width="9.85546875" style="37" customWidth="1"/>
    <col min="10734" max="10734" width="13.7109375" style="37" customWidth="1"/>
    <col min="10735" max="10735" width="10.28515625" style="37" customWidth="1"/>
    <col min="10736" max="10736" width="12.7109375" style="37" customWidth="1"/>
    <col min="10737" max="10737" width="16" style="37" customWidth="1"/>
    <col min="10738" max="10738" width="9.7109375" style="37" customWidth="1"/>
    <col min="10739" max="10739" width="8" style="37" customWidth="1"/>
    <col min="10740" max="10740" width="13.7109375" style="37" customWidth="1"/>
    <col min="10741" max="10741" width="9.85546875" style="37" customWidth="1"/>
    <col min="10742" max="10742" width="13.7109375" style="37" customWidth="1"/>
    <col min="10743" max="10743" width="10.28515625" style="37" customWidth="1"/>
    <col min="10744" max="10744" width="12.7109375" style="37" customWidth="1"/>
    <col min="10745" max="10745" width="16" style="37" customWidth="1"/>
    <col min="10746" max="10746" width="9.7109375" style="37" customWidth="1"/>
    <col min="10747" max="10747" width="8" style="37" customWidth="1"/>
    <col min="10748" max="10748" width="13.7109375" style="37" customWidth="1"/>
    <col min="10749" max="10749" width="9.85546875" style="37" customWidth="1"/>
    <col min="10750" max="10750" width="13.7109375" style="37" customWidth="1"/>
    <col min="10751" max="10751" width="10.28515625" style="37" customWidth="1"/>
    <col min="10752" max="10752" width="12.7109375" style="37" customWidth="1"/>
    <col min="10753" max="10753" width="16" style="37" customWidth="1"/>
    <col min="10754" max="10754" width="9.7109375" style="37" customWidth="1"/>
    <col min="10755" max="10755" width="8" style="37" customWidth="1"/>
    <col min="10756" max="10756" width="13.7109375" style="37" customWidth="1"/>
    <col min="10757" max="10757" width="9.85546875" style="37" customWidth="1"/>
    <col min="10758" max="10758" width="13.7109375" style="37" customWidth="1"/>
    <col min="10759" max="10759" width="10.28515625" style="37" customWidth="1"/>
    <col min="10760" max="10760" width="12.7109375" style="37" customWidth="1"/>
    <col min="10761" max="10761" width="16" style="37" customWidth="1"/>
    <col min="10762" max="10762" width="9.7109375" style="37" customWidth="1"/>
    <col min="10763" max="10763" width="8" style="37" customWidth="1"/>
    <col min="10764" max="10764" width="13.7109375" style="37" customWidth="1"/>
    <col min="10765" max="10765" width="9.85546875" style="37" customWidth="1"/>
    <col min="10766" max="10766" width="13.7109375" style="37" customWidth="1"/>
    <col min="10767" max="10767" width="10.28515625" style="37" customWidth="1"/>
    <col min="10768" max="10768" width="12.7109375" style="37" customWidth="1"/>
    <col min="10769" max="10769" width="16" style="37" customWidth="1"/>
    <col min="10770" max="10770" width="9.7109375" style="37" customWidth="1"/>
    <col min="10771" max="10771" width="8" style="37" customWidth="1"/>
    <col min="10772" max="10772" width="13.7109375" style="37" customWidth="1"/>
    <col min="10773" max="10773" width="9.85546875" style="37" customWidth="1"/>
    <col min="10774" max="10774" width="13.7109375" style="37" customWidth="1"/>
    <col min="10775" max="10775" width="10.28515625" style="37" customWidth="1"/>
    <col min="10776" max="10776" width="12.7109375" style="37" customWidth="1"/>
    <col min="10777" max="10777" width="16" style="37" customWidth="1"/>
    <col min="10778" max="10778" width="9.7109375" style="37" customWidth="1"/>
    <col min="10779" max="10779" width="8" style="37" customWidth="1"/>
    <col min="10780" max="10780" width="13.7109375" style="37" customWidth="1"/>
    <col min="10781" max="10781" width="9.85546875" style="37" customWidth="1"/>
    <col min="10782" max="10782" width="13.7109375" style="37" customWidth="1"/>
    <col min="10783" max="10783" width="10.28515625" style="37" customWidth="1"/>
    <col min="10784" max="10959" width="11.42578125" style="37"/>
    <col min="10960" max="10960" width="12.7109375" style="37" customWidth="1"/>
    <col min="10961" max="10961" width="16" style="37" customWidth="1"/>
    <col min="10962" max="10962" width="9.7109375" style="37" customWidth="1"/>
    <col min="10963" max="10963" width="8" style="37" customWidth="1"/>
    <col min="10964" max="10964" width="13.7109375" style="37" customWidth="1"/>
    <col min="10965" max="10965" width="9.85546875" style="37" customWidth="1"/>
    <col min="10966" max="10966" width="13.7109375" style="37" customWidth="1"/>
    <col min="10967" max="10967" width="10.28515625" style="37" customWidth="1"/>
    <col min="10968" max="10968" width="12.7109375" style="37" customWidth="1"/>
    <col min="10969" max="10969" width="16" style="37" customWidth="1"/>
    <col min="10970" max="10970" width="9.7109375" style="37" customWidth="1"/>
    <col min="10971" max="10971" width="8" style="37" customWidth="1"/>
    <col min="10972" max="10972" width="13.7109375" style="37" customWidth="1"/>
    <col min="10973" max="10973" width="9.85546875" style="37" customWidth="1"/>
    <col min="10974" max="10974" width="13.7109375" style="37" customWidth="1"/>
    <col min="10975" max="10975" width="10.28515625" style="37" customWidth="1"/>
    <col min="10976" max="10976" width="12.7109375" style="37" customWidth="1"/>
    <col min="10977" max="10977" width="16" style="37" customWidth="1"/>
    <col min="10978" max="10978" width="9.7109375" style="37" customWidth="1"/>
    <col min="10979" max="10979" width="8" style="37" customWidth="1"/>
    <col min="10980" max="10980" width="13.7109375" style="37" customWidth="1"/>
    <col min="10981" max="10981" width="9.85546875" style="37" customWidth="1"/>
    <col min="10982" max="10982" width="13.7109375" style="37" customWidth="1"/>
    <col min="10983" max="10983" width="10.28515625" style="37" customWidth="1"/>
    <col min="10984" max="10984" width="12.7109375" style="37" customWidth="1"/>
    <col min="10985" max="10985" width="16" style="37" customWidth="1"/>
    <col min="10986" max="10986" width="9.7109375" style="37" customWidth="1"/>
    <col min="10987" max="10987" width="8" style="37" customWidth="1"/>
    <col min="10988" max="10988" width="13.7109375" style="37" customWidth="1"/>
    <col min="10989" max="10989" width="9.85546875" style="37" customWidth="1"/>
    <col min="10990" max="10990" width="13.7109375" style="37" customWidth="1"/>
    <col min="10991" max="10991" width="10.28515625" style="37" customWidth="1"/>
    <col min="10992" max="10992" width="12.7109375" style="37" customWidth="1"/>
    <col min="10993" max="10993" width="16" style="37" customWidth="1"/>
    <col min="10994" max="10994" width="9.7109375" style="37" customWidth="1"/>
    <col min="10995" max="10995" width="8" style="37" customWidth="1"/>
    <col min="10996" max="10996" width="13.7109375" style="37" customWidth="1"/>
    <col min="10997" max="10997" width="9.85546875" style="37" customWidth="1"/>
    <col min="10998" max="10998" width="13.7109375" style="37" customWidth="1"/>
    <col min="10999" max="10999" width="10.28515625" style="37" customWidth="1"/>
    <col min="11000" max="11000" width="12.7109375" style="37" customWidth="1"/>
    <col min="11001" max="11001" width="16" style="37" customWidth="1"/>
    <col min="11002" max="11002" width="9.7109375" style="37" customWidth="1"/>
    <col min="11003" max="11003" width="8" style="37" customWidth="1"/>
    <col min="11004" max="11004" width="13.7109375" style="37" customWidth="1"/>
    <col min="11005" max="11005" width="9.85546875" style="37" customWidth="1"/>
    <col min="11006" max="11006" width="13.7109375" style="37" customWidth="1"/>
    <col min="11007" max="11007" width="10.28515625" style="37" customWidth="1"/>
    <col min="11008" max="11008" width="12.7109375" style="37" customWidth="1"/>
    <col min="11009" max="11009" width="16" style="37" customWidth="1"/>
    <col min="11010" max="11010" width="9.7109375" style="37" customWidth="1"/>
    <col min="11011" max="11011" width="8" style="37" customWidth="1"/>
    <col min="11012" max="11012" width="13.7109375" style="37" customWidth="1"/>
    <col min="11013" max="11013" width="9.85546875" style="37" customWidth="1"/>
    <col min="11014" max="11014" width="13.7109375" style="37" customWidth="1"/>
    <col min="11015" max="11015" width="10.28515625" style="37" customWidth="1"/>
    <col min="11016" max="11016" width="12.7109375" style="37" customWidth="1"/>
    <col min="11017" max="11017" width="16" style="37" customWidth="1"/>
    <col min="11018" max="11018" width="9.7109375" style="37" customWidth="1"/>
    <col min="11019" max="11019" width="8" style="37" customWidth="1"/>
    <col min="11020" max="11020" width="13.7109375" style="37" customWidth="1"/>
    <col min="11021" max="11021" width="9.85546875" style="37" customWidth="1"/>
    <col min="11022" max="11022" width="13.7109375" style="37" customWidth="1"/>
    <col min="11023" max="11023" width="10.28515625" style="37" customWidth="1"/>
    <col min="11024" max="11024" width="12.7109375" style="37" customWidth="1"/>
    <col min="11025" max="11025" width="16" style="37" customWidth="1"/>
    <col min="11026" max="11026" width="9.7109375" style="37" customWidth="1"/>
    <col min="11027" max="11027" width="8" style="37" customWidth="1"/>
    <col min="11028" max="11028" width="13.7109375" style="37" customWidth="1"/>
    <col min="11029" max="11029" width="9.85546875" style="37" customWidth="1"/>
    <col min="11030" max="11030" width="13.7109375" style="37" customWidth="1"/>
    <col min="11031" max="11031" width="10.28515625" style="37" customWidth="1"/>
    <col min="11032" max="11032" width="12.7109375" style="37" customWidth="1"/>
    <col min="11033" max="11033" width="16" style="37" customWidth="1"/>
    <col min="11034" max="11034" width="9.7109375" style="37" customWidth="1"/>
    <col min="11035" max="11035" width="8" style="37" customWidth="1"/>
    <col min="11036" max="11036" width="13.7109375" style="37" customWidth="1"/>
    <col min="11037" max="11037" width="9.85546875" style="37" customWidth="1"/>
    <col min="11038" max="11038" width="13.7109375" style="37" customWidth="1"/>
    <col min="11039" max="11039" width="10.28515625" style="37" customWidth="1"/>
    <col min="11040" max="11215" width="11.42578125" style="37"/>
    <col min="11216" max="11216" width="12.7109375" style="37" customWidth="1"/>
    <col min="11217" max="11217" width="16" style="37" customWidth="1"/>
    <col min="11218" max="11218" width="9.7109375" style="37" customWidth="1"/>
    <col min="11219" max="11219" width="8" style="37" customWidth="1"/>
    <col min="11220" max="11220" width="13.7109375" style="37" customWidth="1"/>
    <col min="11221" max="11221" width="9.85546875" style="37" customWidth="1"/>
    <col min="11222" max="11222" width="13.7109375" style="37" customWidth="1"/>
    <col min="11223" max="11223" width="10.28515625" style="37" customWidth="1"/>
    <col min="11224" max="11224" width="12.7109375" style="37" customWidth="1"/>
    <col min="11225" max="11225" width="16" style="37" customWidth="1"/>
    <col min="11226" max="11226" width="9.7109375" style="37" customWidth="1"/>
    <col min="11227" max="11227" width="8" style="37" customWidth="1"/>
    <col min="11228" max="11228" width="13.7109375" style="37" customWidth="1"/>
    <col min="11229" max="11229" width="9.85546875" style="37" customWidth="1"/>
    <col min="11230" max="11230" width="13.7109375" style="37" customWidth="1"/>
    <col min="11231" max="11231" width="10.28515625" style="37" customWidth="1"/>
    <col min="11232" max="11232" width="12.7109375" style="37" customWidth="1"/>
    <col min="11233" max="11233" width="16" style="37" customWidth="1"/>
    <col min="11234" max="11234" width="9.7109375" style="37" customWidth="1"/>
    <col min="11235" max="11235" width="8" style="37" customWidth="1"/>
    <col min="11236" max="11236" width="13.7109375" style="37" customWidth="1"/>
    <col min="11237" max="11237" width="9.85546875" style="37" customWidth="1"/>
    <col min="11238" max="11238" width="13.7109375" style="37" customWidth="1"/>
    <col min="11239" max="11239" width="10.28515625" style="37" customWidth="1"/>
    <col min="11240" max="11240" width="12.7109375" style="37" customWidth="1"/>
    <col min="11241" max="11241" width="16" style="37" customWidth="1"/>
    <col min="11242" max="11242" width="9.7109375" style="37" customWidth="1"/>
    <col min="11243" max="11243" width="8" style="37" customWidth="1"/>
    <col min="11244" max="11244" width="13.7109375" style="37" customWidth="1"/>
    <col min="11245" max="11245" width="9.85546875" style="37" customWidth="1"/>
    <col min="11246" max="11246" width="13.7109375" style="37" customWidth="1"/>
    <col min="11247" max="11247" width="10.28515625" style="37" customWidth="1"/>
    <col min="11248" max="11248" width="12.7109375" style="37" customWidth="1"/>
    <col min="11249" max="11249" width="16" style="37" customWidth="1"/>
    <col min="11250" max="11250" width="9.7109375" style="37" customWidth="1"/>
    <col min="11251" max="11251" width="8" style="37" customWidth="1"/>
    <col min="11252" max="11252" width="13.7109375" style="37" customWidth="1"/>
    <col min="11253" max="11253" width="9.85546875" style="37" customWidth="1"/>
    <col min="11254" max="11254" width="13.7109375" style="37" customWidth="1"/>
    <col min="11255" max="11255" width="10.28515625" style="37" customWidth="1"/>
    <col min="11256" max="11256" width="12.7109375" style="37" customWidth="1"/>
    <col min="11257" max="11257" width="16" style="37" customWidth="1"/>
    <col min="11258" max="11258" width="9.7109375" style="37" customWidth="1"/>
    <col min="11259" max="11259" width="8" style="37" customWidth="1"/>
    <col min="11260" max="11260" width="13.7109375" style="37" customWidth="1"/>
    <col min="11261" max="11261" width="9.85546875" style="37" customWidth="1"/>
    <col min="11262" max="11262" width="13.7109375" style="37" customWidth="1"/>
    <col min="11263" max="11263" width="10.28515625" style="37" customWidth="1"/>
    <col min="11264" max="11264" width="12.7109375" style="37" customWidth="1"/>
    <col min="11265" max="11265" width="16" style="37" customWidth="1"/>
    <col min="11266" max="11266" width="9.7109375" style="37" customWidth="1"/>
    <col min="11267" max="11267" width="8" style="37" customWidth="1"/>
    <col min="11268" max="11268" width="13.7109375" style="37" customWidth="1"/>
    <col min="11269" max="11269" width="9.85546875" style="37" customWidth="1"/>
    <col min="11270" max="11270" width="13.7109375" style="37" customWidth="1"/>
    <col min="11271" max="11271" width="10.28515625" style="37" customWidth="1"/>
    <col min="11272" max="11272" width="12.7109375" style="37" customWidth="1"/>
    <col min="11273" max="11273" width="16" style="37" customWidth="1"/>
    <col min="11274" max="11274" width="9.7109375" style="37" customWidth="1"/>
    <col min="11275" max="11275" width="8" style="37" customWidth="1"/>
    <col min="11276" max="11276" width="13.7109375" style="37" customWidth="1"/>
    <col min="11277" max="11277" width="9.85546875" style="37" customWidth="1"/>
    <col min="11278" max="11278" width="13.7109375" style="37" customWidth="1"/>
    <col min="11279" max="11279" width="10.28515625" style="37" customWidth="1"/>
    <col min="11280" max="11280" width="12.7109375" style="37" customWidth="1"/>
    <col min="11281" max="11281" width="16" style="37" customWidth="1"/>
    <col min="11282" max="11282" width="9.7109375" style="37" customWidth="1"/>
    <col min="11283" max="11283" width="8" style="37" customWidth="1"/>
    <col min="11284" max="11284" width="13.7109375" style="37" customWidth="1"/>
    <col min="11285" max="11285" width="9.85546875" style="37" customWidth="1"/>
    <col min="11286" max="11286" width="13.7109375" style="37" customWidth="1"/>
    <col min="11287" max="11287" width="10.28515625" style="37" customWidth="1"/>
    <col min="11288" max="11288" width="12.7109375" style="37" customWidth="1"/>
    <col min="11289" max="11289" width="16" style="37" customWidth="1"/>
    <col min="11290" max="11290" width="9.7109375" style="37" customWidth="1"/>
    <col min="11291" max="11291" width="8" style="37" customWidth="1"/>
    <col min="11292" max="11292" width="13.7109375" style="37" customWidth="1"/>
    <col min="11293" max="11293" width="9.85546875" style="37" customWidth="1"/>
    <col min="11294" max="11294" width="13.7109375" style="37" customWidth="1"/>
    <col min="11295" max="11295" width="10.28515625" style="37" customWidth="1"/>
    <col min="11296" max="11471" width="11.42578125" style="37"/>
    <col min="11472" max="11472" width="12.7109375" style="37" customWidth="1"/>
    <col min="11473" max="11473" width="16" style="37" customWidth="1"/>
    <col min="11474" max="11474" width="9.7109375" style="37" customWidth="1"/>
    <col min="11475" max="11475" width="8" style="37" customWidth="1"/>
    <col min="11476" max="11476" width="13.7109375" style="37" customWidth="1"/>
    <col min="11477" max="11477" width="9.85546875" style="37" customWidth="1"/>
    <col min="11478" max="11478" width="13.7109375" style="37" customWidth="1"/>
    <col min="11479" max="11479" width="10.28515625" style="37" customWidth="1"/>
    <col min="11480" max="11480" width="12.7109375" style="37" customWidth="1"/>
    <col min="11481" max="11481" width="16" style="37" customWidth="1"/>
    <col min="11482" max="11482" width="9.7109375" style="37" customWidth="1"/>
    <col min="11483" max="11483" width="8" style="37" customWidth="1"/>
    <col min="11484" max="11484" width="13.7109375" style="37" customWidth="1"/>
    <col min="11485" max="11485" width="9.85546875" style="37" customWidth="1"/>
    <col min="11486" max="11486" width="13.7109375" style="37" customWidth="1"/>
    <col min="11487" max="11487" width="10.28515625" style="37" customWidth="1"/>
    <col min="11488" max="11488" width="12.7109375" style="37" customWidth="1"/>
    <col min="11489" max="11489" width="16" style="37" customWidth="1"/>
    <col min="11490" max="11490" width="9.7109375" style="37" customWidth="1"/>
    <col min="11491" max="11491" width="8" style="37" customWidth="1"/>
    <col min="11492" max="11492" width="13.7109375" style="37" customWidth="1"/>
    <col min="11493" max="11493" width="9.85546875" style="37" customWidth="1"/>
    <col min="11494" max="11494" width="13.7109375" style="37" customWidth="1"/>
    <col min="11495" max="11495" width="10.28515625" style="37" customWidth="1"/>
    <col min="11496" max="11496" width="12.7109375" style="37" customWidth="1"/>
    <col min="11497" max="11497" width="16" style="37" customWidth="1"/>
    <col min="11498" max="11498" width="9.7109375" style="37" customWidth="1"/>
    <col min="11499" max="11499" width="8" style="37" customWidth="1"/>
    <col min="11500" max="11500" width="13.7109375" style="37" customWidth="1"/>
    <col min="11501" max="11501" width="9.85546875" style="37" customWidth="1"/>
    <col min="11502" max="11502" width="13.7109375" style="37" customWidth="1"/>
    <col min="11503" max="11503" width="10.28515625" style="37" customWidth="1"/>
    <col min="11504" max="11504" width="12.7109375" style="37" customWidth="1"/>
    <col min="11505" max="11505" width="16" style="37" customWidth="1"/>
    <col min="11506" max="11506" width="9.7109375" style="37" customWidth="1"/>
    <col min="11507" max="11507" width="8" style="37" customWidth="1"/>
    <col min="11508" max="11508" width="13.7109375" style="37" customWidth="1"/>
    <col min="11509" max="11509" width="9.85546875" style="37" customWidth="1"/>
    <col min="11510" max="11510" width="13.7109375" style="37" customWidth="1"/>
    <col min="11511" max="11511" width="10.28515625" style="37" customWidth="1"/>
    <col min="11512" max="11512" width="12.7109375" style="37" customWidth="1"/>
    <col min="11513" max="11513" width="16" style="37" customWidth="1"/>
    <col min="11514" max="11514" width="9.7109375" style="37" customWidth="1"/>
    <col min="11515" max="11515" width="8" style="37" customWidth="1"/>
    <col min="11516" max="11516" width="13.7109375" style="37" customWidth="1"/>
    <col min="11517" max="11517" width="9.85546875" style="37" customWidth="1"/>
    <col min="11518" max="11518" width="13.7109375" style="37" customWidth="1"/>
    <col min="11519" max="11519" width="10.28515625" style="37" customWidth="1"/>
    <col min="11520" max="11520" width="12.7109375" style="37" customWidth="1"/>
    <col min="11521" max="11521" width="16" style="37" customWidth="1"/>
    <col min="11522" max="11522" width="9.7109375" style="37" customWidth="1"/>
    <col min="11523" max="11523" width="8" style="37" customWidth="1"/>
    <col min="11524" max="11524" width="13.7109375" style="37" customWidth="1"/>
    <col min="11525" max="11525" width="9.85546875" style="37" customWidth="1"/>
    <col min="11526" max="11526" width="13.7109375" style="37" customWidth="1"/>
    <col min="11527" max="11527" width="10.28515625" style="37" customWidth="1"/>
    <col min="11528" max="11528" width="12.7109375" style="37" customWidth="1"/>
    <col min="11529" max="11529" width="16" style="37" customWidth="1"/>
    <col min="11530" max="11530" width="9.7109375" style="37" customWidth="1"/>
    <col min="11531" max="11531" width="8" style="37" customWidth="1"/>
    <col min="11532" max="11532" width="13.7109375" style="37" customWidth="1"/>
    <col min="11533" max="11533" width="9.85546875" style="37" customWidth="1"/>
    <col min="11534" max="11534" width="13.7109375" style="37" customWidth="1"/>
    <col min="11535" max="11535" width="10.28515625" style="37" customWidth="1"/>
    <col min="11536" max="11536" width="12.7109375" style="37" customWidth="1"/>
    <col min="11537" max="11537" width="16" style="37" customWidth="1"/>
    <col min="11538" max="11538" width="9.7109375" style="37" customWidth="1"/>
    <col min="11539" max="11539" width="8" style="37" customWidth="1"/>
    <col min="11540" max="11540" width="13.7109375" style="37" customWidth="1"/>
    <col min="11541" max="11541" width="9.85546875" style="37" customWidth="1"/>
    <col min="11542" max="11542" width="13.7109375" style="37" customWidth="1"/>
    <col min="11543" max="11543" width="10.28515625" style="37" customWidth="1"/>
    <col min="11544" max="11544" width="12.7109375" style="37" customWidth="1"/>
    <col min="11545" max="11545" width="16" style="37" customWidth="1"/>
    <col min="11546" max="11546" width="9.7109375" style="37" customWidth="1"/>
    <col min="11547" max="11547" width="8" style="37" customWidth="1"/>
    <col min="11548" max="11548" width="13.7109375" style="37" customWidth="1"/>
    <col min="11549" max="11549" width="9.85546875" style="37" customWidth="1"/>
    <col min="11550" max="11550" width="13.7109375" style="37" customWidth="1"/>
    <col min="11551" max="11551" width="10.28515625" style="37" customWidth="1"/>
    <col min="11552" max="11727" width="11.42578125" style="37"/>
    <col min="11728" max="11728" width="12.7109375" style="37" customWidth="1"/>
    <col min="11729" max="11729" width="16" style="37" customWidth="1"/>
    <col min="11730" max="11730" width="9.7109375" style="37" customWidth="1"/>
    <col min="11731" max="11731" width="8" style="37" customWidth="1"/>
    <col min="11732" max="11732" width="13.7109375" style="37" customWidth="1"/>
    <col min="11733" max="11733" width="9.85546875" style="37" customWidth="1"/>
    <col min="11734" max="11734" width="13.7109375" style="37" customWidth="1"/>
    <col min="11735" max="11735" width="10.28515625" style="37" customWidth="1"/>
    <col min="11736" max="11736" width="12.7109375" style="37" customWidth="1"/>
    <col min="11737" max="11737" width="16" style="37" customWidth="1"/>
    <col min="11738" max="11738" width="9.7109375" style="37" customWidth="1"/>
    <col min="11739" max="11739" width="8" style="37" customWidth="1"/>
    <col min="11740" max="11740" width="13.7109375" style="37" customWidth="1"/>
    <col min="11741" max="11741" width="9.85546875" style="37" customWidth="1"/>
    <col min="11742" max="11742" width="13.7109375" style="37" customWidth="1"/>
    <col min="11743" max="11743" width="10.28515625" style="37" customWidth="1"/>
    <col min="11744" max="11744" width="12.7109375" style="37" customWidth="1"/>
    <col min="11745" max="11745" width="16" style="37" customWidth="1"/>
    <col min="11746" max="11746" width="9.7109375" style="37" customWidth="1"/>
    <col min="11747" max="11747" width="8" style="37" customWidth="1"/>
    <col min="11748" max="11748" width="13.7109375" style="37" customWidth="1"/>
    <col min="11749" max="11749" width="9.85546875" style="37" customWidth="1"/>
    <col min="11750" max="11750" width="13.7109375" style="37" customWidth="1"/>
    <col min="11751" max="11751" width="10.28515625" style="37" customWidth="1"/>
    <col min="11752" max="11752" width="12.7109375" style="37" customWidth="1"/>
    <col min="11753" max="11753" width="16" style="37" customWidth="1"/>
    <col min="11754" max="11754" width="9.7109375" style="37" customWidth="1"/>
    <col min="11755" max="11755" width="8" style="37" customWidth="1"/>
    <col min="11756" max="11756" width="13.7109375" style="37" customWidth="1"/>
    <col min="11757" max="11757" width="9.85546875" style="37" customWidth="1"/>
    <col min="11758" max="11758" width="13.7109375" style="37" customWidth="1"/>
    <col min="11759" max="11759" width="10.28515625" style="37" customWidth="1"/>
    <col min="11760" max="11760" width="12.7109375" style="37" customWidth="1"/>
    <col min="11761" max="11761" width="16" style="37" customWidth="1"/>
    <col min="11762" max="11762" width="9.7109375" style="37" customWidth="1"/>
    <col min="11763" max="11763" width="8" style="37" customWidth="1"/>
    <col min="11764" max="11764" width="13.7109375" style="37" customWidth="1"/>
    <col min="11765" max="11765" width="9.85546875" style="37" customWidth="1"/>
    <col min="11766" max="11766" width="13.7109375" style="37" customWidth="1"/>
    <col min="11767" max="11767" width="10.28515625" style="37" customWidth="1"/>
    <col min="11768" max="11768" width="12.7109375" style="37" customWidth="1"/>
    <col min="11769" max="11769" width="16" style="37" customWidth="1"/>
    <col min="11770" max="11770" width="9.7109375" style="37" customWidth="1"/>
    <col min="11771" max="11771" width="8" style="37" customWidth="1"/>
    <col min="11772" max="11772" width="13.7109375" style="37" customWidth="1"/>
    <col min="11773" max="11773" width="9.85546875" style="37" customWidth="1"/>
    <col min="11774" max="11774" width="13.7109375" style="37" customWidth="1"/>
    <col min="11775" max="11775" width="10.28515625" style="37" customWidth="1"/>
    <col min="11776" max="11776" width="12.7109375" style="37" customWidth="1"/>
    <col min="11777" max="11777" width="16" style="37" customWidth="1"/>
    <col min="11778" max="11778" width="9.7109375" style="37" customWidth="1"/>
    <col min="11779" max="11779" width="8" style="37" customWidth="1"/>
    <col min="11780" max="11780" width="13.7109375" style="37" customWidth="1"/>
    <col min="11781" max="11781" width="9.85546875" style="37" customWidth="1"/>
    <col min="11782" max="11782" width="13.7109375" style="37" customWidth="1"/>
    <col min="11783" max="11783" width="10.28515625" style="37" customWidth="1"/>
    <col min="11784" max="11784" width="12.7109375" style="37" customWidth="1"/>
    <col min="11785" max="11785" width="16" style="37" customWidth="1"/>
    <col min="11786" max="11786" width="9.7109375" style="37" customWidth="1"/>
    <col min="11787" max="11787" width="8" style="37" customWidth="1"/>
    <col min="11788" max="11788" width="13.7109375" style="37" customWidth="1"/>
    <col min="11789" max="11789" width="9.85546875" style="37" customWidth="1"/>
    <col min="11790" max="11790" width="13.7109375" style="37" customWidth="1"/>
    <col min="11791" max="11791" width="10.28515625" style="37" customWidth="1"/>
    <col min="11792" max="11792" width="12.7109375" style="37" customWidth="1"/>
    <col min="11793" max="11793" width="16" style="37" customWidth="1"/>
    <col min="11794" max="11794" width="9.7109375" style="37" customWidth="1"/>
    <col min="11795" max="11795" width="8" style="37" customWidth="1"/>
    <col min="11796" max="11796" width="13.7109375" style="37" customWidth="1"/>
    <col min="11797" max="11797" width="9.85546875" style="37" customWidth="1"/>
    <col min="11798" max="11798" width="13.7109375" style="37" customWidth="1"/>
    <col min="11799" max="11799" width="10.28515625" style="37" customWidth="1"/>
    <col min="11800" max="11800" width="12.7109375" style="37" customWidth="1"/>
    <col min="11801" max="11801" width="16" style="37" customWidth="1"/>
    <col min="11802" max="11802" width="9.7109375" style="37" customWidth="1"/>
    <col min="11803" max="11803" width="8" style="37" customWidth="1"/>
    <col min="11804" max="11804" width="13.7109375" style="37" customWidth="1"/>
    <col min="11805" max="11805" width="9.85546875" style="37" customWidth="1"/>
    <col min="11806" max="11806" width="13.7109375" style="37" customWidth="1"/>
    <col min="11807" max="11807" width="10.28515625" style="37" customWidth="1"/>
    <col min="11808" max="11983" width="11.42578125" style="37"/>
    <col min="11984" max="11984" width="12.7109375" style="37" customWidth="1"/>
    <col min="11985" max="11985" width="16" style="37" customWidth="1"/>
    <col min="11986" max="11986" width="9.7109375" style="37" customWidth="1"/>
    <col min="11987" max="11987" width="8" style="37" customWidth="1"/>
    <col min="11988" max="11988" width="13.7109375" style="37" customWidth="1"/>
    <col min="11989" max="11989" width="9.85546875" style="37" customWidth="1"/>
    <col min="11990" max="11990" width="13.7109375" style="37" customWidth="1"/>
    <col min="11991" max="11991" width="10.28515625" style="37" customWidth="1"/>
    <col min="11992" max="11992" width="12.7109375" style="37" customWidth="1"/>
    <col min="11993" max="11993" width="16" style="37" customWidth="1"/>
    <col min="11994" max="11994" width="9.7109375" style="37" customWidth="1"/>
    <col min="11995" max="11995" width="8" style="37" customWidth="1"/>
    <col min="11996" max="11996" width="13.7109375" style="37" customWidth="1"/>
    <col min="11997" max="11997" width="9.85546875" style="37" customWidth="1"/>
    <col min="11998" max="11998" width="13.7109375" style="37" customWidth="1"/>
    <col min="11999" max="11999" width="10.28515625" style="37" customWidth="1"/>
    <col min="12000" max="12000" width="12.7109375" style="37" customWidth="1"/>
    <col min="12001" max="12001" width="16" style="37" customWidth="1"/>
    <col min="12002" max="12002" width="9.7109375" style="37" customWidth="1"/>
    <col min="12003" max="12003" width="8" style="37" customWidth="1"/>
    <col min="12004" max="12004" width="13.7109375" style="37" customWidth="1"/>
    <col min="12005" max="12005" width="9.85546875" style="37" customWidth="1"/>
    <col min="12006" max="12006" width="13.7109375" style="37" customWidth="1"/>
    <col min="12007" max="12007" width="10.28515625" style="37" customWidth="1"/>
    <col min="12008" max="12008" width="12.7109375" style="37" customWidth="1"/>
    <col min="12009" max="12009" width="16" style="37" customWidth="1"/>
    <col min="12010" max="12010" width="9.7109375" style="37" customWidth="1"/>
    <col min="12011" max="12011" width="8" style="37" customWidth="1"/>
    <col min="12012" max="12012" width="13.7109375" style="37" customWidth="1"/>
    <col min="12013" max="12013" width="9.85546875" style="37" customWidth="1"/>
    <col min="12014" max="12014" width="13.7109375" style="37" customWidth="1"/>
    <col min="12015" max="12015" width="10.28515625" style="37" customWidth="1"/>
    <col min="12016" max="12016" width="12.7109375" style="37" customWidth="1"/>
    <col min="12017" max="12017" width="16" style="37" customWidth="1"/>
    <col min="12018" max="12018" width="9.7109375" style="37" customWidth="1"/>
    <col min="12019" max="12019" width="8" style="37" customWidth="1"/>
    <col min="12020" max="12020" width="13.7109375" style="37" customWidth="1"/>
    <col min="12021" max="12021" width="9.85546875" style="37" customWidth="1"/>
    <col min="12022" max="12022" width="13.7109375" style="37" customWidth="1"/>
    <col min="12023" max="12023" width="10.28515625" style="37" customWidth="1"/>
    <col min="12024" max="12024" width="12.7109375" style="37" customWidth="1"/>
    <col min="12025" max="12025" width="16" style="37" customWidth="1"/>
    <col min="12026" max="12026" width="9.7109375" style="37" customWidth="1"/>
    <col min="12027" max="12027" width="8" style="37" customWidth="1"/>
    <col min="12028" max="12028" width="13.7109375" style="37" customWidth="1"/>
    <col min="12029" max="12029" width="9.85546875" style="37" customWidth="1"/>
    <col min="12030" max="12030" width="13.7109375" style="37" customWidth="1"/>
    <col min="12031" max="12031" width="10.28515625" style="37" customWidth="1"/>
    <col min="12032" max="12032" width="12.7109375" style="37" customWidth="1"/>
    <col min="12033" max="12033" width="16" style="37" customWidth="1"/>
    <col min="12034" max="12034" width="9.7109375" style="37" customWidth="1"/>
    <col min="12035" max="12035" width="8" style="37" customWidth="1"/>
    <col min="12036" max="12036" width="13.7109375" style="37" customWidth="1"/>
    <col min="12037" max="12037" width="9.85546875" style="37" customWidth="1"/>
    <col min="12038" max="12038" width="13.7109375" style="37" customWidth="1"/>
    <col min="12039" max="12039" width="10.28515625" style="37" customWidth="1"/>
    <col min="12040" max="12040" width="12.7109375" style="37" customWidth="1"/>
    <col min="12041" max="12041" width="16" style="37" customWidth="1"/>
    <col min="12042" max="12042" width="9.7109375" style="37" customWidth="1"/>
    <col min="12043" max="12043" width="8" style="37" customWidth="1"/>
    <col min="12044" max="12044" width="13.7109375" style="37" customWidth="1"/>
    <col min="12045" max="12045" width="9.85546875" style="37" customWidth="1"/>
    <col min="12046" max="12046" width="13.7109375" style="37" customWidth="1"/>
    <col min="12047" max="12047" width="10.28515625" style="37" customWidth="1"/>
    <col min="12048" max="12048" width="12.7109375" style="37" customWidth="1"/>
    <col min="12049" max="12049" width="16" style="37" customWidth="1"/>
    <col min="12050" max="12050" width="9.7109375" style="37" customWidth="1"/>
    <col min="12051" max="12051" width="8" style="37" customWidth="1"/>
    <col min="12052" max="12052" width="13.7109375" style="37" customWidth="1"/>
    <col min="12053" max="12053" width="9.85546875" style="37" customWidth="1"/>
    <col min="12054" max="12054" width="13.7109375" style="37" customWidth="1"/>
    <col min="12055" max="12055" width="10.28515625" style="37" customWidth="1"/>
    <col min="12056" max="12056" width="12.7109375" style="37" customWidth="1"/>
    <col min="12057" max="12057" width="16" style="37" customWidth="1"/>
    <col min="12058" max="12058" width="9.7109375" style="37" customWidth="1"/>
    <col min="12059" max="12059" width="8" style="37" customWidth="1"/>
    <col min="12060" max="12060" width="13.7109375" style="37" customWidth="1"/>
    <col min="12061" max="12061" width="9.85546875" style="37" customWidth="1"/>
    <col min="12062" max="12062" width="13.7109375" style="37" customWidth="1"/>
    <col min="12063" max="12063" width="10.28515625" style="37" customWidth="1"/>
    <col min="12064" max="12239" width="11.42578125" style="37"/>
    <col min="12240" max="12240" width="12.7109375" style="37" customWidth="1"/>
    <col min="12241" max="12241" width="16" style="37" customWidth="1"/>
    <col min="12242" max="12242" width="9.7109375" style="37" customWidth="1"/>
    <col min="12243" max="12243" width="8" style="37" customWidth="1"/>
    <col min="12244" max="12244" width="13.7109375" style="37" customWidth="1"/>
    <col min="12245" max="12245" width="9.85546875" style="37" customWidth="1"/>
    <col min="12246" max="12246" width="13.7109375" style="37" customWidth="1"/>
    <col min="12247" max="12247" width="10.28515625" style="37" customWidth="1"/>
    <col min="12248" max="12248" width="12.7109375" style="37" customWidth="1"/>
    <col min="12249" max="12249" width="16" style="37" customWidth="1"/>
    <col min="12250" max="12250" width="9.7109375" style="37" customWidth="1"/>
    <col min="12251" max="12251" width="8" style="37" customWidth="1"/>
    <col min="12252" max="12252" width="13.7109375" style="37" customWidth="1"/>
    <col min="12253" max="12253" width="9.85546875" style="37" customWidth="1"/>
    <col min="12254" max="12254" width="13.7109375" style="37" customWidth="1"/>
    <col min="12255" max="12255" width="10.28515625" style="37" customWidth="1"/>
    <col min="12256" max="12256" width="12.7109375" style="37" customWidth="1"/>
    <col min="12257" max="12257" width="16" style="37" customWidth="1"/>
    <col min="12258" max="12258" width="9.7109375" style="37" customWidth="1"/>
    <col min="12259" max="12259" width="8" style="37" customWidth="1"/>
    <col min="12260" max="12260" width="13.7109375" style="37" customWidth="1"/>
    <col min="12261" max="12261" width="9.85546875" style="37" customWidth="1"/>
    <col min="12262" max="12262" width="13.7109375" style="37" customWidth="1"/>
    <col min="12263" max="12263" width="10.28515625" style="37" customWidth="1"/>
    <col min="12264" max="12264" width="12.7109375" style="37" customWidth="1"/>
    <col min="12265" max="12265" width="16" style="37" customWidth="1"/>
    <col min="12266" max="12266" width="9.7109375" style="37" customWidth="1"/>
    <col min="12267" max="12267" width="8" style="37" customWidth="1"/>
    <col min="12268" max="12268" width="13.7109375" style="37" customWidth="1"/>
    <col min="12269" max="12269" width="9.85546875" style="37" customWidth="1"/>
    <col min="12270" max="12270" width="13.7109375" style="37" customWidth="1"/>
    <col min="12271" max="12271" width="10.28515625" style="37" customWidth="1"/>
    <col min="12272" max="12272" width="12.7109375" style="37" customWidth="1"/>
    <col min="12273" max="12273" width="16" style="37" customWidth="1"/>
    <col min="12274" max="12274" width="9.7109375" style="37" customWidth="1"/>
    <col min="12275" max="12275" width="8" style="37" customWidth="1"/>
    <col min="12276" max="12276" width="13.7109375" style="37" customWidth="1"/>
    <col min="12277" max="12277" width="9.85546875" style="37" customWidth="1"/>
    <col min="12278" max="12278" width="13.7109375" style="37" customWidth="1"/>
    <col min="12279" max="12279" width="10.28515625" style="37" customWidth="1"/>
    <col min="12280" max="12280" width="12.7109375" style="37" customWidth="1"/>
    <col min="12281" max="12281" width="16" style="37" customWidth="1"/>
    <col min="12282" max="12282" width="9.7109375" style="37" customWidth="1"/>
    <col min="12283" max="12283" width="8" style="37" customWidth="1"/>
    <col min="12284" max="12284" width="13.7109375" style="37" customWidth="1"/>
    <col min="12285" max="12285" width="9.85546875" style="37" customWidth="1"/>
    <col min="12286" max="12286" width="13.7109375" style="37" customWidth="1"/>
    <col min="12287" max="12287" width="10.28515625" style="37" customWidth="1"/>
    <col min="12288" max="12288" width="12.7109375" style="37" customWidth="1"/>
    <col min="12289" max="12289" width="16" style="37" customWidth="1"/>
    <col min="12290" max="12290" width="9.7109375" style="37" customWidth="1"/>
    <col min="12291" max="12291" width="8" style="37" customWidth="1"/>
    <col min="12292" max="12292" width="13.7109375" style="37" customWidth="1"/>
    <col min="12293" max="12293" width="9.85546875" style="37" customWidth="1"/>
    <col min="12294" max="12294" width="13.7109375" style="37" customWidth="1"/>
    <col min="12295" max="12295" width="10.28515625" style="37" customWidth="1"/>
    <col min="12296" max="12296" width="12.7109375" style="37" customWidth="1"/>
    <col min="12297" max="12297" width="16" style="37" customWidth="1"/>
    <col min="12298" max="12298" width="9.7109375" style="37" customWidth="1"/>
    <col min="12299" max="12299" width="8" style="37" customWidth="1"/>
    <col min="12300" max="12300" width="13.7109375" style="37" customWidth="1"/>
    <col min="12301" max="12301" width="9.85546875" style="37" customWidth="1"/>
    <col min="12302" max="12302" width="13.7109375" style="37" customWidth="1"/>
    <col min="12303" max="12303" width="10.28515625" style="37" customWidth="1"/>
    <col min="12304" max="12304" width="12.7109375" style="37" customWidth="1"/>
    <col min="12305" max="12305" width="16" style="37" customWidth="1"/>
    <col min="12306" max="12306" width="9.7109375" style="37" customWidth="1"/>
    <col min="12307" max="12307" width="8" style="37" customWidth="1"/>
    <col min="12308" max="12308" width="13.7109375" style="37" customWidth="1"/>
    <col min="12309" max="12309" width="9.85546875" style="37" customWidth="1"/>
    <col min="12310" max="12310" width="13.7109375" style="37" customWidth="1"/>
    <col min="12311" max="12311" width="10.28515625" style="37" customWidth="1"/>
    <col min="12312" max="12312" width="12.7109375" style="37" customWidth="1"/>
    <col min="12313" max="12313" width="16" style="37" customWidth="1"/>
    <col min="12314" max="12314" width="9.7109375" style="37" customWidth="1"/>
    <col min="12315" max="12315" width="8" style="37" customWidth="1"/>
    <col min="12316" max="12316" width="13.7109375" style="37" customWidth="1"/>
    <col min="12317" max="12317" width="9.85546875" style="37" customWidth="1"/>
    <col min="12318" max="12318" width="13.7109375" style="37" customWidth="1"/>
    <col min="12319" max="12319" width="10.28515625" style="37" customWidth="1"/>
    <col min="12320" max="12495" width="11.42578125" style="37"/>
    <col min="12496" max="12496" width="12.7109375" style="37" customWidth="1"/>
    <col min="12497" max="12497" width="16" style="37" customWidth="1"/>
    <col min="12498" max="12498" width="9.7109375" style="37" customWidth="1"/>
    <col min="12499" max="12499" width="8" style="37" customWidth="1"/>
    <col min="12500" max="12500" width="13.7109375" style="37" customWidth="1"/>
    <col min="12501" max="12501" width="9.85546875" style="37" customWidth="1"/>
    <col min="12502" max="12502" width="13.7109375" style="37" customWidth="1"/>
    <col min="12503" max="12503" width="10.28515625" style="37" customWidth="1"/>
    <col min="12504" max="12504" width="12.7109375" style="37" customWidth="1"/>
    <col min="12505" max="12505" width="16" style="37" customWidth="1"/>
    <col min="12506" max="12506" width="9.7109375" style="37" customWidth="1"/>
    <col min="12507" max="12507" width="8" style="37" customWidth="1"/>
    <col min="12508" max="12508" width="13.7109375" style="37" customWidth="1"/>
    <col min="12509" max="12509" width="9.85546875" style="37" customWidth="1"/>
    <col min="12510" max="12510" width="13.7109375" style="37" customWidth="1"/>
    <col min="12511" max="12511" width="10.28515625" style="37" customWidth="1"/>
    <col min="12512" max="12512" width="12.7109375" style="37" customWidth="1"/>
    <col min="12513" max="12513" width="16" style="37" customWidth="1"/>
    <col min="12514" max="12514" width="9.7109375" style="37" customWidth="1"/>
    <col min="12515" max="12515" width="8" style="37" customWidth="1"/>
    <col min="12516" max="12516" width="13.7109375" style="37" customWidth="1"/>
    <col min="12517" max="12517" width="9.85546875" style="37" customWidth="1"/>
    <col min="12518" max="12518" width="13.7109375" style="37" customWidth="1"/>
    <col min="12519" max="12519" width="10.28515625" style="37" customWidth="1"/>
    <col min="12520" max="12520" width="12.7109375" style="37" customWidth="1"/>
    <col min="12521" max="12521" width="16" style="37" customWidth="1"/>
    <col min="12522" max="12522" width="9.7109375" style="37" customWidth="1"/>
    <col min="12523" max="12523" width="8" style="37" customWidth="1"/>
    <col min="12524" max="12524" width="13.7109375" style="37" customWidth="1"/>
    <col min="12525" max="12525" width="9.85546875" style="37" customWidth="1"/>
    <col min="12526" max="12526" width="13.7109375" style="37" customWidth="1"/>
    <col min="12527" max="12527" width="10.28515625" style="37" customWidth="1"/>
    <col min="12528" max="12528" width="12.7109375" style="37" customWidth="1"/>
    <col min="12529" max="12529" width="16" style="37" customWidth="1"/>
    <col min="12530" max="12530" width="9.7109375" style="37" customWidth="1"/>
    <col min="12531" max="12531" width="8" style="37" customWidth="1"/>
    <col min="12532" max="12532" width="13.7109375" style="37" customWidth="1"/>
    <col min="12533" max="12533" width="9.85546875" style="37" customWidth="1"/>
    <col min="12534" max="12534" width="13.7109375" style="37" customWidth="1"/>
    <col min="12535" max="12535" width="10.28515625" style="37" customWidth="1"/>
    <col min="12536" max="12536" width="12.7109375" style="37" customWidth="1"/>
    <col min="12537" max="12537" width="16" style="37" customWidth="1"/>
    <col min="12538" max="12538" width="9.7109375" style="37" customWidth="1"/>
    <col min="12539" max="12539" width="8" style="37" customWidth="1"/>
    <col min="12540" max="12540" width="13.7109375" style="37" customWidth="1"/>
    <col min="12541" max="12541" width="9.85546875" style="37" customWidth="1"/>
    <col min="12542" max="12542" width="13.7109375" style="37" customWidth="1"/>
    <col min="12543" max="12543" width="10.28515625" style="37" customWidth="1"/>
    <col min="12544" max="12544" width="12.7109375" style="37" customWidth="1"/>
    <col min="12545" max="12545" width="16" style="37" customWidth="1"/>
    <col min="12546" max="12546" width="9.7109375" style="37" customWidth="1"/>
    <col min="12547" max="12547" width="8" style="37" customWidth="1"/>
    <col min="12548" max="12548" width="13.7109375" style="37" customWidth="1"/>
    <col min="12549" max="12549" width="9.85546875" style="37" customWidth="1"/>
    <col min="12550" max="12550" width="13.7109375" style="37" customWidth="1"/>
    <col min="12551" max="12551" width="10.28515625" style="37" customWidth="1"/>
    <col min="12552" max="12552" width="12.7109375" style="37" customWidth="1"/>
    <col min="12553" max="12553" width="16" style="37" customWidth="1"/>
    <col min="12554" max="12554" width="9.7109375" style="37" customWidth="1"/>
    <col min="12555" max="12555" width="8" style="37" customWidth="1"/>
    <col min="12556" max="12556" width="13.7109375" style="37" customWidth="1"/>
    <col min="12557" max="12557" width="9.85546875" style="37" customWidth="1"/>
    <col min="12558" max="12558" width="13.7109375" style="37" customWidth="1"/>
    <col min="12559" max="12559" width="10.28515625" style="37" customWidth="1"/>
    <col min="12560" max="12560" width="12.7109375" style="37" customWidth="1"/>
    <col min="12561" max="12561" width="16" style="37" customWidth="1"/>
    <col min="12562" max="12562" width="9.7109375" style="37" customWidth="1"/>
    <col min="12563" max="12563" width="8" style="37" customWidth="1"/>
    <col min="12564" max="12564" width="13.7109375" style="37" customWidth="1"/>
    <col min="12565" max="12565" width="9.85546875" style="37" customWidth="1"/>
    <col min="12566" max="12566" width="13.7109375" style="37" customWidth="1"/>
    <col min="12567" max="12567" width="10.28515625" style="37" customWidth="1"/>
    <col min="12568" max="12568" width="12.7109375" style="37" customWidth="1"/>
    <col min="12569" max="12569" width="16" style="37" customWidth="1"/>
    <col min="12570" max="12570" width="9.7109375" style="37" customWidth="1"/>
    <col min="12571" max="12571" width="8" style="37" customWidth="1"/>
    <col min="12572" max="12572" width="13.7109375" style="37" customWidth="1"/>
    <col min="12573" max="12573" width="9.85546875" style="37" customWidth="1"/>
    <col min="12574" max="12574" width="13.7109375" style="37" customWidth="1"/>
    <col min="12575" max="12575" width="10.28515625" style="37" customWidth="1"/>
    <col min="12576" max="12751" width="11.42578125" style="37"/>
    <col min="12752" max="12752" width="12.7109375" style="37" customWidth="1"/>
    <col min="12753" max="12753" width="16" style="37" customWidth="1"/>
    <col min="12754" max="12754" width="9.7109375" style="37" customWidth="1"/>
    <col min="12755" max="12755" width="8" style="37" customWidth="1"/>
    <col min="12756" max="12756" width="13.7109375" style="37" customWidth="1"/>
    <col min="12757" max="12757" width="9.85546875" style="37" customWidth="1"/>
    <col min="12758" max="12758" width="13.7109375" style="37" customWidth="1"/>
    <col min="12759" max="12759" width="10.28515625" style="37" customWidth="1"/>
    <col min="12760" max="12760" width="12.7109375" style="37" customWidth="1"/>
    <col min="12761" max="12761" width="16" style="37" customWidth="1"/>
    <col min="12762" max="12762" width="9.7109375" style="37" customWidth="1"/>
    <col min="12763" max="12763" width="8" style="37" customWidth="1"/>
    <col min="12764" max="12764" width="13.7109375" style="37" customWidth="1"/>
    <col min="12765" max="12765" width="9.85546875" style="37" customWidth="1"/>
    <col min="12766" max="12766" width="13.7109375" style="37" customWidth="1"/>
    <col min="12767" max="12767" width="10.28515625" style="37" customWidth="1"/>
    <col min="12768" max="12768" width="12.7109375" style="37" customWidth="1"/>
    <col min="12769" max="12769" width="16" style="37" customWidth="1"/>
    <col min="12770" max="12770" width="9.7109375" style="37" customWidth="1"/>
    <col min="12771" max="12771" width="8" style="37" customWidth="1"/>
    <col min="12772" max="12772" width="13.7109375" style="37" customWidth="1"/>
    <col min="12773" max="12773" width="9.85546875" style="37" customWidth="1"/>
    <col min="12774" max="12774" width="13.7109375" style="37" customWidth="1"/>
    <col min="12775" max="12775" width="10.28515625" style="37" customWidth="1"/>
    <col min="12776" max="12776" width="12.7109375" style="37" customWidth="1"/>
    <col min="12777" max="12777" width="16" style="37" customWidth="1"/>
    <col min="12778" max="12778" width="9.7109375" style="37" customWidth="1"/>
    <col min="12779" max="12779" width="8" style="37" customWidth="1"/>
    <col min="12780" max="12780" width="13.7109375" style="37" customWidth="1"/>
    <col min="12781" max="12781" width="9.85546875" style="37" customWidth="1"/>
    <col min="12782" max="12782" width="13.7109375" style="37" customWidth="1"/>
    <col min="12783" max="12783" width="10.28515625" style="37" customWidth="1"/>
    <col min="12784" max="12784" width="12.7109375" style="37" customWidth="1"/>
    <col min="12785" max="12785" width="16" style="37" customWidth="1"/>
    <col min="12786" max="12786" width="9.7109375" style="37" customWidth="1"/>
    <col min="12787" max="12787" width="8" style="37" customWidth="1"/>
    <col min="12788" max="12788" width="13.7109375" style="37" customWidth="1"/>
    <col min="12789" max="12789" width="9.85546875" style="37" customWidth="1"/>
    <col min="12790" max="12790" width="13.7109375" style="37" customWidth="1"/>
    <col min="12791" max="12791" width="10.28515625" style="37" customWidth="1"/>
    <col min="12792" max="12792" width="12.7109375" style="37" customWidth="1"/>
    <col min="12793" max="12793" width="16" style="37" customWidth="1"/>
    <col min="12794" max="12794" width="9.7109375" style="37" customWidth="1"/>
    <col min="12795" max="12795" width="8" style="37" customWidth="1"/>
    <col min="12796" max="12796" width="13.7109375" style="37" customWidth="1"/>
    <col min="12797" max="12797" width="9.85546875" style="37" customWidth="1"/>
    <col min="12798" max="12798" width="13.7109375" style="37" customWidth="1"/>
    <col min="12799" max="12799" width="10.28515625" style="37" customWidth="1"/>
    <col min="12800" max="12800" width="12.7109375" style="37" customWidth="1"/>
    <col min="12801" max="12801" width="16" style="37" customWidth="1"/>
    <col min="12802" max="12802" width="9.7109375" style="37" customWidth="1"/>
    <col min="12803" max="12803" width="8" style="37" customWidth="1"/>
    <col min="12804" max="12804" width="13.7109375" style="37" customWidth="1"/>
    <col min="12805" max="12805" width="9.85546875" style="37" customWidth="1"/>
    <col min="12806" max="12806" width="13.7109375" style="37" customWidth="1"/>
    <col min="12807" max="12807" width="10.28515625" style="37" customWidth="1"/>
    <col min="12808" max="12808" width="12.7109375" style="37" customWidth="1"/>
    <col min="12809" max="12809" width="16" style="37" customWidth="1"/>
    <col min="12810" max="12810" width="9.7109375" style="37" customWidth="1"/>
    <col min="12811" max="12811" width="8" style="37" customWidth="1"/>
    <col min="12812" max="12812" width="13.7109375" style="37" customWidth="1"/>
    <col min="12813" max="12813" width="9.85546875" style="37" customWidth="1"/>
    <col min="12814" max="12814" width="13.7109375" style="37" customWidth="1"/>
    <col min="12815" max="12815" width="10.28515625" style="37" customWidth="1"/>
    <col min="12816" max="12816" width="12.7109375" style="37" customWidth="1"/>
    <col min="12817" max="12817" width="16" style="37" customWidth="1"/>
    <col min="12818" max="12818" width="9.7109375" style="37" customWidth="1"/>
    <col min="12819" max="12819" width="8" style="37" customWidth="1"/>
    <col min="12820" max="12820" width="13.7109375" style="37" customWidth="1"/>
    <col min="12821" max="12821" width="9.85546875" style="37" customWidth="1"/>
    <col min="12822" max="12822" width="13.7109375" style="37" customWidth="1"/>
    <col min="12823" max="12823" width="10.28515625" style="37" customWidth="1"/>
    <col min="12824" max="12824" width="12.7109375" style="37" customWidth="1"/>
    <col min="12825" max="12825" width="16" style="37" customWidth="1"/>
    <col min="12826" max="12826" width="9.7109375" style="37" customWidth="1"/>
    <col min="12827" max="12827" width="8" style="37" customWidth="1"/>
    <col min="12828" max="12828" width="13.7109375" style="37" customWidth="1"/>
    <col min="12829" max="12829" width="9.85546875" style="37" customWidth="1"/>
    <col min="12830" max="12830" width="13.7109375" style="37" customWidth="1"/>
    <col min="12831" max="12831" width="10.28515625" style="37" customWidth="1"/>
    <col min="12832" max="13007" width="11.42578125" style="37"/>
    <col min="13008" max="13008" width="12.7109375" style="37" customWidth="1"/>
    <col min="13009" max="13009" width="16" style="37" customWidth="1"/>
    <col min="13010" max="13010" width="9.7109375" style="37" customWidth="1"/>
    <col min="13011" max="13011" width="8" style="37" customWidth="1"/>
    <col min="13012" max="13012" width="13.7109375" style="37" customWidth="1"/>
    <col min="13013" max="13013" width="9.85546875" style="37" customWidth="1"/>
    <col min="13014" max="13014" width="13.7109375" style="37" customWidth="1"/>
    <col min="13015" max="13015" width="10.28515625" style="37" customWidth="1"/>
    <col min="13016" max="13016" width="12.7109375" style="37" customWidth="1"/>
    <col min="13017" max="13017" width="16" style="37" customWidth="1"/>
    <col min="13018" max="13018" width="9.7109375" style="37" customWidth="1"/>
    <col min="13019" max="13019" width="8" style="37" customWidth="1"/>
    <col min="13020" max="13020" width="13.7109375" style="37" customWidth="1"/>
    <col min="13021" max="13021" width="9.85546875" style="37" customWidth="1"/>
    <col min="13022" max="13022" width="13.7109375" style="37" customWidth="1"/>
    <col min="13023" max="13023" width="10.28515625" style="37" customWidth="1"/>
    <col min="13024" max="13024" width="12.7109375" style="37" customWidth="1"/>
    <col min="13025" max="13025" width="16" style="37" customWidth="1"/>
    <col min="13026" max="13026" width="9.7109375" style="37" customWidth="1"/>
    <col min="13027" max="13027" width="8" style="37" customWidth="1"/>
    <col min="13028" max="13028" width="13.7109375" style="37" customWidth="1"/>
    <col min="13029" max="13029" width="9.85546875" style="37" customWidth="1"/>
    <col min="13030" max="13030" width="13.7109375" style="37" customWidth="1"/>
    <col min="13031" max="13031" width="10.28515625" style="37" customWidth="1"/>
    <col min="13032" max="13032" width="12.7109375" style="37" customWidth="1"/>
    <col min="13033" max="13033" width="16" style="37" customWidth="1"/>
    <col min="13034" max="13034" width="9.7109375" style="37" customWidth="1"/>
    <col min="13035" max="13035" width="8" style="37" customWidth="1"/>
    <col min="13036" max="13036" width="13.7109375" style="37" customWidth="1"/>
    <col min="13037" max="13037" width="9.85546875" style="37" customWidth="1"/>
    <col min="13038" max="13038" width="13.7109375" style="37" customWidth="1"/>
    <col min="13039" max="13039" width="10.28515625" style="37" customWidth="1"/>
    <col min="13040" max="13040" width="12.7109375" style="37" customWidth="1"/>
    <col min="13041" max="13041" width="16" style="37" customWidth="1"/>
    <col min="13042" max="13042" width="9.7109375" style="37" customWidth="1"/>
    <col min="13043" max="13043" width="8" style="37" customWidth="1"/>
    <col min="13044" max="13044" width="13.7109375" style="37" customWidth="1"/>
    <col min="13045" max="13045" width="9.85546875" style="37" customWidth="1"/>
    <col min="13046" max="13046" width="13.7109375" style="37" customWidth="1"/>
    <col min="13047" max="13047" width="10.28515625" style="37" customWidth="1"/>
    <col min="13048" max="13048" width="12.7109375" style="37" customWidth="1"/>
    <col min="13049" max="13049" width="16" style="37" customWidth="1"/>
    <col min="13050" max="13050" width="9.7109375" style="37" customWidth="1"/>
    <col min="13051" max="13051" width="8" style="37" customWidth="1"/>
    <col min="13052" max="13052" width="13.7109375" style="37" customWidth="1"/>
    <col min="13053" max="13053" width="9.85546875" style="37" customWidth="1"/>
    <col min="13054" max="13054" width="13.7109375" style="37" customWidth="1"/>
    <col min="13055" max="13055" width="10.28515625" style="37" customWidth="1"/>
    <col min="13056" max="13056" width="12.7109375" style="37" customWidth="1"/>
    <col min="13057" max="13057" width="16" style="37" customWidth="1"/>
    <col min="13058" max="13058" width="9.7109375" style="37" customWidth="1"/>
    <col min="13059" max="13059" width="8" style="37" customWidth="1"/>
    <col min="13060" max="13060" width="13.7109375" style="37" customWidth="1"/>
    <col min="13061" max="13061" width="9.85546875" style="37" customWidth="1"/>
    <col min="13062" max="13062" width="13.7109375" style="37" customWidth="1"/>
    <col min="13063" max="13063" width="10.28515625" style="37" customWidth="1"/>
    <col min="13064" max="13064" width="12.7109375" style="37" customWidth="1"/>
    <col min="13065" max="13065" width="16" style="37" customWidth="1"/>
    <col min="13066" max="13066" width="9.7109375" style="37" customWidth="1"/>
    <col min="13067" max="13067" width="8" style="37" customWidth="1"/>
    <col min="13068" max="13068" width="13.7109375" style="37" customWidth="1"/>
    <col min="13069" max="13069" width="9.85546875" style="37" customWidth="1"/>
    <col min="13070" max="13070" width="13.7109375" style="37" customWidth="1"/>
    <col min="13071" max="13071" width="10.28515625" style="37" customWidth="1"/>
    <col min="13072" max="13072" width="12.7109375" style="37" customWidth="1"/>
    <col min="13073" max="13073" width="16" style="37" customWidth="1"/>
    <col min="13074" max="13074" width="9.7109375" style="37" customWidth="1"/>
    <col min="13075" max="13075" width="8" style="37" customWidth="1"/>
    <col min="13076" max="13076" width="13.7109375" style="37" customWidth="1"/>
    <col min="13077" max="13077" width="9.85546875" style="37" customWidth="1"/>
    <col min="13078" max="13078" width="13.7109375" style="37" customWidth="1"/>
    <col min="13079" max="13079" width="10.28515625" style="37" customWidth="1"/>
    <col min="13080" max="13080" width="12.7109375" style="37" customWidth="1"/>
    <col min="13081" max="13081" width="16" style="37" customWidth="1"/>
    <col min="13082" max="13082" width="9.7109375" style="37" customWidth="1"/>
    <col min="13083" max="13083" width="8" style="37" customWidth="1"/>
    <col min="13084" max="13084" width="13.7109375" style="37" customWidth="1"/>
    <col min="13085" max="13085" width="9.85546875" style="37" customWidth="1"/>
    <col min="13086" max="13086" width="13.7109375" style="37" customWidth="1"/>
    <col min="13087" max="13087" width="10.28515625" style="37" customWidth="1"/>
    <col min="13088" max="13263" width="11.42578125" style="37"/>
    <col min="13264" max="13264" width="12.7109375" style="37" customWidth="1"/>
    <col min="13265" max="13265" width="16" style="37" customWidth="1"/>
    <col min="13266" max="13266" width="9.7109375" style="37" customWidth="1"/>
    <col min="13267" max="13267" width="8" style="37" customWidth="1"/>
    <col min="13268" max="13268" width="13.7109375" style="37" customWidth="1"/>
    <col min="13269" max="13269" width="9.85546875" style="37" customWidth="1"/>
    <col min="13270" max="13270" width="13.7109375" style="37" customWidth="1"/>
    <col min="13271" max="13271" width="10.28515625" style="37" customWidth="1"/>
    <col min="13272" max="13272" width="12.7109375" style="37" customWidth="1"/>
    <col min="13273" max="13273" width="16" style="37" customWidth="1"/>
    <col min="13274" max="13274" width="9.7109375" style="37" customWidth="1"/>
    <col min="13275" max="13275" width="8" style="37" customWidth="1"/>
    <col min="13276" max="13276" width="13.7109375" style="37" customWidth="1"/>
    <col min="13277" max="13277" width="9.85546875" style="37" customWidth="1"/>
    <col min="13278" max="13278" width="13.7109375" style="37" customWidth="1"/>
    <col min="13279" max="13279" width="10.28515625" style="37" customWidth="1"/>
    <col min="13280" max="13280" width="12.7109375" style="37" customWidth="1"/>
    <col min="13281" max="13281" width="16" style="37" customWidth="1"/>
    <col min="13282" max="13282" width="9.7109375" style="37" customWidth="1"/>
    <col min="13283" max="13283" width="8" style="37" customWidth="1"/>
    <col min="13284" max="13284" width="13.7109375" style="37" customWidth="1"/>
    <col min="13285" max="13285" width="9.85546875" style="37" customWidth="1"/>
    <col min="13286" max="13286" width="13.7109375" style="37" customWidth="1"/>
    <col min="13287" max="13287" width="10.28515625" style="37" customWidth="1"/>
    <col min="13288" max="13288" width="12.7109375" style="37" customWidth="1"/>
    <col min="13289" max="13289" width="16" style="37" customWidth="1"/>
    <col min="13290" max="13290" width="9.7109375" style="37" customWidth="1"/>
    <col min="13291" max="13291" width="8" style="37" customWidth="1"/>
    <col min="13292" max="13292" width="13.7109375" style="37" customWidth="1"/>
    <col min="13293" max="13293" width="9.85546875" style="37" customWidth="1"/>
    <col min="13294" max="13294" width="13.7109375" style="37" customWidth="1"/>
    <col min="13295" max="13295" width="10.28515625" style="37" customWidth="1"/>
    <col min="13296" max="13296" width="12.7109375" style="37" customWidth="1"/>
    <col min="13297" max="13297" width="16" style="37" customWidth="1"/>
    <col min="13298" max="13298" width="9.7109375" style="37" customWidth="1"/>
    <col min="13299" max="13299" width="8" style="37" customWidth="1"/>
    <col min="13300" max="13300" width="13.7109375" style="37" customWidth="1"/>
    <col min="13301" max="13301" width="9.85546875" style="37" customWidth="1"/>
    <col min="13302" max="13302" width="13.7109375" style="37" customWidth="1"/>
    <col min="13303" max="13303" width="10.28515625" style="37" customWidth="1"/>
    <col min="13304" max="13304" width="12.7109375" style="37" customWidth="1"/>
    <col min="13305" max="13305" width="16" style="37" customWidth="1"/>
    <col min="13306" max="13306" width="9.7109375" style="37" customWidth="1"/>
    <col min="13307" max="13307" width="8" style="37" customWidth="1"/>
    <col min="13308" max="13308" width="13.7109375" style="37" customWidth="1"/>
    <col min="13309" max="13309" width="9.85546875" style="37" customWidth="1"/>
    <col min="13310" max="13310" width="13.7109375" style="37" customWidth="1"/>
    <col min="13311" max="13311" width="10.28515625" style="37" customWidth="1"/>
    <col min="13312" max="13312" width="12.7109375" style="37" customWidth="1"/>
    <col min="13313" max="13313" width="16" style="37" customWidth="1"/>
    <col min="13314" max="13314" width="9.7109375" style="37" customWidth="1"/>
    <col min="13315" max="13315" width="8" style="37" customWidth="1"/>
    <col min="13316" max="13316" width="13.7109375" style="37" customWidth="1"/>
    <col min="13317" max="13317" width="9.85546875" style="37" customWidth="1"/>
    <col min="13318" max="13318" width="13.7109375" style="37" customWidth="1"/>
    <col min="13319" max="13319" width="10.28515625" style="37" customWidth="1"/>
    <col min="13320" max="13320" width="12.7109375" style="37" customWidth="1"/>
    <col min="13321" max="13321" width="16" style="37" customWidth="1"/>
    <col min="13322" max="13322" width="9.7109375" style="37" customWidth="1"/>
    <col min="13323" max="13323" width="8" style="37" customWidth="1"/>
    <col min="13324" max="13324" width="13.7109375" style="37" customWidth="1"/>
    <col min="13325" max="13325" width="9.85546875" style="37" customWidth="1"/>
    <col min="13326" max="13326" width="13.7109375" style="37" customWidth="1"/>
    <col min="13327" max="13327" width="10.28515625" style="37" customWidth="1"/>
    <col min="13328" max="13328" width="12.7109375" style="37" customWidth="1"/>
    <col min="13329" max="13329" width="16" style="37" customWidth="1"/>
    <col min="13330" max="13330" width="9.7109375" style="37" customWidth="1"/>
    <col min="13331" max="13331" width="8" style="37" customWidth="1"/>
    <col min="13332" max="13332" width="13.7109375" style="37" customWidth="1"/>
    <col min="13333" max="13333" width="9.85546875" style="37" customWidth="1"/>
    <col min="13334" max="13334" width="13.7109375" style="37" customWidth="1"/>
    <col min="13335" max="13335" width="10.28515625" style="37" customWidth="1"/>
    <col min="13336" max="13336" width="12.7109375" style="37" customWidth="1"/>
    <col min="13337" max="13337" width="16" style="37" customWidth="1"/>
    <col min="13338" max="13338" width="9.7109375" style="37" customWidth="1"/>
    <col min="13339" max="13339" width="8" style="37" customWidth="1"/>
    <col min="13340" max="13340" width="13.7109375" style="37" customWidth="1"/>
    <col min="13341" max="13341" width="9.85546875" style="37" customWidth="1"/>
    <col min="13342" max="13342" width="13.7109375" style="37" customWidth="1"/>
    <col min="13343" max="13343" width="10.28515625" style="37" customWidth="1"/>
    <col min="13344" max="13519" width="11.42578125" style="37"/>
    <col min="13520" max="13520" width="12.7109375" style="37" customWidth="1"/>
    <col min="13521" max="13521" width="16" style="37" customWidth="1"/>
    <col min="13522" max="13522" width="9.7109375" style="37" customWidth="1"/>
    <col min="13523" max="13523" width="8" style="37" customWidth="1"/>
    <col min="13524" max="13524" width="13.7109375" style="37" customWidth="1"/>
    <col min="13525" max="13525" width="9.85546875" style="37" customWidth="1"/>
    <col min="13526" max="13526" width="13.7109375" style="37" customWidth="1"/>
    <col min="13527" max="13527" width="10.28515625" style="37" customWidth="1"/>
    <col min="13528" max="13528" width="12.7109375" style="37" customWidth="1"/>
    <col min="13529" max="13529" width="16" style="37" customWidth="1"/>
    <col min="13530" max="13530" width="9.7109375" style="37" customWidth="1"/>
    <col min="13531" max="13531" width="8" style="37" customWidth="1"/>
    <col min="13532" max="13532" width="13.7109375" style="37" customWidth="1"/>
    <col min="13533" max="13533" width="9.85546875" style="37" customWidth="1"/>
    <col min="13534" max="13534" width="13.7109375" style="37" customWidth="1"/>
    <col min="13535" max="13535" width="10.28515625" style="37" customWidth="1"/>
    <col min="13536" max="13536" width="12.7109375" style="37" customWidth="1"/>
    <col min="13537" max="13537" width="16" style="37" customWidth="1"/>
    <col min="13538" max="13538" width="9.7109375" style="37" customWidth="1"/>
    <col min="13539" max="13539" width="8" style="37" customWidth="1"/>
    <col min="13540" max="13540" width="13.7109375" style="37" customWidth="1"/>
    <col min="13541" max="13541" width="9.85546875" style="37" customWidth="1"/>
    <col min="13542" max="13542" width="13.7109375" style="37" customWidth="1"/>
    <col min="13543" max="13543" width="10.28515625" style="37" customWidth="1"/>
    <col min="13544" max="13544" width="12.7109375" style="37" customWidth="1"/>
    <col min="13545" max="13545" width="16" style="37" customWidth="1"/>
    <col min="13546" max="13546" width="9.7109375" style="37" customWidth="1"/>
    <col min="13547" max="13547" width="8" style="37" customWidth="1"/>
    <col min="13548" max="13548" width="13.7109375" style="37" customWidth="1"/>
    <col min="13549" max="13549" width="9.85546875" style="37" customWidth="1"/>
    <col min="13550" max="13550" width="13.7109375" style="37" customWidth="1"/>
    <col min="13551" max="13551" width="10.28515625" style="37" customWidth="1"/>
    <col min="13552" max="13552" width="12.7109375" style="37" customWidth="1"/>
    <col min="13553" max="13553" width="16" style="37" customWidth="1"/>
    <col min="13554" max="13554" width="9.7109375" style="37" customWidth="1"/>
    <col min="13555" max="13555" width="8" style="37" customWidth="1"/>
    <col min="13556" max="13556" width="13.7109375" style="37" customWidth="1"/>
    <col min="13557" max="13557" width="9.85546875" style="37" customWidth="1"/>
    <col min="13558" max="13558" width="13.7109375" style="37" customWidth="1"/>
    <col min="13559" max="13559" width="10.28515625" style="37" customWidth="1"/>
    <col min="13560" max="13560" width="12.7109375" style="37" customWidth="1"/>
    <col min="13561" max="13561" width="16" style="37" customWidth="1"/>
    <col min="13562" max="13562" width="9.7109375" style="37" customWidth="1"/>
    <col min="13563" max="13563" width="8" style="37" customWidth="1"/>
    <col min="13564" max="13564" width="13.7109375" style="37" customWidth="1"/>
    <col min="13565" max="13565" width="9.85546875" style="37" customWidth="1"/>
    <col min="13566" max="13566" width="13.7109375" style="37" customWidth="1"/>
    <col min="13567" max="13567" width="10.28515625" style="37" customWidth="1"/>
    <col min="13568" max="13568" width="12.7109375" style="37" customWidth="1"/>
    <col min="13569" max="13569" width="16" style="37" customWidth="1"/>
    <col min="13570" max="13570" width="9.7109375" style="37" customWidth="1"/>
    <col min="13571" max="13571" width="8" style="37" customWidth="1"/>
    <col min="13572" max="13572" width="13.7109375" style="37" customWidth="1"/>
    <col min="13573" max="13573" width="9.85546875" style="37" customWidth="1"/>
    <col min="13574" max="13574" width="13.7109375" style="37" customWidth="1"/>
    <col min="13575" max="13575" width="10.28515625" style="37" customWidth="1"/>
    <col min="13576" max="13576" width="12.7109375" style="37" customWidth="1"/>
    <col min="13577" max="13577" width="16" style="37" customWidth="1"/>
    <col min="13578" max="13578" width="9.7109375" style="37" customWidth="1"/>
    <col min="13579" max="13579" width="8" style="37" customWidth="1"/>
    <col min="13580" max="13580" width="13.7109375" style="37" customWidth="1"/>
    <col min="13581" max="13581" width="9.85546875" style="37" customWidth="1"/>
    <col min="13582" max="13582" width="13.7109375" style="37" customWidth="1"/>
    <col min="13583" max="13583" width="10.28515625" style="37" customWidth="1"/>
    <col min="13584" max="13584" width="12.7109375" style="37" customWidth="1"/>
    <col min="13585" max="13585" width="16" style="37" customWidth="1"/>
    <col min="13586" max="13586" width="9.7109375" style="37" customWidth="1"/>
    <col min="13587" max="13587" width="8" style="37" customWidth="1"/>
    <col min="13588" max="13588" width="13.7109375" style="37" customWidth="1"/>
    <col min="13589" max="13589" width="9.85546875" style="37" customWidth="1"/>
    <col min="13590" max="13590" width="13.7109375" style="37" customWidth="1"/>
    <col min="13591" max="13591" width="10.28515625" style="37" customWidth="1"/>
    <col min="13592" max="13592" width="12.7109375" style="37" customWidth="1"/>
    <col min="13593" max="13593" width="16" style="37" customWidth="1"/>
    <col min="13594" max="13594" width="9.7109375" style="37" customWidth="1"/>
    <col min="13595" max="13595" width="8" style="37" customWidth="1"/>
    <col min="13596" max="13596" width="13.7109375" style="37" customWidth="1"/>
    <col min="13597" max="13597" width="9.85546875" style="37" customWidth="1"/>
    <col min="13598" max="13598" width="13.7109375" style="37" customWidth="1"/>
    <col min="13599" max="13599" width="10.28515625" style="37" customWidth="1"/>
    <col min="13600" max="13775" width="11.42578125" style="37"/>
    <col min="13776" max="13776" width="12.7109375" style="37" customWidth="1"/>
    <col min="13777" max="13777" width="16" style="37" customWidth="1"/>
    <col min="13778" max="13778" width="9.7109375" style="37" customWidth="1"/>
    <col min="13779" max="13779" width="8" style="37" customWidth="1"/>
    <col min="13780" max="13780" width="13.7109375" style="37" customWidth="1"/>
    <col min="13781" max="13781" width="9.85546875" style="37" customWidth="1"/>
    <col min="13782" max="13782" width="13.7109375" style="37" customWidth="1"/>
    <col min="13783" max="13783" width="10.28515625" style="37" customWidth="1"/>
    <col min="13784" max="13784" width="12.7109375" style="37" customWidth="1"/>
    <col min="13785" max="13785" width="16" style="37" customWidth="1"/>
    <col min="13786" max="13786" width="9.7109375" style="37" customWidth="1"/>
    <col min="13787" max="13787" width="8" style="37" customWidth="1"/>
    <col min="13788" max="13788" width="13.7109375" style="37" customWidth="1"/>
    <col min="13789" max="13789" width="9.85546875" style="37" customWidth="1"/>
    <col min="13790" max="13790" width="13.7109375" style="37" customWidth="1"/>
    <col min="13791" max="13791" width="10.28515625" style="37" customWidth="1"/>
    <col min="13792" max="13792" width="12.7109375" style="37" customWidth="1"/>
    <col min="13793" max="13793" width="16" style="37" customWidth="1"/>
    <col min="13794" max="13794" width="9.7109375" style="37" customWidth="1"/>
    <col min="13795" max="13795" width="8" style="37" customWidth="1"/>
    <col min="13796" max="13796" width="13.7109375" style="37" customWidth="1"/>
    <col min="13797" max="13797" width="9.85546875" style="37" customWidth="1"/>
    <col min="13798" max="13798" width="13.7109375" style="37" customWidth="1"/>
    <col min="13799" max="13799" width="10.28515625" style="37" customWidth="1"/>
    <col min="13800" max="13800" width="12.7109375" style="37" customWidth="1"/>
    <col min="13801" max="13801" width="16" style="37" customWidth="1"/>
    <col min="13802" max="13802" width="9.7109375" style="37" customWidth="1"/>
    <col min="13803" max="13803" width="8" style="37" customWidth="1"/>
    <col min="13804" max="13804" width="13.7109375" style="37" customWidth="1"/>
    <col min="13805" max="13805" width="9.85546875" style="37" customWidth="1"/>
    <col min="13806" max="13806" width="13.7109375" style="37" customWidth="1"/>
    <col min="13807" max="13807" width="10.28515625" style="37" customWidth="1"/>
    <col min="13808" max="13808" width="12.7109375" style="37" customWidth="1"/>
    <col min="13809" max="13809" width="16" style="37" customWidth="1"/>
    <col min="13810" max="13810" width="9.7109375" style="37" customWidth="1"/>
    <col min="13811" max="13811" width="8" style="37" customWidth="1"/>
    <col min="13812" max="13812" width="13.7109375" style="37" customWidth="1"/>
    <col min="13813" max="13813" width="9.85546875" style="37" customWidth="1"/>
    <col min="13814" max="13814" width="13.7109375" style="37" customWidth="1"/>
    <col min="13815" max="13815" width="10.28515625" style="37" customWidth="1"/>
    <col min="13816" max="13816" width="12.7109375" style="37" customWidth="1"/>
    <col min="13817" max="13817" width="16" style="37" customWidth="1"/>
    <col min="13818" max="13818" width="9.7109375" style="37" customWidth="1"/>
    <col min="13819" max="13819" width="8" style="37" customWidth="1"/>
    <col min="13820" max="13820" width="13.7109375" style="37" customWidth="1"/>
    <col min="13821" max="13821" width="9.85546875" style="37" customWidth="1"/>
    <col min="13822" max="13822" width="13.7109375" style="37" customWidth="1"/>
    <col min="13823" max="13823" width="10.28515625" style="37" customWidth="1"/>
    <col min="13824" max="13824" width="12.7109375" style="37" customWidth="1"/>
    <col min="13825" max="13825" width="16" style="37" customWidth="1"/>
    <col min="13826" max="13826" width="9.7109375" style="37" customWidth="1"/>
    <col min="13827" max="13827" width="8" style="37" customWidth="1"/>
    <col min="13828" max="13828" width="13.7109375" style="37" customWidth="1"/>
    <col min="13829" max="13829" width="9.85546875" style="37" customWidth="1"/>
    <col min="13830" max="13830" width="13.7109375" style="37" customWidth="1"/>
    <col min="13831" max="13831" width="10.28515625" style="37" customWidth="1"/>
    <col min="13832" max="13832" width="12.7109375" style="37" customWidth="1"/>
    <col min="13833" max="13833" width="16" style="37" customWidth="1"/>
    <col min="13834" max="13834" width="9.7109375" style="37" customWidth="1"/>
    <col min="13835" max="13835" width="8" style="37" customWidth="1"/>
    <col min="13836" max="13836" width="13.7109375" style="37" customWidth="1"/>
    <col min="13837" max="13837" width="9.85546875" style="37" customWidth="1"/>
    <col min="13838" max="13838" width="13.7109375" style="37" customWidth="1"/>
    <col min="13839" max="13839" width="10.28515625" style="37" customWidth="1"/>
    <col min="13840" max="13840" width="12.7109375" style="37" customWidth="1"/>
    <col min="13841" max="13841" width="16" style="37" customWidth="1"/>
    <col min="13842" max="13842" width="9.7109375" style="37" customWidth="1"/>
    <col min="13843" max="13843" width="8" style="37" customWidth="1"/>
    <col min="13844" max="13844" width="13.7109375" style="37" customWidth="1"/>
    <col min="13845" max="13845" width="9.85546875" style="37" customWidth="1"/>
    <col min="13846" max="13846" width="13.7109375" style="37" customWidth="1"/>
    <col min="13847" max="13847" width="10.28515625" style="37" customWidth="1"/>
    <col min="13848" max="13848" width="12.7109375" style="37" customWidth="1"/>
    <col min="13849" max="13849" width="16" style="37" customWidth="1"/>
    <col min="13850" max="13850" width="9.7109375" style="37" customWidth="1"/>
    <col min="13851" max="13851" width="8" style="37" customWidth="1"/>
    <col min="13852" max="13852" width="13.7109375" style="37" customWidth="1"/>
    <col min="13853" max="13853" width="9.85546875" style="37" customWidth="1"/>
    <col min="13854" max="13854" width="13.7109375" style="37" customWidth="1"/>
    <col min="13855" max="13855" width="10.28515625" style="37" customWidth="1"/>
    <col min="13856" max="14031" width="11.42578125" style="37"/>
    <col min="14032" max="14032" width="12.7109375" style="37" customWidth="1"/>
    <col min="14033" max="14033" width="16" style="37" customWidth="1"/>
    <col min="14034" max="14034" width="9.7109375" style="37" customWidth="1"/>
    <col min="14035" max="14035" width="8" style="37" customWidth="1"/>
    <col min="14036" max="14036" width="13.7109375" style="37" customWidth="1"/>
    <col min="14037" max="14037" width="9.85546875" style="37" customWidth="1"/>
    <col min="14038" max="14038" width="13.7109375" style="37" customWidth="1"/>
    <col min="14039" max="14039" width="10.28515625" style="37" customWidth="1"/>
    <col min="14040" max="14040" width="12.7109375" style="37" customWidth="1"/>
    <col min="14041" max="14041" width="16" style="37" customWidth="1"/>
    <col min="14042" max="14042" width="9.7109375" style="37" customWidth="1"/>
    <col min="14043" max="14043" width="8" style="37" customWidth="1"/>
    <col min="14044" max="14044" width="13.7109375" style="37" customWidth="1"/>
    <col min="14045" max="14045" width="9.85546875" style="37" customWidth="1"/>
    <col min="14046" max="14046" width="13.7109375" style="37" customWidth="1"/>
    <col min="14047" max="14047" width="10.28515625" style="37" customWidth="1"/>
    <col min="14048" max="14048" width="12.7109375" style="37" customWidth="1"/>
    <col min="14049" max="14049" width="16" style="37" customWidth="1"/>
    <col min="14050" max="14050" width="9.7109375" style="37" customWidth="1"/>
    <col min="14051" max="14051" width="8" style="37" customWidth="1"/>
    <col min="14052" max="14052" width="13.7109375" style="37" customWidth="1"/>
    <col min="14053" max="14053" width="9.85546875" style="37" customWidth="1"/>
    <col min="14054" max="14054" width="13.7109375" style="37" customWidth="1"/>
    <col min="14055" max="14055" width="10.28515625" style="37" customWidth="1"/>
    <col min="14056" max="14056" width="12.7109375" style="37" customWidth="1"/>
    <col min="14057" max="14057" width="16" style="37" customWidth="1"/>
    <col min="14058" max="14058" width="9.7109375" style="37" customWidth="1"/>
    <col min="14059" max="14059" width="8" style="37" customWidth="1"/>
    <col min="14060" max="14060" width="13.7109375" style="37" customWidth="1"/>
    <col min="14061" max="14061" width="9.85546875" style="37" customWidth="1"/>
    <col min="14062" max="14062" width="13.7109375" style="37" customWidth="1"/>
    <col min="14063" max="14063" width="10.28515625" style="37" customWidth="1"/>
    <col min="14064" max="14064" width="12.7109375" style="37" customWidth="1"/>
    <col min="14065" max="14065" width="16" style="37" customWidth="1"/>
    <col min="14066" max="14066" width="9.7109375" style="37" customWidth="1"/>
    <col min="14067" max="14067" width="8" style="37" customWidth="1"/>
    <col min="14068" max="14068" width="13.7109375" style="37" customWidth="1"/>
    <col min="14069" max="14069" width="9.85546875" style="37" customWidth="1"/>
    <col min="14070" max="14070" width="13.7109375" style="37" customWidth="1"/>
    <col min="14071" max="14071" width="10.28515625" style="37" customWidth="1"/>
    <col min="14072" max="14072" width="12.7109375" style="37" customWidth="1"/>
    <col min="14073" max="14073" width="16" style="37" customWidth="1"/>
    <col min="14074" max="14074" width="9.7109375" style="37" customWidth="1"/>
    <col min="14075" max="14075" width="8" style="37" customWidth="1"/>
    <col min="14076" max="14076" width="13.7109375" style="37" customWidth="1"/>
    <col min="14077" max="14077" width="9.85546875" style="37" customWidth="1"/>
    <col min="14078" max="14078" width="13.7109375" style="37" customWidth="1"/>
    <col min="14079" max="14079" width="10.28515625" style="37" customWidth="1"/>
    <col min="14080" max="14080" width="12.7109375" style="37" customWidth="1"/>
    <col min="14081" max="14081" width="16" style="37" customWidth="1"/>
    <col min="14082" max="14082" width="9.7109375" style="37" customWidth="1"/>
    <col min="14083" max="14083" width="8" style="37" customWidth="1"/>
    <col min="14084" max="14084" width="13.7109375" style="37" customWidth="1"/>
    <col min="14085" max="14085" width="9.85546875" style="37" customWidth="1"/>
    <col min="14086" max="14086" width="13.7109375" style="37" customWidth="1"/>
    <col min="14087" max="14087" width="10.28515625" style="37" customWidth="1"/>
    <col min="14088" max="14088" width="12.7109375" style="37" customWidth="1"/>
    <col min="14089" max="14089" width="16" style="37" customWidth="1"/>
    <col min="14090" max="14090" width="9.7109375" style="37" customWidth="1"/>
    <col min="14091" max="14091" width="8" style="37" customWidth="1"/>
    <col min="14092" max="14092" width="13.7109375" style="37" customWidth="1"/>
    <col min="14093" max="14093" width="9.85546875" style="37" customWidth="1"/>
    <col min="14094" max="14094" width="13.7109375" style="37" customWidth="1"/>
    <col min="14095" max="14095" width="10.28515625" style="37" customWidth="1"/>
    <col min="14096" max="14096" width="12.7109375" style="37" customWidth="1"/>
    <col min="14097" max="14097" width="16" style="37" customWidth="1"/>
    <col min="14098" max="14098" width="9.7109375" style="37" customWidth="1"/>
    <col min="14099" max="14099" width="8" style="37" customWidth="1"/>
    <col min="14100" max="14100" width="13.7109375" style="37" customWidth="1"/>
    <col min="14101" max="14101" width="9.85546875" style="37" customWidth="1"/>
    <col min="14102" max="14102" width="13.7109375" style="37" customWidth="1"/>
    <col min="14103" max="14103" width="10.28515625" style="37" customWidth="1"/>
    <col min="14104" max="14104" width="12.7109375" style="37" customWidth="1"/>
    <col min="14105" max="14105" width="16" style="37" customWidth="1"/>
    <col min="14106" max="14106" width="9.7109375" style="37" customWidth="1"/>
    <col min="14107" max="14107" width="8" style="37" customWidth="1"/>
    <col min="14108" max="14108" width="13.7109375" style="37" customWidth="1"/>
    <col min="14109" max="14109" width="9.85546875" style="37" customWidth="1"/>
    <col min="14110" max="14110" width="13.7109375" style="37" customWidth="1"/>
    <col min="14111" max="14111" width="10.28515625" style="37" customWidth="1"/>
    <col min="14112" max="14287" width="11.42578125" style="37"/>
    <col min="14288" max="14288" width="12.7109375" style="37" customWidth="1"/>
    <col min="14289" max="14289" width="16" style="37" customWidth="1"/>
    <col min="14290" max="14290" width="9.7109375" style="37" customWidth="1"/>
    <col min="14291" max="14291" width="8" style="37" customWidth="1"/>
    <col min="14292" max="14292" width="13.7109375" style="37" customWidth="1"/>
    <col min="14293" max="14293" width="9.85546875" style="37" customWidth="1"/>
    <col min="14294" max="14294" width="13.7109375" style="37" customWidth="1"/>
    <col min="14295" max="14295" width="10.28515625" style="37" customWidth="1"/>
    <col min="14296" max="14296" width="12.7109375" style="37" customWidth="1"/>
    <col min="14297" max="14297" width="16" style="37" customWidth="1"/>
    <col min="14298" max="14298" width="9.7109375" style="37" customWidth="1"/>
    <col min="14299" max="14299" width="8" style="37" customWidth="1"/>
    <col min="14300" max="14300" width="13.7109375" style="37" customWidth="1"/>
    <col min="14301" max="14301" width="9.85546875" style="37" customWidth="1"/>
    <col min="14302" max="14302" width="13.7109375" style="37" customWidth="1"/>
    <col min="14303" max="14303" width="10.28515625" style="37" customWidth="1"/>
    <col min="14304" max="14304" width="12.7109375" style="37" customWidth="1"/>
    <col min="14305" max="14305" width="16" style="37" customWidth="1"/>
    <col min="14306" max="14306" width="9.7109375" style="37" customWidth="1"/>
    <col min="14307" max="14307" width="8" style="37" customWidth="1"/>
    <col min="14308" max="14308" width="13.7109375" style="37" customWidth="1"/>
    <col min="14309" max="14309" width="9.85546875" style="37" customWidth="1"/>
    <col min="14310" max="14310" width="13.7109375" style="37" customWidth="1"/>
    <col min="14311" max="14311" width="10.28515625" style="37" customWidth="1"/>
    <col min="14312" max="14312" width="12.7109375" style="37" customWidth="1"/>
    <col min="14313" max="14313" width="16" style="37" customWidth="1"/>
    <col min="14314" max="14314" width="9.7109375" style="37" customWidth="1"/>
    <col min="14315" max="14315" width="8" style="37" customWidth="1"/>
    <col min="14316" max="14316" width="13.7109375" style="37" customWidth="1"/>
    <col min="14317" max="14317" width="9.85546875" style="37" customWidth="1"/>
    <col min="14318" max="14318" width="13.7109375" style="37" customWidth="1"/>
    <col min="14319" max="14319" width="10.28515625" style="37" customWidth="1"/>
    <col min="14320" max="14320" width="12.7109375" style="37" customWidth="1"/>
    <col min="14321" max="14321" width="16" style="37" customWidth="1"/>
    <col min="14322" max="14322" width="9.7109375" style="37" customWidth="1"/>
    <col min="14323" max="14323" width="8" style="37" customWidth="1"/>
    <col min="14324" max="14324" width="13.7109375" style="37" customWidth="1"/>
    <col min="14325" max="14325" width="9.85546875" style="37" customWidth="1"/>
    <col min="14326" max="14326" width="13.7109375" style="37" customWidth="1"/>
    <col min="14327" max="14327" width="10.28515625" style="37" customWidth="1"/>
    <col min="14328" max="14328" width="12.7109375" style="37" customWidth="1"/>
    <col min="14329" max="14329" width="16" style="37" customWidth="1"/>
    <col min="14330" max="14330" width="9.7109375" style="37" customWidth="1"/>
    <col min="14331" max="14331" width="8" style="37" customWidth="1"/>
    <col min="14332" max="14332" width="13.7109375" style="37" customWidth="1"/>
    <col min="14333" max="14333" width="9.85546875" style="37" customWidth="1"/>
    <col min="14334" max="14334" width="13.7109375" style="37" customWidth="1"/>
    <col min="14335" max="14335" width="10.28515625" style="37" customWidth="1"/>
    <col min="14336" max="14336" width="12.7109375" style="37" customWidth="1"/>
    <col min="14337" max="14337" width="16" style="37" customWidth="1"/>
    <col min="14338" max="14338" width="9.7109375" style="37" customWidth="1"/>
    <col min="14339" max="14339" width="8" style="37" customWidth="1"/>
    <col min="14340" max="14340" width="13.7109375" style="37" customWidth="1"/>
    <col min="14341" max="14341" width="9.85546875" style="37" customWidth="1"/>
    <col min="14342" max="14342" width="13.7109375" style="37" customWidth="1"/>
    <col min="14343" max="14343" width="10.28515625" style="37" customWidth="1"/>
    <col min="14344" max="14344" width="12.7109375" style="37" customWidth="1"/>
    <col min="14345" max="14345" width="16" style="37" customWidth="1"/>
    <col min="14346" max="14346" width="9.7109375" style="37" customWidth="1"/>
    <col min="14347" max="14347" width="8" style="37" customWidth="1"/>
    <col min="14348" max="14348" width="13.7109375" style="37" customWidth="1"/>
    <col min="14349" max="14349" width="9.85546875" style="37" customWidth="1"/>
    <col min="14350" max="14350" width="13.7109375" style="37" customWidth="1"/>
    <col min="14351" max="14351" width="10.28515625" style="37" customWidth="1"/>
    <col min="14352" max="14352" width="12.7109375" style="37" customWidth="1"/>
    <col min="14353" max="14353" width="16" style="37" customWidth="1"/>
    <col min="14354" max="14354" width="9.7109375" style="37" customWidth="1"/>
    <col min="14355" max="14355" width="8" style="37" customWidth="1"/>
    <col min="14356" max="14356" width="13.7109375" style="37" customWidth="1"/>
    <col min="14357" max="14357" width="9.85546875" style="37" customWidth="1"/>
    <col min="14358" max="14358" width="13.7109375" style="37" customWidth="1"/>
    <col min="14359" max="14359" width="10.28515625" style="37" customWidth="1"/>
    <col min="14360" max="14360" width="12.7109375" style="37" customWidth="1"/>
    <col min="14361" max="14361" width="16" style="37" customWidth="1"/>
    <col min="14362" max="14362" width="9.7109375" style="37" customWidth="1"/>
    <col min="14363" max="14363" width="8" style="37" customWidth="1"/>
    <col min="14364" max="14364" width="13.7109375" style="37" customWidth="1"/>
    <col min="14365" max="14365" width="9.85546875" style="37" customWidth="1"/>
    <col min="14366" max="14366" width="13.7109375" style="37" customWidth="1"/>
    <col min="14367" max="14367" width="10.28515625" style="37" customWidth="1"/>
    <col min="14368" max="14543" width="11.42578125" style="37"/>
    <col min="14544" max="14544" width="12.7109375" style="37" customWidth="1"/>
    <col min="14545" max="14545" width="16" style="37" customWidth="1"/>
    <col min="14546" max="14546" width="9.7109375" style="37" customWidth="1"/>
    <col min="14547" max="14547" width="8" style="37" customWidth="1"/>
    <col min="14548" max="14548" width="13.7109375" style="37" customWidth="1"/>
    <col min="14549" max="14549" width="9.85546875" style="37" customWidth="1"/>
    <col min="14550" max="14550" width="13.7109375" style="37" customWidth="1"/>
    <col min="14551" max="14551" width="10.28515625" style="37" customWidth="1"/>
    <col min="14552" max="14552" width="12.7109375" style="37" customWidth="1"/>
    <col min="14553" max="14553" width="16" style="37" customWidth="1"/>
    <col min="14554" max="14554" width="9.7109375" style="37" customWidth="1"/>
    <col min="14555" max="14555" width="8" style="37" customWidth="1"/>
    <col min="14556" max="14556" width="13.7109375" style="37" customWidth="1"/>
    <col min="14557" max="14557" width="9.85546875" style="37" customWidth="1"/>
    <col min="14558" max="14558" width="13.7109375" style="37" customWidth="1"/>
    <col min="14559" max="14559" width="10.28515625" style="37" customWidth="1"/>
    <col min="14560" max="14560" width="12.7109375" style="37" customWidth="1"/>
    <col min="14561" max="14561" width="16" style="37" customWidth="1"/>
    <col min="14562" max="14562" width="9.7109375" style="37" customWidth="1"/>
    <col min="14563" max="14563" width="8" style="37" customWidth="1"/>
    <col min="14564" max="14564" width="13.7109375" style="37" customWidth="1"/>
    <col min="14565" max="14565" width="9.85546875" style="37" customWidth="1"/>
    <col min="14566" max="14566" width="13.7109375" style="37" customWidth="1"/>
    <col min="14567" max="14567" width="10.28515625" style="37" customWidth="1"/>
    <col min="14568" max="14568" width="12.7109375" style="37" customWidth="1"/>
    <col min="14569" max="14569" width="16" style="37" customWidth="1"/>
    <col min="14570" max="14570" width="9.7109375" style="37" customWidth="1"/>
    <col min="14571" max="14571" width="8" style="37" customWidth="1"/>
    <col min="14572" max="14572" width="13.7109375" style="37" customWidth="1"/>
    <col min="14573" max="14573" width="9.85546875" style="37" customWidth="1"/>
    <col min="14574" max="14574" width="13.7109375" style="37" customWidth="1"/>
    <col min="14575" max="14575" width="10.28515625" style="37" customWidth="1"/>
    <col min="14576" max="14576" width="12.7109375" style="37" customWidth="1"/>
    <col min="14577" max="14577" width="16" style="37" customWidth="1"/>
    <col min="14578" max="14578" width="9.7109375" style="37" customWidth="1"/>
    <col min="14579" max="14579" width="8" style="37" customWidth="1"/>
    <col min="14580" max="14580" width="13.7109375" style="37" customWidth="1"/>
    <col min="14581" max="14581" width="9.85546875" style="37" customWidth="1"/>
    <col min="14582" max="14582" width="13.7109375" style="37" customWidth="1"/>
    <col min="14583" max="14583" width="10.28515625" style="37" customWidth="1"/>
    <col min="14584" max="14584" width="12.7109375" style="37" customWidth="1"/>
    <col min="14585" max="14585" width="16" style="37" customWidth="1"/>
    <col min="14586" max="14586" width="9.7109375" style="37" customWidth="1"/>
    <col min="14587" max="14587" width="8" style="37" customWidth="1"/>
    <col min="14588" max="14588" width="13.7109375" style="37" customWidth="1"/>
    <col min="14589" max="14589" width="9.85546875" style="37" customWidth="1"/>
    <col min="14590" max="14590" width="13.7109375" style="37" customWidth="1"/>
    <col min="14591" max="14591" width="10.28515625" style="37" customWidth="1"/>
    <col min="14592" max="14592" width="12.7109375" style="37" customWidth="1"/>
    <col min="14593" max="14593" width="16" style="37" customWidth="1"/>
    <col min="14594" max="14594" width="9.7109375" style="37" customWidth="1"/>
    <col min="14595" max="14595" width="8" style="37" customWidth="1"/>
    <col min="14596" max="14596" width="13.7109375" style="37" customWidth="1"/>
    <col min="14597" max="14597" width="9.85546875" style="37" customWidth="1"/>
    <col min="14598" max="14598" width="13.7109375" style="37" customWidth="1"/>
    <col min="14599" max="14599" width="10.28515625" style="37" customWidth="1"/>
    <col min="14600" max="14600" width="12.7109375" style="37" customWidth="1"/>
    <col min="14601" max="14601" width="16" style="37" customWidth="1"/>
    <col min="14602" max="14602" width="9.7109375" style="37" customWidth="1"/>
    <col min="14603" max="14603" width="8" style="37" customWidth="1"/>
    <col min="14604" max="14604" width="13.7109375" style="37" customWidth="1"/>
    <col min="14605" max="14605" width="9.85546875" style="37" customWidth="1"/>
    <col min="14606" max="14606" width="13.7109375" style="37" customWidth="1"/>
    <col min="14607" max="14607" width="10.28515625" style="37" customWidth="1"/>
    <col min="14608" max="14608" width="12.7109375" style="37" customWidth="1"/>
    <col min="14609" max="14609" width="16" style="37" customWidth="1"/>
    <col min="14610" max="14610" width="9.7109375" style="37" customWidth="1"/>
    <col min="14611" max="14611" width="8" style="37" customWidth="1"/>
    <col min="14612" max="14612" width="13.7109375" style="37" customWidth="1"/>
    <col min="14613" max="14613" width="9.85546875" style="37" customWidth="1"/>
    <col min="14614" max="14614" width="13.7109375" style="37" customWidth="1"/>
    <col min="14615" max="14615" width="10.28515625" style="37" customWidth="1"/>
    <col min="14616" max="14616" width="12.7109375" style="37" customWidth="1"/>
    <col min="14617" max="14617" width="16" style="37" customWidth="1"/>
    <col min="14618" max="14618" width="9.7109375" style="37" customWidth="1"/>
    <col min="14619" max="14619" width="8" style="37" customWidth="1"/>
    <col min="14620" max="14620" width="13.7109375" style="37" customWidth="1"/>
    <col min="14621" max="14621" width="9.85546875" style="37" customWidth="1"/>
    <col min="14622" max="14622" width="13.7109375" style="37" customWidth="1"/>
    <col min="14623" max="14623" width="10.28515625" style="37" customWidth="1"/>
    <col min="14624" max="14799" width="11.42578125" style="37"/>
    <col min="14800" max="14800" width="12.7109375" style="37" customWidth="1"/>
    <col min="14801" max="14801" width="16" style="37" customWidth="1"/>
    <col min="14802" max="14802" width="9.7109375" style="37" customWidth="1"/>
    <col min="14803" max="14803" width="8" style="37" customWidth="1"/>
    <col min="14804" max="14804" width="13.7109375" style="37" customWidth="1"/>
    <col min="14805" max="14805" width="9.85546875" style="37" customWidth="1"/>
    <col min="14806" max="14806" width="13.7109375" style="37" customWidth="1"/>
    <col min="14807" max="14807" width="10.28515625" style="37" customWidth="1"/>
    <col min="14808" max="14808" width="12.7109375" style="37" customWidth="1"/>
    <col min="14809" max="14809" width="16" style="37" customWidth="1"/>
    <col min="14810" max="14810" width="9.7109375" style="37" customWidth="1"/>
    <col min="14811" max="14811" width="8" style="37" customWidth="1"/>
    <col min="14812" max="14812" width="13.7109375" style="37" customWidth="1"/>
    <col min="14813" max="14813" width="9.85546875" style="37" customWidth="1"/>
    <col min="14814" max="14814" width="13.7109375" style="37" customWidth="1"/>
    <col min="14815" max="14815" width="10.28515625" style="37" customWidth="1"/>
    <col min="14816" max="14816" width="12.7109375" style="37" customWidth="1"/>
    <col min="14817" max="14817" width="16" style="37" customWidth="1"/>
    <col min="14818" max="14818" width="9.7109375" style="37" customWidth="1"/>
    <col min="14819" max="14819" width="8" style="37" customWidth="1"/>
    <col min="14820" max="14820" width="13.7109375" style="37" customWidth="1"/>
    <col min="14821" max="14821" width="9.85546875" style="37" customWidth="1"/>
    <col min="14822" max="14822" width="13.7109375" style="37" customWidth="1"/>
    <col min="14823" max="14823" width="10.28515625" style="37" customWidth="1"/>
    <col min="14824" max="14824" width="12.7109375" style="37" customWidth="1"/>
    <col min="14825" max="14825" width="16" style="37" customWidth="1"/>
    <col min="14826" max="14826" width="9.7109375" style="37" customWidth="1"/>
    <col min="14827" max="14827" width="8" style="37" customWidth="1"/>
    <col min="14828" max="14828" width="13.7109375" style="37" customWidth="1"/>
    <col min="14829" max="14829" width="9.85546875" style="37" customWidth="1"/>
    <col min="14830" max="14830" width="13.7109375" style="37" customWidth="1"/>
    <col min="14831" max="14831" width="10.28515625" style="37" customWidth="1"/>
    <col min="14832" max="14832" width="12.7109375" style="37" customWidth="1"/>
    <col min="14833" max="14833" width="16" style="37" customWidth="1"/>
    <col min="14834" max="14834" width="9.7109375" style="37" customWidth="1"/>
    <col min="14835" max="14835" width="8" style="37" customWidth="1"/>
    <col min="14836" max="14836" width="13.7109375" style="37" customWidth="1"/>
    <col min="14837" max="14837" width="9.85546875" style="37" customWidth="1"/>
    <col min="14838" max="14838" width="13.7109375" style="37" customWidth="1"/>
    <col min="14839" max="14839" width="10.28515625" style="37" customWidth="1"/>
    <col min="14840" max="14840" width="12.7109375" style="37" customWidth="1"/>
    <col min="14841" max="14841" width="16" style="37" customWidth="1"/>
    <col min="14842" max="14842" width="9.7109375" style="37" customWidth="1"/>
    <col min="14843" max="14843" width="8" style="37" customWidth="1"/>
    <col min="14844" max="14844" width="13.7109375" style="37" customWidth="1"/>
    <col min="14845" max="14845" width="9.85546875" style="37" customWidth="1"/>
    <col min="14846" max="14846" width="13.7109375" style="37" customWidth="1"/>
    <col min="14847" max="14847" width="10.28515625" style="37" customWidth="1"/>
    <col min="14848" max="14848" width="12.7109375" style="37" customWidth="1"/>
    <col min="14849" max="14849" width="16" style="37" customWidth="1"/>
    <col min="14850" max="14850" width="9.7109375" style="37" customWidth="1"/>
    <col min="14851" max="14851" width="8" style="37" customWidth="1"/>
    <col min="14852" max="14852" width="13.7109375" style="37" customWidth="1"/>
    <col min="14853" max="14853" width="9.85546875" style="37" customWidth="1"/>
    <col min="14854" max="14854" width="13.7109375" style="37" customWidth="1"/>
    <col min="14855" max="14855" width="10.28515625" style="37" customWidth="1"/>
    <col min="14856" max="14856" width="12.7109375" style="37" customWidth="1"/>
    <col min="14857" max="14857" width="16" style="37" customWidth="1"/>
    <col min="14858" max="14858" width="9.7109375" style="37" customWidth="1"/>
    <col min="14859" max="14859" width="8" style="37" customWidth="1"/>
    <col min="14860" max="14860" width="13.7109375" style="37" customWidth="1"/>
    <col min="14861" max="14861" width="9.85546875" style="37" customWidth="1"/>
    <col min="14862" max="14862" width="13.7109375" style="37" customWidth="1"/>
    <col min="14863" max="14863" width="10.28515625" style="37" customWidth="1"/>
    <col min="14864" max="14864" width="12.7109375" style="37" customWidth="1"/>
    <col min="14865" max="14865" width="16" style="37" customWidth="1"/>
    <col min="14866" max="14866" width="9.7109375" style="37" customWidth="1"/>
    <col min="14867" max="14867" width="8" style="37" customWidth="1"/>
    <col min="14868" max="14868" width="13.7109375" style="37" customWidth="1"/>
    <col min="14869" max="14869" width="9.85546875" style="37" customWidth="1"/>
    <col min="14870" max="14870" width="13.7109375" style="37" customWidth="1"/>
    <col min="14871" max="14871" width="10.28515625" style="37" customWidth="1"/>
    <col min="14872" max="14872" width="12.7109375" style="37" customWidth="1"/>
    <col min="14873" max="14873" width="16" style="37" customWidth="1"/>
    <col min="14874" max="14874" width="9.7109375" style="37" customWidth="1"/>
    <col min="14875" max="14875" width="8" style="37" customWidth="1"/>
    <col min="14876" max="14876" width="13.7109375" style="37" customWidth="1"/>
    <col min="14877" max="14877" width="9.85546875" style="37" customWidth="1"/>
    <col min="14878" max="14878" width="13.7109375" style="37" customWidth="1"/>
    <col min="14879" max="14879" width="10.28515625" style="37" customWidth="1"/>
    <col min="14880" max="15055" width="11.42578125" style="37"/>
    <col min="15056" max="15056" width="12.7109375" style="37" customWidth="1"/>
    <col min="15057" max="15057" width="16" style="37" customWidth="1"/>
    <col min="15058" max="15058" width="9.7109375" style="37" customWidth="1"/>
    <col min="15059" max="15059" width="8" style="37" customWidth="1"/>
    <col min="15060" max="15060" width="13.7109375" style="37" customWidth="1"/>
    <col min="15061" max="15061" width="9.85546875" style="37" customWidth="1"/>
    <col min="15062" max="15062" width="13.7109375" style="37" customWidth="1"/>
    <col min="15063" max="15063" width="10.28515625" style="37" customWidth="1"/>
    <col min="15064" max="15064" width="12.7109375" style="37" customWidth="1"/>
    <col min="15065" max="15065" width="16" style="37" customWidth="1"/>
    <col min="15066" max="15066" width="9.7109375" style="37" customWidth="1"/>
    <col min="15067" max="15067" width="8" style="37" customWidth="1"/>
    <col min="15068" max="15068" width="13.7109375" style="37" customWidth="1"/>
    <col min="15069" max="15069" width="9.85546875" style="37" customWidth="1"/>
    <col min="15070" max="15070" width="13.7109375" style="37" customWidth="1"/>
    <col min="15071" max="15071" width="10.28515625" style="37" customWidth="1"/>
    <col min="15072" max="15072" width="12.7109375" style="37" customWidth="1"/>
    <col min="15073" max="15073" width="16" style="37" customWidth="1"/>
    <col min="15074" max="15074" width="9.7109375" style="37" customWidth="1"/>
    <col min="15075" max="15075" width="8" style="37" customWidth="1"/>
    <col min="15076" max="15076" width="13.7109375" style="37" customWidth="1"/>
    <col min="15077" max="15077" width="9.85546875" style="37" customWidth="1"/>
    <col min="15078" max="15078" width="13.7109375" style="37" customWidth="1"/>
    <col min="15079" max="15079" width="10.28515625" style="37" customWidth="1"/>
    <col min="15080" max="15080" width="12.7109375" style="37" customWidth="1"/>
    <col min="15081" max="15081" width="16" style="37" customWidth="1"/>
    <col min="15082" max="15082" width="9.7109375" style="37" customWidth="1"/>
    <col min="15083" max="15083" width="8" style="37" customWidth="1"/>
    <col min="15084" max="15084" width="13.7109375" style="37" customWidth="1"/>
    <col min="15085" max="15085" width="9.85546875" style="37" customWidth="1"/>
    <col min="15086" max="15086" width="13.7109375" style="37" customWidth="1"/>
    <col min="15087" max="15087" width="10.28515625" style="37" customWidth="1"/>
    <col min="15088" max="15088" width="12.7109375" style="37" customWidth="1"/>
    <col min="15089" max="15089" width="16" style="37" customWidth="1"/>
    <col min="15090" max="15090" width="9.7109375" style="37" customWidth="1"/>
    <col min="15091" max="15091" width="8" style="37" customWidth="1"/>
    <col min="15092" max="15092" width="13.7109375" style="37" customWidth="1"/>
    <col min="15093" max="15093" width="9.85546875" style="37" customWidth="1"/>
    <col min="15094" max="15094" width="13.7109375" style="37" customWidth="1"/>
    <col min="15095" max="15095" width="10.28515625" style="37" customWidth="1"/>
    <col min="15096" max="15096" width="12.7109375" style="37" customWidth="1"/>
    <col min="15097" max="15097" width="16" style="37" customWidth="1"/>
    <col min="15098" max="15098" width="9.7109375" style="37" customWidth="1"/>
    <col min="15099" max="15099" width="8" style="37" customWidth="1"/>
    <col min="15100" max="15100" width="13.7109375" style="37" customWidth="1"/>
    <col min="15101" max="15101" width="9.85546875" style="37" customWidth="1"/>
    <col min="15102" max="15102" width="13.7109375" style="37" customWidth="1"/>
    <col min="15103" max="15103" width="10.28515625" style="37" customWidth="1"/>
    <col min="15104" max="15104" width="12.7109375" style="37" customWidth="1"/>
    <col min="15105" max="15105" width="16" style="37" customWidth="1"/>
    <col min="15106" max="15106" width="9.7109375" style="37" customWidth="1"/>
    <col min="15107" max="15107" width="8" style="37" customWidth="1"/>
    <col min="15108" max="15108" width="13.7109375" style="37" customWidth="1"/>
    <col min="15109" max="15109" width="9.85546875" style="37" customWidth="1"/>
    <col min="15110" max="15110" width="13.7109375" style="37" customWidth="1"/>
    <col min="15111" max="15111" width="10.28515625" style="37" customWidth="1"/>
    <col min="15112" max="15112" width="12.7109375" style="37" customWidth="1"/>
    <col min="15113" max="15113" width="16" style="37" customWidth="1"/>
    <col min="15114" max="15114" width="9.7109375" style="37" customWidth="1"/>
    <col min="15115" max="15115" width="8" style="37" customWidth="1"/>
    <col min="15116" max="15116" width="13.7109375" style="37" customWidth="1"/>
    <col min="15117" max="15117" width="9.85546875" style="37" customWidth="1"/>
    <col min="15118" max="15118" width="13.7109375" style="37" customWidth="1"/>
    <col min="15119" max="15119" width="10.28515625" style="37" customWidth="1"/>
    <col min="15120" max="15120" width="12.7109375" style="37" customWidth="1"/>
    <col min="15121" max="15121" width="16" style="37" customWidth="1"/>
    <col min="15122" max="15122" width="9.7109375" style="37" customWidth="1"/>
    <col min="15123" max="15123" width="8" style="37" customWidth="1"/>
    <col min="15124" max="15124" width="13.7109375" style="37" customWidth="1"/>
    <col min="15125" max="15125" width="9.85546875" style="37" customWidth="1"/>
    <col min="15126" max="15126" width="13.7109375" style="37" customWidth="1"/>
    <col min="15127" max="15127" width="10.28515625" style="37" customWidth="1"/>
    <col min="15128" max="15128" width="12.7109375" style="37" customWidth="1"/>
    <col min="15129" max="15129" width="16" style="37" customWidth="1"/>
    <col min="15130" max="15130" width="9.7109375" style="37" customWidth="1"/>
    <col min="15131" max="15131" width="8" style="37" customWidth="1"/>
    <col min="15132" max="15132" width="13.7109375" style="37" customWidth="1"/>
    <col min="15133" max="15133" width="9.85546875" style="37" customWidth="1"/>
    <col min="15134" max="15134" width="13.7109375" style="37" customWidth="1"/>
    <col min="15135" max="15135" width="10.28515625" style="37" customWidth="1"/>
    <col min="15136" max="15311" width="11.42578125" style="37"/>
    <col min="15312" max="15312" width="12.7109375" style="37" customWidth="1"/>
    <col min="15313" max="15313" width="16" style="37" customWidth="1"/>
    <col min="15314" max="15314" width="9.7109375" style="37" customWidth="1"/>
    <col min="15315" max="15315" width="8" style="37" customWidth="1"/>
    <col min="15316" max="15316" width="13.7109375" style="37" customWidth="1"/>
    <col min="15317" max="15317" width="9.85546875" style="37" customWidth="1"/>
    <col min="15318" max="15318" width="13.7109375" style="37" customWidth="1"/>
    <col min="15319" max="15319" width="10.28515625" style="37" customWidth="1"/>
    <col min="15320" max="15320" width="12.7109375" style="37" customWidth="1"/>
    <col min="15321" max="15321" width="16" style="37" customWidth="1"/>
    <col min="15322" max="15322" width="9.7109375" style="37" customWidth="1"/>
    <col min="15323" max="15323" width="8" style="37" customWidth="1"/>
    <col min="15324" max="15324" width="13.7109375" style="37" customWidth="1"/>
    <col min="15325" max="15325" width="9.85546875" style="37" customWidth="1"/>
    <col min="15326" max="15326" width="13.7109375" style="37" customWidth="1"/>
    <col min="15327" max="15327" width="10.28515625" style="37" customWidth="1"/>
    <col min="15328" max="15328" width="12.7109375" style="37" customWidth="1"/>
    <col min="15329" max="15329" width="16" style="37" customWidth="1"/>
    <col min="15330" max="15330" width="9.7109375" style="37" customWidth="1"/>
    <col min="15331" max="15331" width="8" style="37" customWidth="1"/>
    <col min="15332" max="15332" width="13.7109375" style="37" customWidth="1"/>
    <col min="15333" max="15333" width="9.85546875" style="37" customWidth="1"/>
    <col min="15334" max="15334" width="13.7109375" style="37" customWidth="1"/>
    <col min="15335" max="15335" width="10.28515625" style="37" customWidth="1"/>
    <col min="15336" max="15336" width="12.7109375" style="37" customWidth="1"/>
    <col min="15337" max="15337" width="16" style="37" customWidth="1"/>
    <col min="15338" max="15338" width="9.7109375" style="37" customWidth="1"/>
    <col min="15339" max="15339" width="8" style="37" customWidth="1"/>
    <col min="15340" max="15340" width="13.7109375" style="37" customWidth="1"/>
    <col min="15341" max="15341" width="9.85546875" style="37" customWidth="1"/>
    <col min="15342" max="15342" width="13.7109375" style="37" customWidth="1"/>
    <col min="15343" max="15343" width="10.28515625" style="37" customWidth="1"/>
    <col min="15344" max="15344" width="12.7109375" style="37" customWidth="1"/>
    <col min="15345" max="15345" width="16" style="37" customWidth="1"/>
    <col min="15346" max="15346" width="9.7109375" style="37" customWidth="1"/>
    <col min="15347" max="15347" width="8" style="37" customWidth="1"/>
    <col min="15348" max="15348" width="13.7109375" style="37" customWidth="1"/>
    <col min="15349" max="15349" width="9.85546875" style="37" customWidth="1"/>
    <col min="15350" max="15350" width="13.7109375" style="37" customWidth="1"/>
    <col min="15351" max="15351" width="10.28515625" style="37" customWidth="1"/>
    <col min="15352" max="15352" width="12.7109375" style="37" customWidth="1"/>
    <col min="15353" max="15353" width="16" style="37" customWidth="1"/>
    <col min="15354" max="15354" width="9.7109375" style="37" customWidth="1"/>
    <col min="15355" max="15355" width="8" style="37" customWidth="1"/>
    <col min="15356" max="15356" width="13.7109375" style="37" customWidth="1"/>
    <col min="15357" max="15357" width="9.85546875" style="37" customWidth="1"/>
    <col min="15358" max="15358" width="13.7109375" style="37" customWidth="1"/>
    <col min="15359" max="15359" width="10.28515625" style="37" customWidth="1"/>
    <col min="15360" max="15360" width="12.7109375" style="37" customWidth="1"/>
    <col min="15361" max="15361" width="16" style="37" customWidth="1"/>
    <col min="15362" max="15362" width="9.7109375" style="37" customWidth="1"/>
    <col min="15363" max="15363" width="8" style="37" customWidth="1"/>
    <col min="15364" max="15364" width="13.7109375" style="37" customWidth="1"/>
    <col min="15365" max="15365" width="9.85546875" style="37" customWidth="1"/>
    <col min="15366" max="15366" width="13.7109375" style="37" customWidth="1"/>
    <col min="15367" max="15367" width="10.28515625" style="37" customWidth="1"/>
    <col min="15368" max="15368" width="12.7109375" style="37" customWidth="1"/>
    <col min="15369" max="15369" width="16" style="37" customWidth="1"/>
    <col min="15370" max="15370" width="9.7109375" style="37" customWidth="1"/>
    <col min="15371" max="15371" width="8" style="37" customWidth="1"/>
    <col min="15372" max="15372" width="13.7109375" style="37" customWidth="1"/>
    <col min="15373" max="15373" width="9.85546875" style="37" customWidth="1"/>
    <col min="15374" max="15374" width="13.7109375" style="37" customWidth="1"/>
    <col min="15375" max="15375" width="10.28515625" style="37" customWidth="1"/>
    <col min="15376" max="15376" width="12.7109375" style="37" customWidth="1"/>
    <col min="15377" max="15377" width="16" style="37" customWidth="1"/>
    <col min="15378" max="15378" width="9.7109375" style="37" customWidth="1"/>
    <col min="15379" max="15379" width="8" style="37" customWidth="1"/>
    <col min="15380" max="15380" width="13.7109375" style="37" customWidth="1"/>
    <col min="15381" max="15381" width="9.85546875" style="37" customWidth="1"/>
    <col min="15382" max="15382" width="13.7109375" style="37" customWidth="1"/>
    <col min="15383" max="15383" width="10.28515625" style="37" customWidth="1"/>
    <col min="15384" max="15384" width="12.7109375" style="37" customWidth="1"/>
    <col min="15385" max="15385" width="16" style="37" customWidth="1"/>
    <col min="15386" max="15386" width="9.7109375" style="37" customWidth="1"/>
    <col min="15387" max="15387" width="8" style="37" customWidth="1"/>
    <col min="15388" max="15388" width="13.7109375" style="37" customWidth="1"/>
    <col min="15389" max="15389" width="9.85546875" style="37" customWidth="1"/>
    <col min="15390" max="15390" width="13.7109375" style="37" customWidth="1"/>
    <col min="15391" max="15391" width="10.28515625" style="37" customWidth="1"/>
    <col min="15392" max="15567" width="11.42578125" style="37"/>
    <col min="15568" max="15568" width="12.7109375" style="37" customWidth="1"/>
    <col min="15569" max="15569" width="16" style="37" customWidth="1"/>
    <col min="15570" max="15570" width="9.7109375" style="37" customWidth="1"/>
    <col min="15571" max="15571" width="8" style="37" customWidth="1"/>
    <col min="15572" max="15572" width="13.7109375" style="37" customWidth="1"/>
    <col min="15573" max="15573" width="9.85546875" style="37" customWidth="1"/>
    <col min="15574" max="15574" width="13.7109375" style="37" customWidth="1"/>
    <col min="15575" max="15575" width="10.28515625" style="37" customWidth="1"/>
    <col min="15576" max="15576" width="12.7109375" style="37" customWidth="1"/>
    <col min="15577" max="15577" width="16" style="37" customWidth="1"/>
    <col min="15578" max="15578" width="9.7109375" style="37" customWidth="1"/>
    <col min="15579" max="15579" width="8" style="37" customWidth="1"/>
    <col min="15580" max="15580" width="13.7109375" style="37" customWidth="1"/>
    <col min="15581" max="15581" width="9.85546875" style="37" customWidth="1"/>
    <col min="15582" max="15582" width="13.7109375" style="37" customWidth="1"/>
    <col min="15583" max="15583" width="10.28515625" style="37" customWidth="1"/>
    <col min="15584" max="15584" width="12.7109375" style="37" customWidth="1"/>
    <col min="15585" max="15585" width="16" style="37" customWidth="1"/>
    <col min="15586" max="15586" width="9.7109375" style="37" customWidth="1"/>
    <col min="15587" max="15587" width="8" style="37" customWidth="1"/>
    <col min="15588" max="15588" width="13.7109375" style="37" customWidth="1"/>
    <col min="15589" max="15589" width="9.85546875" style="37" customWidth="1"/>
    <col min="15590" max="15590" width="13.7109375" style="37" customWidth="1"/>
    <col min="15591" max="15591" width="10.28515625" style="37" customWidth="1"/>
    <col min="15592" max="15592" width="12.7109375" style="37" customWidth="1"/>
    <col min="15593" max="15593" width="16" style="37" customWidth="1"/>
    <col min="15594" max="15594" width="9.7109375" style="37" customWidth="1"/>
    <col min="15595" max="15595" width="8" style="37" customWidth="1"/>
    <col min="15596" max="15596" width="13.7109375" style="37" customWidth="1"/>
    <col min="15597" max="15597" width="9.85546875" style="37" customWidth="1"/>
    <col min="15598" max="15598" width="13.7109375" style="37" customWidth="1"/>
    <col min="15599" max="15599" width="10.28515625" style="37" customWidth="1"/>
    <col min="15600" max="15600" width="12.7109375" style="37" customWidth="1"/>
    <col min="15601" max="15601" width="16" style="37" customWidth="1"/>
    <col min="15602" max="15602" width="9.7109375" style="37" customWidth="1"/>
    <col min="15603" max="15603" width="8" style="37" customWidth="1"/>
    <col min="15604" max="15604" width="13.7109375" style="37" customWidth="1"/>
    <col min="15605" max="15605" width="9.85546875" style="37" customWidth="1"/>
    <col min="15606" max="15606" width="13.7109375" style="37" customWidth="1"/>
    <col min="15607" max="15607" width="10.28515625" style="37" customWidth="1"/>
    <col min="15608" max="15608" width="12.7109375" style="37" customWidth="1"/>
    <col min="15609" max="15609" width="16" style="37" customWidth="1"/>
    <col min="15610" max="15610" width="9.7109375" style="37" customWidth="1"/>
    <col min="15611" max="15611" width="8" style="37" customWidth="1"/>
    <col min="15612" max="15612" width="13.7109375" style="37" customWidth="1"/>
    <col min="15613" max="15613" width="9.85546875" style="37" customWidth="1"/>
    <col min="15614" max="15614" width="13.7109375" style="37" customWidth="1"/>
    <col min="15615" max="15615" width="10.28515625" style="37" customWidth="1"/>
    <col min="15616" max="15616" width="12.7109375" style="37" customWidth="1"/>
    <col min="15617" max="15617" width="16" style="37" customWidth="1"/>
    <col min="15618" max="15618" width="9.7109375" style="37" customWidth="1"/>
    <col min="15619" max="15619" width="8" style="37" customWidth="1"/>
    <col min="15620" max="15620" width="13.7109375" style="37" customWidth="1"/>
    <col min="15621" max="15621" width="9.85546875" style="37" customWidth="1"/>
    <col min="15622" max="15622" width="13.7109375" style="37" customWidth="1"/>
    <col min="15623" max="15623" width="10.28515625" style="37" customWidth="1"/>
    <col min="15624" max="15624" width="12.7109375" style="37" customWidth="1"/>
    <col min="15625" max="15625" width="16" style="37" customWidth="1"/>
    <col min="15626" max="15626" width="9.7109375" style="37" customWidth="1"/>
    <col min="15627" max="15627" width="8" style="37" customWidth="1"/>
    <col min="15628" max="15628" width="13.7109375" style="37" customWidth="1"/>
    <col min="15629" max="15629" width="9.85546875" style="37" customWidth="1"/>
    <col min="15630" max="15630" width="13.7109375" style="37" customWidth="1"/>
    <col min="15631" max="15631" width="10.28515625" style="37" customWidth="1"/>
    <col min="15632" max="15632" width="12.7109375" style="37" customWidth="1"/>
    <col min="15633" max="15633" width="16" style="37" customWidth="1"/>
    <col min="15634" max="15634" width="9.7109375" style="37" customWidth="1"/>
    <col min="15635" max="15635" width="8" style="37" customWidth="1"/>
    <col min="15636" max="15636" width="13.7109375" style="37" customWidth="1"/>
    <col min="15637" max="15637" width="9.85546875" style="37" customWidth="1"/>
    <col min="15638" max="15638" width="13.7109375" style="37" customWidth="1"/>
    <col min="15639" max="15639" width="10.28515625" style="37" customWidth="1"/>
    <col min="15640" max="15640" width="12.7109375" style="37" customWidth="1"/>
    <col min="15641" max="15641" width="16" style="37" customWidth="1"/>
    <col min="15642" max="15642" width="9.7109375" style="37" customWidth="1"/>
    <col min="15643" max="15643" width="8" style="37" customWidth="1"/>
    <col min="15644" max="15644" width="13.7109375" style="37" customWidth="1"/>
    <col min="15645" max="15645" width="9.85546875" style="37" customWidth="1"/>
    <col min="15646" max="15646" width="13.7109375" style="37" customWidth="1"/>
    <col min="15647" max="15647" width="10.28515625" style="37" customWidth="1"/>
    <col min="15648" max="15823" width="11.42578125" style="37"/>
    <col min="15824" max="15824" width="12.7109375" style="37" customWidth="1"/>
    <col min="15825" max="15825" width="16" style="37" customWidth="1"/>
    <col min="15826" max="15826" width="9.7109375" style="37" customWidth="1"/>
    <col min="15827" max="15827" width="8" style="37" customWidth="1"/>
    <col min="15828" max="15828" width="13.7109375" style="37" customWidth="1"/>
    <col min="15829" max="15829" width="9.85546875" style="37" customWidth="1"/>
    <col min="15830" max="15830" width="13.7109375" style="37" customWidth="1"/>
    <col min="15831" max="15831" width="10.28515625" style="37" customWidth="1"/>
    <col min="15832" max="15832" width="12.7109375" style="37" customWidth="1"/>
    <col min="15833" max="15833" width="16" style="37" customWidth="1"/>
    <col min="15834" max="15834" width="9.7109375" style="37" customWidth="1"/>
    <col min="15835" max="15835" width="8" style="37" customWidth="1"/>
    <col min="15836" max="15836" width="13.7109375" style="37" customWidth="1"/>
    <col min="15837" max="15837" width="9.85546875" style="37" customWidth="1"/>
    <col min="15838" max="15838" width="13.7109375" style="37" customWidth="1"/>
    <col min="15839" max="15839" width="10.28515625" style="37" customWidth="1"/>
    <col min="15840" max="15840" width="12.7109375" style="37" customWidth="1"/>
    <col min="15841" max="15841" width="16" style="37" customWidth="1"/>
    <col min="15842" max="15842" width="9.7109375" style="37" customWidth="1"/>
    <col min="15843" max="15843" width="8" style="37" customWidth="1"/>
    <col min="15844" max="15844" width="13.7109375" style="37" customWidth="1"/>
    <col min="15845" max="15845" width="9.85546875" style="37" customWidth="1"/>
    <col min="15846" max="15846" width="13.7109375" style="37" customWidth="1"/>
    <col min="15847" max="15847" width="10.28515625" style="37" customWidth="1"/>
    <col min="15848" max="15848" width="12.7109375" style="37" customWidth="1"/>
    <col min="15849" max="15849" width="16" style="37" customWidth="1"/>
    <col min="15850" max="15850" width="9.7109375" style="37" customWidth="1"/>
    <col min="15851" max="15851" width="8" style="37" customWidth="1"/>
    <col min="15852" max="15852" width="13.7109375" style="37" customWidth="1"/>
    <col min="15853" max="15853" width="9.85546875" style="37" customWidth="1"/>
    <col min="15854" max="15854" width="13.7109375" style="37" customWidth="1"/>
    <col min="15855" max="15855" width="10.28515625" style="37" customWidth="1"/>
    <col min="15856" max="15856" width="12.7109375" style="37" customWidth="1"/>
    <col min="15857" max="15857" width="16" style="37" customWidth="1"/>
    <col min="15858" max="15858" width="9.7109375" style="37" customWidth="1"/>
    <col min="15859" max="15859" width="8" style="37" customWidth="1"/>
    <col min="15860" max="15860" width="13.7109375" style="37" customWidth="1"/>
    <col min="15861" max="15861" width="9.85546875" style="37" customWidth="1"/>
    <col min="15862" max="15862" width="13.7109375" style="37" customWidth="1"/>
    <col min="15863" max="15863" width="10.28515625" style="37" customWidth="1"/>
    <col min="15864" max="15864" width="12.7109375" style="37" customWidth="1"/>
    <col min="15865" max="15865" width="16" style="37" customWidth="1"/>
    <col min="15866" max="15866" width="9.7109375" style="37" customWidth="1"/>
    <col min="15867" max="15867" width="8" style="37" customWidth="1"/>
    <col min="15868" max="15868" width="13.7109375" style="37" customWidth="1"/>
    <col min="15869" max="15869" width="9.85546875" style="37" customWidth="1"/>
    <col min="15870" max="15870" width="13.7109375" style="37" customWidth="1"/>
    <col min="15871" max="15871" width="10.28515625" style="37" customWidth="1"/>
    <col min="15872" max="15872" width="12.7109375" style="37" customWidth="1"/>
    <col min="15873" max="15873" width="16" style="37" customWidth="1"/>
    <col min="15874" max="15874" width="9.7109375" style="37" customWidth="1"/>
    <col min="15875" max="15875" width="8" style="37" customWidth="1"/>
    <col min="15876" max="15876" width="13.7109375" style="37" customWidth="1"/>
    <col min="15877" max="15877" width="9.85546875" style="37" customWidth="1"/>
    <col min="15878" max="15878" width="13.7109375" style="37" customWidth="1"/>
    <col min="15879" max="15879" width="10.28515625" style="37" customWidth="1"/>
    <col min="15880" max="15880" width="12.7109375" style="37" customWidth="1"/>
    <col min="15881" max="15881" width="16" style="37" customWidth="1"/>
    <col min="15882" max="15882" width="9.7109375" style="37" customWidth="1"/>
    <col min="15883" max="15883" width="8" style="37" customWidth="1"/>
    <col min="15884" max="15884" width="13.7109375" style="37" customWidth="1"/>
    <col min="15885" max="15885" width="9.85546875" style="37" customWidth="1"/>
    <col min="15886" max="15886" width="13.7109375" style="37" customWidth="1"/>
    <col min="15887" max="15887" width="10.28515625" style="37" customWidth="1"/>
    <col min="15888" max="15888" width="12.7109375" style="37" customWidth="1"/>
    <col min="15889" max="15889" width="16" style="37" customWidth="1"/>
    <col min="15890" max="15890" width="9.7109375" style="37" customWidth="1"/>
    <col min="15891" max="15891" width="8" style="37" customWidth="1"/>
    <col min="15892" max="15892" width="13.7109375" style="37" customWidth="1"/>
    <col min="15893" max="15893" width="9.85546875" style="37" customWidth="1"/>
    <col min="15894" max="15894" width="13.7109375" style="37" customWidth="1"/>
    <col min="15895" max="15895" width="10.28515625" style="37" customWidth="1"/>
    <col min="15896" max="15896" width="12.7109375" style="37" customWidth="1"/>
    <col min="15897" max="15897" width="16" style="37" customWidth="1"/>
    <col min="15898" max="15898" width="9.7109375" style="37" customWidth="1"/>
    <col min="15899" max="15899" width="8" style="37" customWidth="1"/>
    <col min="15900" max="15900" width="13.7109375" style="37" customWidth="1"/>
    <col min="15901" max="15901" width="9.85546875" style="37" customWidth="1"/>
    <col min="15902" max="15902" width="13.7109375" style="37" customWidth="1"/>
    <col min="15903" max="15903" width="10.28515625" style="37" customWidth="1"/>
    <col min="15904" max="16079" width="11.42578125" style="37"/>
    <col min="16080" max="16080" width="12.7109375" style="37" customWidth="1"/>
    <col min="16081" max="16081" width="16" style="37" customWidth="1"/>
    <col min="16082" max="16082" width="9.7109375" style="37" customWidth="1"/>
    <col min="16083" max="16083" width="8" style="37" customWidth="1"/>
    <col min="16084" max="16084" width="13.7109375" style="37" customWidth="1"/>
    <col min="16085" max="16085" width="9.85546875" style="37" customWidth="1"/>
    <col min="16086" max="16086" width="13.7109375" style="37" customWidth="1"/>
    <col min="16087" max="16087" width="10.28515625" style="37" customWidth="1"/>
    <col min="16088" max="16088" width="12.7109375" style="37" customWidth="1"/>
    <col min="16089" max="16089" width="16" style="37" customWidth="1"/>
    <col min="16090" max="16090" width="9.7109375" style="37" customWidth="1"/>
    <col min="16091" max="16091" width="8" style="37" customWidth="1"/>
    <col min="16092" max="16092" width="13.7109375" style="37" customWidth="1"/>
    <col min="16093" max="16093" width="9.85546875" style="37" customWidth="1"/>
    <col min="16094" max="16094" width="13.7109375" style="37" customWidth="1"/>
    <col min="16095" max="16095" width="10.28515625" style="37" customWidth="1"/>
    <col min="16096" max="16096" width="12.7109375" style="37" customWidth="1"/>
    <col min="16097" max="16097" width="16" style="37" customWidth="1"/>
    <col min="16098" max="16098" width="9.7109375" style="37" customWidth="1"/>
    <col min="16099" max="16099" width="8" style="37" customWidth="1"/>
    <col min="16100" max="16100" width="13.7109375" style="37" customWidth="1"/>
    <col min="16101" max="16101" width="9.85546875" style="37" customWidth="1"/>
    <col min="16102" max="16102" width="13.7109375" style="37" customWidth="1"/>
    <col min="16103" max="16103" width="10.28515625" style="37" customWidth="1"/>
    <col min="16104" max="16104" width="12.7109375" style="37" customWidth="1"/>
    <col min="16105" max="16105" width="16" style="37" customWidth="1"/>
    <col min="16106" max="16106" width="9.7109375" style="37" customWidth="1"/>
    <col min="16107" max="16107" width="8" style="37" customWidth="1"/>
    <col min="16108" max="16108" width="13.7109375" style="37" customWidth="1"/>
    <col min="16109" max="16109" width="9.85546875" style="37" customWidth="1"/>
    <col min="16110" max="16110" width="13.7109375" style="37" customWidth="1"/>
    <col min="16111" max="16111" width="10.28515625" style="37" customWidth="1"/>
    <col min="16112" max="16112" width="12.7109375" style="37" customWidth="1"/>
    <col min="16113" max="16113" width="16" style="37" customWidth="1"/>
    <col min="16114" max="16114" width="9.7109375" style="37" customWidth="1"/>
    <col min="16115" max="16115" width="8" style="37" customWidth="1"/>
    <col min="16116" max="16116" width="13.7109375" style="37" customWidth="1"/>
    <col min="16117" max="16117" width="9.85546875" style="37" customWidth="1"/>
    <col min="16118" max="16118" width="13.7109375" style="37" customWidth="1"/>
    <col min="16119" max="16119" width="10.28515625" style="37" customWidth="1"/>
    <col min="16120" max="16120" width="12.7109375" style="37" customWidth="1"/>
    <col min="16121" max="16121" width="16" style="37" customWidth="1"/>
    <col min="16122" max="16122" width="9.7109375" style="37" customWidth="1"/>
    <col min="16123" max="16123" width="8" style="37" customWidth="1"/>
    <col min="16124" max="16124" width="13.7109375" style="37" customWidth="1"/>
    <col min="16125" max="16125" width="9.85546875" style="37" customWidth="1"/>
    <col min="16126" max="16126" width="13.7109375" style="37" customWidth="1"/>
    <col min="16127" max="16127" width="10.28515625" style="37" customWidth="1"/>
    <col min="16128" max="16128" width="12.7109375" style="37" customWidth="1"/>
    <col min="16129" max="16129" width="16" style="37" customWidth="1"/>
    <col min="16130" max="16130" width="9.7109375" style="37" customWidth="1"/>
    <col min="16131" max="16131" width="8" style="37" customWidth="1"/>
    <col min="16132" max="16132" width="13.7109375" style="37" customWidth="1"/>
    <col min="16133" max="16133" width="9.85546875" style="37" customWidth="1"/>
    <col min="16134" max="16134" width="13.7109375" style="37" customWidth="1"/>
    <col min="16135" max="16135" width="10.28515625" style="37" customWidth="1"/>
    <col min="16136" max="16136" width="12.7109375" style="37" customWidth="1"/>
    <col min="16137" max="16137" width="16" style="37" customWidth="1"/>
    <col min="16138" max="16138" width="9.7109375" style="37" customWidth="1"/>
    <col min="16139" max="16139" width="8" style="37" customWidth="1"/>
    <col min="16140" max="16140" width="13.7109375" style="37" customWidth="1"/>
    <col min="16141" max="16141" width="9.85546875" style="37" customWidth="1"/>
    <col min="16142" max="16142" width="13.7109375" style="37" customWidth="1"/>
    <col min="16143" max="16143" width="10.28515625" style="37" customWidth="1"/>
    <col min="16144" max="16144" width="12.7109375" style="37" customWidth="1"/>
    <col min="16145" max="16145" width="16" style="37" customWidth="1"/>
    <col min="16146" max="16146" width="9.7109375" style="37" customWidth="1"/>
    <col min="16147" max="16147" width="8" style="37" customWidth="1"/>
    <col min="16148" max="16148" width="13.7109375" style="37" customWidth="1"/>
    <col min="16149" max="16149" width="9.85546875" style="37" customWidth="1"/>
    <col min="16150" max="16150" width="13.7109375" style="37" customWidth="1"/>
    <col min="16151" max="16151" width="10.28515625" style="37" customWidth="1"/>
    <col min="16152" max="16152" width="12.7109375" style="37" customWidth="1"/>
    <col min="16153" max="16153" width="16" style="37" customWidth="1"/>
    <col min="16154" max="16154" width="9.7109375" style="37" customWidth="1"/>
    <col min="16155" max="16155" width="8" style="37" customWidth="1"/>
    <col min="16156" max="16156" width="13.7109375" style="37" customWidth="1"/>
    <col min="16157" max="16157" width="9.85546875" style="37" customWidth="1"/>
    <col min="16158" max="16158" width="13.7109375" style="37" customWidth="1"/>
    <col min="16159" max="16159" width="10.28515625" style="37" customWidth="1"/>
    <col min="16160" max="16384" width="11.42578125" style="37"/>
  </cols>
  <sheetData>
    <row r="1" spans="1:32" s="43" customFormat="1" ht="29.25" customHeight="1" thickBot="1">
      <c r="A1" s="203"/>
      <c r="B1" s="285" t="s">
        <v>63</v>
      </c>
      <c r="C1" s="285"/>
      <c r="D1" s="285"/>
      <c r="E1" s="285"/>
      <c r="F1" s="285"/>
      <c r="G1" s="285"/>
      <c r="H1" s="285"/>
      <c r="I1" s="285"/>
      <c r="J1" s="285"/>
      <c r="K1" s="211">
        <f>'Table '!G8</f>
        <v>2018</v>
      </c>
      <c r="L1" s="204"/>
      <c r="M1" s="204"/>
      <c r="N1" s="204"/>
      <c r="O1" s="204"/>
      <c r="P1" s="205"/>
      <c r="Q1" s="203"/>
      <c r="R1" s="285" t="s">
        <v>62</v>
      </c>
      <c r="S1" s="285"/>
      <c r="T1" s="285"/>
      <c r="U1" s="285"/>
      <c r="V1" s="285"/>
      <c r="W1" s="285"/>
      <c r="X1" s="285"/>
      <c r="Y1" s="285"/>
      <c r="Z1" s="285"/>
      <c r="AA1" s="211">
        <f>'Table '!G8</f>
        <v>2018</v>
      </c>
      <c r="AB1" s="211"/>
      <c r="AC1" s="204"/>
      <c r="AD1" s="204"/>
      <c r="AE1" s="204"/>
      <c r="AF1" s="204"/>
    </row>
    <row r="2" spans="1:32" ht="7.5" customHeight="1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</row>
    <row r="3" spans="1:32" ht="13.5" customHeight="1" thickBot="1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</row>
    <row r="4" spans="1:32" ht="33" customHeight="1" thickTop="1" thickBot="1">
      <c r="A4" s="66"/>
      <c r="B4" s="296" t="s">
        <v>11</v>
      </c>
      <c r="C4" s="297"/>
      <c r="D4" s="298">
        <f>'Table '!C3</f>
        <v>1</v>
      </c>
      <c r="E4" s="299"/>
      <c r="F4" s="299"/>
      <c r="G4" s="299"/>
      <c r="H4" s="300"/>
      <c r="I4" s="66"/>
      <c r="J4" s="301" t="s">
        <v>11</v>
      </c>
      <c r="K4" s="302"/>
      <c r="L4" s="303">
        <f>'Table '!G3</f>
        <v>2</v>
      </c>
      <c r="M4" s="304"/>
      <c r="N4" s="304"/>
      <c r="O4" s="304"/>
      <c r="P4" s="305"/>
      <c r="Q4" s="67"/>
      <c r="R4" s="306" t="s">
        <v>11</v>
      </c>
      <c r="S4" s="307"/>
      <c r="T4" s="288">
        <f>'Table '!C6</f>
        <v>3</v>
      </c>
      <c r="U4" s="289"/>
      <c r="V4" s="289"/>
      <c r="W4" s="289"/>
      <c r="X4" s="290"/>
      <c r="Y4" s="68"/>
      <c r="Z4" s="291" t="s">
        <v>11</v>
      </c>
      <c r="AA4" s="292"/>
      <c r="AB4" s="308">
        <f>'Table '!G6</f>
        <v>4</v>
      </c>
      <c r="AC4" s="309"/>
      <c r="AD4" s="309"/>
      <c r="AE4" s="309"/>
      <c r="AF4" s="310"/>
    </row>
    <row r="5" spans="1:32" ht="51" customHeight="1" thickTop="1">
      <c r="A5" s="66"/>
      <c r="B5" s="294"/>
      <c r="C5" s="286" t="s">
        <v>12</v>
      </c>
      <c r="D5" s="286" t="s">
        <v>13</v>
      </c>
      <c r="E5" s="321" t="s">
        <v>14</v>
      </c>
      <c r="F5" s="322"/>
      <c r="G5" s="322"/>
      <c r="H5" s="323"/>
      <c r="I5" s="66"/>
      <c r="J5" s="294"/>
      <c r="K5" s="286" t="s">
        <v>12</v>
      </c>
      <c r="L5" s="286" t="s">
        <v>13</v>
      </c>
      <c r="M5" s="293" t="s">
        <v>14</v>
      </c>
      <c r="N5" s="287"/>
      <c r="O5" s="287"/>
      <c r="P5" s="287"/>
      <c r="Q5" s="69"/>
      <c r="R5" s="294"/>
      <c r="S5" s="286" t="s">
        <v>12</v>
      </c>
      <c r="T5" s="286" t="s">
        <v>13</v>
      </c>
      <c r="U5" s="293" t="s">
        <v>14</v>
      </c>
      <c r="V5" s="287"/>
      <c r="W5" s="287"/>
      <c r="X5" s="287"/>
      <c r="Y5" s="70"/>
      <c r="Z5" s="294"/>
      <c r="AA5" s="286" t="s">
        <v>12</v>
      </c>
      <c r="AB5" s="286" t="s">
        <v>13</v>
      </c>
      <c r="AC5" s="293" t="s">
        <v>14</v>
      </c>
      <c r="AD5" s="287"/>
      <c r="AE5" s="287"/>
      <c r="AF5" s="287"/>
    </row>
    <row r="6" spans="1:32" ht="15" customHeight="1">
      <c r="A6" s="66"/>
      <c r="B6" s="320"/>
      <c r="C6" s="320"/>
      <c r="D6" s="320"/>
      <c r="E6" s="314" t="s">
        <v>15</v>
      </c>
      <c r="F6" s="311" t="s">
        <v>16</v>
      </c>
      <c r="G6" s="319"/>
      <c r="H6" s="316"/>
      <c r="I6" s="66"/>
      <c r="J6" s="294"/>
      <c r="K6" s="286"/>
      <c r="L6" s="286"/>
      <c r="M6" s="314" t="s">
        <v>15</v>
      </c>
      <c r="N6" s="311" t="s">
        <v>16</v>
      </c>
      <c r="O6" s="312"/>
      <c r="P6" s="313"/>
      <c r="Q6" s="71"/>
      <c r="R6" s="294"/>
      <c r="S6" s="286"/>
      <c r="T6" s="286"/>
      <c r="U6" s="314" t="s">
        <v>15</v>
      </c>
      <c r="V6" s="311" t="s">
        <v>16</v>
      </c>
      <c r="W6" s="312"/>
      <c r="X6" s="313"/>
      <c r="Y6" s="70"/>
      <c r="Z6" s="294"/>
      <c r="AA6" s="286"/>
      <c r="AB6" s="286"/>
      <c r="AC6" s="314" t="s">
        <v>15</v>
      </c>
      <c r="AD6" s="311" t="s">
        <v>16</v>
      </c>
      <c r="AE6" s="312"/>
      <c r="AF6" s="313"/>
    </row>
    <row r="7" spans="1:32" ht="66.75" customHeight="1">
      <c r="A7" s="66"/>
      <c r="B7" s="318"/>
      <c r="C7" s="318"/>
      <c r="D7" s="318"/>
      <c r="E7" s="318"/>
      <c r="F7" s="72" t="s">
        <v>17</v>
      </c>
      <c r="G7" s="72" t="s">
        <v>18</v>
      </c>
      <c r="H7" s="72" t="s">
        <v>19</v>
      </c>
      <c r="I7" s="66"/>
      <c r="J7" s="295"/>
      <c r="K7" s="287"/>
      <c r="L7" s="287"/>
      <c r="M7" s="287"/>
      <c r="N7" s="72" t="s">
        <v>17</v>
      </c>
      <c r="O7" s="72" t="s">
        <v>18</v>
      </c>
      <c r="P7" s="72" t="s">
        <v>19</v>
      </c>
      <c r="Q7" s="73"/>
      <c r="R7" s="295"/>
      <c r="S7" s="287"/>
      <c r="T7" s="287"/>
      <c r="U7" s="287"/>
      <c r="V7" s="72" t="s">
        <v>17</v>
      </c>
      <c r="W7" s="72" t="s">
        <v>18</v>
      </c>
      <c r="X7" s="72" t="s">
        <v>19</v>
      </c>
      <c r="Y7" s="70"/>
      <c r="Z7" s="295"/>
      <c r="AA7" s="287"/>
      <c r="AB7" s="287"/>
      <c r="AC7" s="287"/>
      <c r="AD7" s="72" t="s">
        <v>17</v>
      </c>
      <c r="AE7" s="72" t="s">
        <v>18</v>
      </c>
      <c r="AF7" s="72" t="s">
        <v>19</v>
      </c>
    </row>
    <row r="8" spans="1:32" ht="18.75" customHeight="1">
      <c r="A8" s="66"/>
      <c r="B8" s="74">
        <f>TEXT('Table '!AN6,"MMMM aaaa")-365</f>
        <v>43070</v>
      </c>
      <c r="C8" s="3">
        <f>'DECEMBRE_-1'!G39</f>
        <v>0</v>
      </c>
      <c r="D8" s="42">
        <f>'DECEMBRE_-1'!H40</f>
        <v>0</v>
      </c>
      <c r="E8" s="53"/>
      <c r="F8" s="2"/>
      <c r="G8" s="2"/>
      <c r="H8" s="2"/>
      <c r="I8" s="66"/>
      <c r="J8" s="74">
        <f>TEXT('Table '!AN6,"MMMM aaaa")-365</f>
        <v>43070</v>
      </c>
      <c r="K8" s="3">
        <f>'DECEMBRE_-1'!O39</f>
        <v>0</v>
      </c>
      <c r="L8" s="42">
        <f>'DECEMBRE_-1'!P40</f>
        <v>0</v>
      </c>
      <c r="M8" s="53"/>
      <c r="N8" s="2"/>
      <c r="O8" s="2"/>
      <c r="P8" s="2"/>
      <c r="Q8" s="73"/>
      <c r="R8" s="74">
        <f>TEXT('Table '!AN6,"MMMM aaaa")-365</f>
        <v>43070</v>
      </c>
      <c r="S8" s="3">
        <f>'DECEMBRE_-1'!W39</f>
        <v>0</v>
      </c>
      <c r="T8" s="42">
        <f>'DECEMBRE_-1'!X40</f>
        <v>0</v>
      </c>
      <c r="U8" s="53"/>
      <c r="V8" s="2"/>
      <c r="W8" s="2"/>
      <c r="X8" s="2"/>
      <c r="Y8" s="70"/>
      <c r="Z8" s="74">
        <f>TEXT('Table '!AN6,"MMMM aaaa")-365</f>
        <v>43070</v>
      </c>
      <c r="AA8" s="3">
        <f>'DECEMBRE_-1'!AE39</f>
        <v>0</v>
      </c>
      <c r="AB8" s="42">
        <f>'DECEMBRE_-1'!AF40</f>
        <v>0</v>
      </c>
      <c r="AC8" s="53"/>
      <c r="AD8" s="2"/>
      <c r="AE8" s="2"/>
      <c r="AF8" s="2"/>
    </row>
    <row r="9" spans="1:32" ht="15" customHeight="1">
      <c r="A9" s="66"/>
      <c r="B9" s="75" t="s">
        <v>20</v>
      </c>
      <c r="C9" s="76">
        <f t="shared" ref="C9:H9" si="0">C8</f>
        <v>0</v>
      </c>
      <c r="D9" s="76">
        <f t="shared" si="0"/>
        <v>0</v>
      </c>
      <c r="E9" s="77">
        <f t="shared" si="0"/>
        <v>0</v>
      </c>
      <c r="F9" s="78">
        <f t="shared" si="0"/>
        <v>0</v>
      </c>
      <c r="G9" s="78">
        <f>G8</f>
        <v>0</v>
      </c>
      <c r="H9" s="78">
        <f t="shared" si="0"/>
        <v>0</v>
      </c>
      <c r="I9" s="66"/>
      <c r="J9" s="75" t="s">
        <v>20</v>
      </c>
      <c r="K9" s="76">
        <f t="shared" ref="K9:P9" si="1">K8</f>
        <v>0</v>
      </c>
      <c r="L9" s="76">
        <f t="shared" si="1"/>
        <v>0</v>
      </c>
      <c r="M9" s="77">
        <f t="shared" si="1"/>
        <v>0</v>
      </c>
      <c r="N9" s="78">
        <f t="shared" si="1"/>
        <v>0</v>
      </c>
      <c r="O9" s="78">
        <f t="shared" si="1"/>
        <v>0</v>
      </c>
      <c r="P9" s="78">
        <f t="shared" si="1"/>
        <v>0</v>
      </c>
      <c r="Q9" s="79"/>
      <c r="R9" s="75" t="s">
        <v>20</v>
      </c>
      <c r="S9" s="76">
        <f t="shared" ref="S9:X9" si="2">S8</f>
        <v>0</v>
      </c>
      <c r="T9" s="76">
        <f t="shared" si="2"/>
        <v>0</v>
      </c>
      <c r="U9" s="77">
        <f t="shared" si="2"/>
        <v>0</v>
      </c>
      <c r="V9" s="78">
        <f t="shared" si="2"/>
        <v>0</v>
      </c>
      <c r="W9" s="78">
        <f t="shared" si="2"/>
        <v>0</v>
      </c>
      <c r="X9" s="78">
        <f t="shared" si="2"/>
        <v>0</v>
      </c>
      <c r="Y9" s="70"/>
      <c r="Z9" s="75" t="s">
        <v>20</v>
      </c>
      <c r="AA9" s="76">
        <f t="shared" ref="AA9:AF9" si="3">AA8</f>
        <v>0</v>
      </c>
      <c r="AB9" s="76">
        <f t="shared" si="3"/>
        <v>0</v>
      </c>
      <c r="AC9" s="77">
        <f t="shared" si="3"/>
        <v>0</v>
      </c>
      <c r="AD9" s="78">
        <f t="shared" si="3"/>
        <v>0</v>
      </c>
      <c r="AE9" s="78">
        <f t="shared" si="3"/>
        <v>0</v>
      </c>
      <c r="AF9" s="78">
        <f t="shared" si="3"/>
        <v>0</v>
      </c>
    </row>
    <row r="10" spans="1:32" ht="15" customHeight="1">
      <c r="A10" s="66"/>
      <c r="B10" s="315" t="s">
        <v>21</v>
      </c>
      <c r="C10" s="316"/>
      <c r="D10" s="80">
        <f>ROUND(D9,0)/8</f>
        <v>0</v>
      </c>
      <c r="E10" s="81"/>
      <c r="F10" s="82"/>
      <c r="G10" s="82"/>
      <c r="H10" s="82"/>
      <c r="I10" s="66"/>
      <c r="J10" s="315" t="s">
        <v>21</v>
      </c>
      <c r="K10" s="317"/>
      <c r="L10" s="80">
        <f>ROUND(L9,0)/8</f>
        <v>0</v>
      </c>
      <c r="M10" s="81"/>
      <c r="N10" s="82"/>
      <c r="O10" s="82"/>
      <c r="P10" s="82"/>
      <c r="Q10" s="82"/>
      <c r="R10" s="315" t="s">
        <v>21</v>
      </c>
      <c r="S10" s="317"/>
      <c r="T10" s="80">
        <f>ROUND(T9,0)/8</f>
        <v>0</v>
      </c>
      <c r="U10" s="81"/>
      <c r="V10" s="82"/>
      <c r="W10" s="82"/>
      <c r="X10" s="82"/>
      <c r="Y10" s="70"/>
      <c r="Z10" s="315" t="s">
        <v>21</v>
      </c>
      <c r="AA10" s="317"/>
      <c r="AB10" s="80">
        <f>ROUND(AB9,0)/8</f>
        <v>0</v>
      </c>
      <c r="AC10" s="81"/>
      <c r="AD10" s="82"/>
      <c r="AE10" s="82"/>
      <c r="AF10" s="82"/>
    </row>
    <row r="11" spans="1:32" ht="15" customHeight="1">
      <c r="A11" s="66"/>
      <c r="B11" s="326" t="s">
        <v>22</v>
      </c>
      <c r="C11" s="316"/>
      <c r="D11" s="80">
        <f>D10+C9</f>
        <v>0</v>
      </c>
      <c r="E11" s="81"/>
      <c r="F11" s="82"/>
      <c r="G11" s="82"/>
      <c r="H11" s="82"/>
      <c r="I11" s="66"/>
      <c r="J11" s="326" t="s">
        <v>22</v>
      </c>
      <c r="K11" s="327"/>
      <c r="L11" s="80">
        <f>L10+K9</f>
        <v>0</v>
      </c>
      <c r="M11" s="81"/>
      <c r="N11" s="82"/>
      <c r="O11" s="82"/>
      <c r="P11" s="82"/>
      <c r="Q11" s="82"/>
      <c r="R11" s="326" t="s">
        <v>22</v>
      </c>
      <c r="S11" s="327"/>
      <c r="T11" s="80">
        <f>T10+S9</f>
        <v>0</v>
      </c>
      <c r="U11" s="81"/>
      <c r="V11" s="82"/>
      <c r="W11" s="82"/>
      <c r="X11" s="82"/>
      <c r="Y11" s="70"/>
      <c r="Z11" s="326" t="s">
        <v>22</v>
      </c>
      <c r="AA11" s="327"/>
      <c r="AB11" s="80">
        <f>AB10+AA9</f>
        <v>0</v>
      </c>
      <c r="AC11" s="81"/>
      <c r="AD11" s="82"/>
      <c r="AE11" s="82"/>
      <c r="AF11" s="82"/>
    </row>
    <row r="12" spans="1:32" ht="15" customHeight="1">
      <c r="A12" s="66"/>
      <c r="B12" s="3" t="s">
        <v>23</v>
      </c>
      <c r="C12" s="324">
        <f>'Table '!$D$8</f>
        <v>9.67</v>
      </c>
      <c r="D12" s="316"/>
      <c r="E12" s="81"/>
      <c r="F12" s="82"/>
      <c r="G12" s="82"/>
      <c r="H12" s="82"/>
      <c r="I12" s="66"/>
      <c r="J12" s="3" t="s">
        <v>23</v>
      </c>
      <c r="K12" s="324">
        <f>'Table '!D8</f>
        <v>9.67</v>
      </c>
      <c r="L12" s="325"/>
      <c r="M12" s="81"/>
      <c r="N12" s="82"/>
      <c r="O12" s="82"/>
      <c r="P12" s="82"/>
      <c r="Q12" s="82"/>
      <c r="R12" s="3" t="s">
        <v>23</v>
      </c>
      <c r="S12" s="324">
        <f>'Table '!D8</f>
        <v>9.67</v>
      </c>
      <c r="T12" s="325"/>
      <c r="U12" s="81"/>
      <c r="V12" s="82"/>
      <c r="W12" s="82"/>
      <c r="X12" s="82"/>
      <c r="Y12" s="70"/>
      <c r="Z12" s="3" t="s">
        <v>23</v>
      </c>
      <c r="AA12" s="324">
        <f>'Table '!D8</f>
        <v>9.67</v>
      </c>
      <c r="AB12" s="325"/>
      <c r="AC12" s="81"/>
      <c r="AD12" s="82"/>
      <c r="AE12" s="82"/>
      <c r="AF12" s="82"/>
    </row>
    <row r="13" spans="1:32" ht="15" customHeight="1">
      <c r="A13" s="66"/>
      <c r="B13" s="3" t="s">
        <v>24</v>
      </c>
      <c r="C13" s="83">
        <f>D11*(3*C12)</f>
        <v>0</v>
      </c>
      <c r="D13" s="84"/>
      <c r="E13" s="81"/>
      <c r="F13" s="82"/>
      <c r="G13" s="82"/>
      <c r="H13" s="82"/>
      <c r="I13" s="66"/>
      <c r="J13" s="3" t="s">
        <v>24</v>
      </c>
      <c r="K13" s="83">
        <f>L11*(3*K12)</f>
        <v>0</v>
      </c>
      <c r="L13" s="84"/>
      <c r="M13" s="81"/>
      <c r="N13" s="82"/>
      <c r="O13" s="82"/>
      <c r="P13" s="82"/>
      <c r="Q13" s="82"/>
      <c r="R13" s="3" t="s">
        <v>24</v>
      </c>
      <c r="S13" s="83">
        <f>T11*(3*S12)</f>
        <v>0</v>
      </c>
      <c r="T13" s="84"/>
      <c r="U13" s="81"/>
      <c r="V13" s="82"/>
      <c r="W13" s="82"/>
      <c r="X13" s="82"/>
      <c r="Y13" s="70"/>
      <c r="Z13" s="3" t="s">
        <v>24</v>
      </c>
      <c r="AA13" s="83">
        <f>AB11*(3*AA12)</f>
        <v>0</v>
      </c>
      <c r="AB13" s="84"/>
      <c r="AC13" s="81"/>
      <c r="AD13" s="82"/>
      <c r="AE13" s="82"/>
      <c r="AF13" s="82"/>
    </row>
    <row r="14" spans="1:32" ht="9" customHeight="1">
      <c r="A14" s="66"/>
      <c r="B14" s="85"/>
      <c r="C14" s="86"/>
      <c r="D14" s="86"/>
      <c r="E14" s="87"/>
      <c r="F14" s="88"/>
      <c r="G14" s="88"/>
      <c r="H14" s="88"/>
      <c r="I14" s="66"/>
      <c r="J14" s="85"/>
      <c r="K14" s="86"/>
      <c r="L14" s="86"/>
      <c r="M14" s="87"/>
      <c r="N14" s="88"/>
      <c r="O14" s="88"/>
      <c r="P14" s="88"/>
      <c r="Q14" s="82"/>
      <c r="R14" s="85"/>
      <c r="S14" s="86"/>
      <c r="T14" s="86"/>
      <c r="U14" s="87"/>
      <c r="V14" s="88"/>
      <c r="W14" s="88"/>
      <c r="X14" s="88"/>
      <c r="Y14" s="70"/>
      <c r="Z14" s="85"/>
      <c r="AA14" s="86"/>
      <c r="AB14" s="86"/>
      <c r="AC14" s="87"/>
      <c r="AD14" s="88"/>
      <c r="AE14" s="88"/>
      <c r="AF14" s="88"/>
    </row>
    <row r="15" spans="1:32">
      <c r="A15" s="66"/>
      <c r="B15" s="89" t="str">
        <f>TEXT('Table '!AC7,"MMMM aaaa")</f>
        <v>janvier 2018</v>
      </c>
      <c r="C15" s="41">
        <f>JANVIER!G39</f>
        <v>0</v>
      </c>
      <c r="D15" s="42">
        <f>JANVIER!H40</f>
        <v>0</v>
      </c>
      <c r="E15" s="4"/>
      <c r="F15" s="5"/>
      <c r="G15" s="5"/>
      <c r="H15" s="5"/>
      <c r="I15" s="66"/>
      <c r="J15" s="89" t="str">
        <f>TEXT('Table '!AC6,"MMMM aaaa")</f>
        <v>janvier 2018</v>
      </c>
      <c r="K15" s="41">
        <f>JANVIER!O39</f>
        <v>0</v>
      </c>
      <c r="L15" s="42">
        <f>JANVIER!P40</f>
        <v>0</v>
      </c>
      <c r="M15" s="4"/>
      <c r="N15" s="5"/>
      <c r="O15" s="5"/>
      <c r="P15" s="5"/>
      <c r="Q15" s="90"/>
      <c r="R15" s="89" t="str">
        <f>TEXT('Table '!AC6,"MMMM aaaa")</f>
        <v>janvier 2018</v>
      </c>
      <c r="S15" s="41">
        <f>JANVIER!W39</f>
        <v>0</v>
      </c>
      <c r="T15" s="42">
        <f>JANVIER!X40</f>
        <v>0</v>
      </c>
      <c r="U15" s="4"/>
      <c r="V15" s="5"/>
      <c r="W15" s="5"/>
      <c r="X15" s="5"/>
      <c r="Y15" s="91"/>
      <c r="Z15" s="89" t="str">
        <f>TEXT('Table '!AC6,"MMMM aaaa")</f>
        <v>janvier 2018</v>
      </c>
      <c r="AA15" s="41">
        <f>JANVIER!AE39</f>
        <v>0</v>
      </c>
      <c r="AB15" s="42">
        <f>JANVIER!AF40</f>
        <v>0</v>
      </c>
      <c r="AC15" s="4"/>
      <c r="AD15" s="5"/>
      <c r="AE15" s="5"/>
      <c r="AF15" s="5"/>
    </row>
    <row r="16" spans="1:32">
      <c r="A16" s="66"/>
      <c r="B16" s="89" t="str">
        <f>TEXT('Table '!AD6,"MMMM aaaa")</f>
        <v>février 2018</v>
      </c>
      <c r="C16" s="3">
        <f>FEVRIER!G39</f>
        <v>0</v>
      </c>
      <c r="D16" s="42">
        <f>FEVRIER!H40</f>
        <v>0</v>
      </c>
      <c r="E16" s="4"/>
      <c r="F16" s="5"/>
      <c r="G16" s="5"/>
      <c r="H16" s="5"/>
      <c r="I16" s="66"/>
      <c r="J16" s="89" t="str">
        <f>TEXT('Table '!AD6,"MMMM aaaa")</f>
        <v>février 2018</v>
      </c>
      <c r="K16" s="3">
        <f>FEVRIER!O39</f>
        <v>0</v>
      </c>
      <c r="L16" s="42">
        <f>FEVRIER!P40</f>
        <v>0</v>
      </c>
      <c r="M16" s="4"/>
      <c r="N16" s="5"/>
      <c r="O16" s="5"/>
      <c r="P16" s="5"/>
      <c r="Q16" s="90"/>
      <c r="R16" s="89" t="str">
        <f>TEXT('Table '!AD6,"MMMM aaaa")</f>
        <v>février 2018</v>
      </c>
      <c r="S16" s="3">
        <f>FEVRIER!W39</f>
        <v>0</v>
      </c>
      <c r="T16" s="42">
        <f>FEVRIER!X40</f>
        <v>0</v>
      </c>
      <c r="U16" s="4"/>
      <c r="V16" s="5"/>
      <c r="W16" s="5"/>
      <c r="X16" s="5"/>
      <c r="Y16" s="91"/>
      <c r="Z16" s="89" t="str">
        <f>TEXT('Table '!AD6,"MMMM aaaa")</f>
        <v>février 2018</v>
      </c>
      <c r="AA16" s="3">
        <f>FEVRIER!AE39</f>
        <v>0</v>
      </c>
      <c r="AB16" s="42">
        <f>FEVRIER!AF40</f>
        <v>0</v>
      </c>
      <c r="AC16" s="4"/>
      <c r="AD16" s="5"/>
      <c r="AE16" s="5"/>
      <c r="AF16" s="5"/>
    </row>
    <row r="17" spans="1:32">
      <c r="A17" s="66"/>
      <c r="B17" s="89" t="str">
        <f>TEXT('Table '!AE6,"MMMM aaaa")</f>
        <v>mars 2018</v>
      </c>
      <c r="C17" s="3">
        <f>MARS!G39</f>
        <v>0</v>
      </c>
      <c r="D17" s="42">
        <f>MARS!H40</f>
        <v>0</v>
      </c>
      <c r="E17" s="4"/>
      <c r="F17" s="5"/>
      <c r="G17" s="5"/>
      <c r="H17" s="5"/>
      <c r="I17" s="66"/>
      <c r="J17" s="89" t="str">
        <f>TEXT('Table '!AE6,"MMMM aaaa")</f>
        <v>mars 2018</v>
      </c>
      <c r="K17" s="3">
        <f>MARS!O39</f>
        <v>0</v>
      </c>
      <c r="L17" s="42">
        <f>MARS!P40</f>
        <v>0</v>
      </c>
      <c r="M17" s="4"/>
      <c r="N17" s="5"/>
      <c r="O17" s="5"/>
      <c r="P17" s="5"/>
      <c r="Q17" s="90"/>
      <c r="R17" s="89" t="str">
        <f>TEXT('Table '!AE6,"MMMM aaaa")</f>
        <v>mars 2018</v>
      </c>
      <c r="S17" s="3">
        <f>MARS!W39</f>
        <v>0</v>
      </c>
      <c r="T17" s="42">
        <f>MARS!X40</f>
        <v>0</v>
      </c>
      <c r="U17" s="4"/>
      <c r="V17" s="5"/>
      <c r="W17" s="5"/>
      <c r="X17" s="5"/>
      <c r="Y17" s="91"/>
      <c r="Z17" s="89" t="str">
        <f>TEXT('Table '!AE6,"MMMM aaaa")</f>
        <v>mars 2018</v>
      </c>
      <c r="AA17" s="3">
        <f>MARS!AE39</f>
        <v>0</v>
      </c>
      <c r="AB17" s="42">
        <f>MARS!AF40</f>
        <v>0</v>
      </c>
      <c r="AC17" s="4"/>
      <c r="AD17" s="5"/>
      <c r="AE17" s="5"/>
      <c r="AF17" s="5"/>
    </row>
    <row r="18" spans="1:32">
      <c r="A18" s="66"/>
      <c r="B18" s="89" t="str">
        <f>TEXT('Table '!AF6,"MMMM aaaa")</f>
        <v>avril 2018</v>
      </c>
      <c r="C18" s="3">
        <f>AVRIL!G39</f>
        <v>0</v>
      </c>
      <c r="D18" s="42">
        <f>AVRIL!H40</f>
        <v>0</v>
      </c>
      <c r="E18" s="4"/>
      <c r="F18" s="5"/>
      <c r="G18" s="5"/>
      <c r="H18" s="5"/>
      <c r="I18" s="66"/>
      <c r="J18" s="89" t="str">
        <f>TEXT('Table '!AF6,"MMMM aaaa")</f>
        <v>avril 2018</v>
      </c>
      <c r="K18" s="3">
        <f>AVRIL!O39</f>
        <v>0</v>
      </c>
      <c r="L18" s="42">
        <f>AVRIL!P40</f>
        <v>0</v>
      </c>
      <c r="M18" s="4"/>
      <c r="N18" s="5"/>
      <c r="O18" s="5"/>
      <c r="P18" s="5"/>
      <c r="Q18" s="90"/>
      <c r="R18" s="89" t="str">
        <f>TEXT('Table '!AF6,"MMMM aaaa")</f>
        <v>avril 2018</v>
      </c>
      <c r="S18" s="3">
        <f>AVRIL!W39</f>
        <v>0</v>
      </c>
      <c r="T18" s="42">
        <f>AVRIL!X40</f>
        <v>0</v>
      </c>
      <c r="U18" s="4"/>
      <c r="V18" s="5"/>
      <c r="W18" s="5"/>
      <c r="X18" s="5"/>
      <c r="Y18" s="91"/>
      <c r="Z18" s="89" t="str">
        <f>TEXT('Table '!AF6,"MMMM aaaa")</f>
        <v>avril 2018</v>
      </c>
      <c r="AA18" s="3">
        <f>AVRIL!AE39</f>
        <v>0</v>
      </c>
      <c r="AB18" s="42">
        <f>AVRIL!AF40</f>
        <v>0</v>
      </c>
      <c r="AC18" s="4"/>
      <c r="AD18" s="5"/>
      <c r="AE18" s="5"/>
      <c r="AF18" s="5"/>
    </row>
    <row r="19" spans="1:32">
      <c r="A19" s="66"/>
      <c r="B19" s="89" t="str">
        <f>TEXT('Table '!AG6,"MMMM aaaa")</f>
        <v>mai 2018</v>
      </c>
      <c r="C19" s="3">
        <f>MAI!G39</f>
        <v>0</v>
      </c>
      <c r="D19" s="42">
        <f>MAI!H40</f>
        <v>0</v>
      </c>
      <c r="E19" s="4"/>
      <c r="F19" s="5"/>
      <c r="G19" s="5"/>
      <c r="H19" s="5"/>
      <c r="I19" s="66"/>
      <c r="J19" s="89" t="str">
        <f>TEXT('Table '!AG6,"MMMM aaaa")</f>
        <v>mai 2018</v>
      </c>
      <c r="K19" s="3">
        <f>MAI!O39</f>
        <v>0</v>
      </c>
      <c r="L19" s="42">
        <f>MAI!P40</f>
        <v>0</v>
      </c>
      <c r="M19" s="4"/>
      <c r="N19" s="5"/>
      <c r="O19" s="5"/>
      <c r="P19" s="5"/>
      <c r="Q19" s="90"/>
      <c r="R19" s="89" t="str">
        <f>TEXT('Table '!AG6,"MMMM aaaa")</f>
        <v>mai 2018</v>
      </c>
      <c r="S19" s="3">
        <f>MAI!W39</f>
        <v>0</v>
      </c>
      <c r="T19" s="42">
        <f>MAI!X40</f>
        <v>0</v>
      </c>
      <c r="U19" s="4"/>
      <c r="V19" s="5"/>
      <c r="W19" s="5"/>
      <c r="X19" s="5"/>
      <c r="Y19" s="91"/>
      <c r="Z19" s="89" t="str">
        <f>TEXT('Table '!AG6,"MMMM aaaa")</f>
        <v>mai 2018</v>
      </c>
      <c r="AA19" s="3">
        <f>MAI!AE39</f>
        <v>0</v>
      </c>
      <c r="AB19" s="42">
        <f>MAI!AF40</f>
        <v>0</v>
      </c>
      <c r="AC19" s="4"/>
      <c r="AD19" s="5"/>
      <c r="AE19" s="5"/>
      <c r="AF19" s="5"/>
    </row>
    <row r="20" spans="1:32">
      <c r="A20" s="66"/>
      <c r="B20" s="89" t="str">
        <f>TEXT('Table '!AH6,"MMMM aaaa")</f>
        <v>juin 2018</v>
      </c>
      <c r="C20" s="3">
        <f>JUIN!G39</f>
        <v>0</v>
      </c>
      <c r="D20" s="42">
        <f>JUIN!H40</f>
        <v>0</v>
      </c>
      <c r="E20" s="4"/>
      <c r="F20" s="5"/>
      <c r="G20" s="5"/>
      <c r="H20" s="5"/>
      <c r="I20" s="66"/>
      <c r="J20" s="89" t="str">
        <f>TEXT('Table '!AH6,"MMMM aaaa")</f>
        <v>juin 2018</v>
      </c>
      <c r="K20" s="3">
        <f>JUIN!O39</f>
        <v>0</v>
      </c>
      <c r="L20" s="42">
        <f>JUIN!P40</f>
        <v>0</v>
      </c>
      <c r="M20" s="4"/>
      <c r="N20" s="5"/>
      <c r="O20" s="5"/>
      <c r="P20" s="5"/>
      <c r="Q20" s="90"/>
      <c r="R20" s="89" t="str">
        <f>TEXT('Table '!AH6,"MMMM aaaa")</f>
        <v>juin 2018</v>
      </c>
      <c r="S20" s="3">
        <f>JUIN!W39</f>
        <v>0</v>
      </c>
      <c r="T20" s="42">
        <f>JUIN!X40</f>
        <v>0</v>
      </c>
      <c r="U20" s="4"/>
      <c r="V20" s="5"/>
      <c r="W20" s="5"/>
      <c r="X20" s="5"/>
      <c r="Y20" s="91"/>
      <c r="Z20" s="89" t="str">
        <f>TEXT('Table '!AH6,"MMMM aaaa")</f>
        <v>juin 2018</v>
      </c>
      <c r="AA20" s="3">
        <f>JUIN!AE39</f>
        <v>0</v>
      </c>
      <c r="AB20" s="42">
        <f>JUIN!AF40</f>
        <v>0</v>
      </c>
      <c r="AC20" s="4"/>
      <c r="AD20" s="5"/>
      <c r="AE20" s="5"/>
      <c r="AF20" s="5"/>
    </row>
    <row r="21" spans="1:32">
      <c r="A21" s="66"/>
      <c r="B21" s="89" t="str">
        <f>TEXT('Table '!AI6,"MMMM aaaa")</f>
        <v>juillet 2018</v>
      </c>
      <c r="C21" s="3">
        <f>JUILLET!G39</f>
        <v>0</v>
      </c>
      <c r="D21" s="42">
        <f>JUILLET!H40</f>
        <v>0</v>
      </c>
      <c r="E21" s="4"/>
      <c r="F21" s="5"/>
      <c r="G21" s="5"/>
      <c r="H21" s="5"/>
      <c r="I21" s="66"/>
      <c r="J21" s="89" t="str">
        <f>TEXT('Table '!AI6,"MMMM aaaa")</f>
        <v>juillet 2018</v>
      </c>
      <c r="K21" s="3">
        <f>JUILLET!O39</f>
        <v>0</v>
      </c>
      <c r="L21" s="42">
        <f>JUILLET!P40</f>
        <v>0</v>
      </c>
      <c r="M21" s="4"/>
      <c r="N21" s="5"/>
      <c r="O21" s="5"/>
      <c r="P21" s="5"/>
      <c r="Q21" s="90"/>
      <c r="R21" s="89" t="str">
        <f>TEXT('Table '!AI6,"MMMM aaaa")</f>
        <v>juillet 2018</v>
      </c>
      <c r="S21" s="3">
        <f>JUILLET!W39</f>
        <v>0</v>
      </c>
      <c r="T21" s="42">
        <f>JUILLET!X40</f>
        <v>0</v>
      </c>
      <c r="U21" s="4"/>
      <c r="V21" s="5"/>
      <c r="W21" s="5"/>
      <c r="X21" s="5"/>
      <c r="Y21" s="91"/>
      <c r="Z21" s="89" t="str">
        <f>TEXT('Table '!AI6,"MMMM aaaa")</f>
        <v>juillet 2018</v>
      </c>
      <c r="AA21" s="3">
        <f>JUILLET!AE39</f>
        <v>0</v>
      </c>
      <c r="AB21" s="42">
        <f>JUILLET!AF40</f>
        <v>0</v>
      </c>
      <c r="AC21" s="4"/>
      <c r="AD21" s="5"/>
      <c r="AE21" s="5"/>
      <c r="AF21" s="5"/>
    </row>
    <row r="22" spans="1:32">
      <c r="A22" s="66"/>
      <c r="B22" s="89" t="str">
        <f>TEXT('Table '!AJ6,"MMMM aaaa")</f>
        <v>août 2018</v>
      </c>
      <c r="C22" s="3">
        <f>AOUT!G39</f>
        <v>0</v>
      </c>
      <c r="D22" s="42">
        <f>AOUT!H40</f>
        <v>0</v>
      </c>
      <c r="E22" s="4"/>
      <c r="F22" s="5"/>
      <c r="G22" s="5"/>
      <c r="H22" s="5"/>
      <c r="I22" s="66"/>
      <c r="J22" s="89" t="str">
        <f>TEXT('Table '!AJ6,"MMMM aaaa")</f>
        <v>août 2018</v>
      </c>
      <c r="K22" s="3">
        <f>AOUT!O39</f>
        <v>0</v>
      </c>
      <c r="L22" s="42">
        <f>AOUT!P40</f>
        <v>0</v>
      </c>
      <c r="M22" s="4"/>
      <c r="N22" s="5"/>
      <c r="O22" s="5"/>
      <c r="P22" s="5"/>
      <c r="Q22" s="90"/>
      <c r="R22" s="89" t="str">
        <f>TEXT('Table '!AJ6,"MMMM aaaa")</f>
        <v>août 2018</v>
      </c>
      <c r="S22" s="3">
        <f>AOUT!W39</f>
        <v>0</v>
      </c>
      <c r="T22" s="42">
        <f>AOUT!X40</f>
        <v>0</v>
      </c>
      <c r="U22" s="4"/>
      <c r="V22" s="5"/>
      <c r="W22" s="5"/>
      <c r="X22" s="5"/>
      <c r="Y22" s="91"/>
      <c r="Z22" s="89" t="str">
        <f>TEXT('Table '!AJ6,"MMMM aaaa")</f>
        <v>août 2018</v>
      </c>
      <c r="AA22" s="3">
        <f>AOUT!AE39</f>
        <v>0</v>
      </c>
      <c r="AB22" s="42">
        <f>AOUT!AF40</f>
        <v>0</v>
      </c>
      <c r="AC22" s="4"/>
      <c r="AD22" s="5"/>
      <c r="AE22" s="5"/>
      <c r="AF22" s="5"/>
    </row>
    <row r="23" spans="1:32">
      <c r="A23" s="66"/>
      <c r="B23" s="89" t="str">
        <f>TEXT('Table '!AK6,"MMMM aaaa")</f>
        <v>septembre 2018</v>
      </c>
      <c r="C23" s="3">
        <f>SEPTEMBRE!G39</f>
        <v>0</v>
      </c>
      <c r="D23" s="42">
        <f>SEPTEMBRE!H40</f>
        <v>0</v>
      </c>
      <c r="E23" s="4"/>
      <c r="F23" s="5"/>
      <c r="G23" s="5"/>
      <c r="H23" s="5"/>
      <c r="I23" s="66"/>
      <c r="J23" s="89" t="str">
        <f>TEXT('Table '!AK6,"MMMM aaaa")</f>
        <v>septembre 2018</v>
      </c>
      <c r="K23" s="3">
        <f>SEPTEMBRE!O39</f>
        <v>0</v>
      </c>
      <c r="L23" s="42">
        <f>SEPTEMBRE!P40</f>
        <v>0</v>
      </c>
      <c r="M23" s="4"/>
      <c r="N23" s="5"/>
      <c r="O23" s="5"/>
      <c r="P23" s="5"/>
      <c r="Q23" s="90"/>
      <c r="R23" s="89" t="str">
        <f>TEXT('Table '!AK6,"MMMM aaaa")</f>
        <v>septembre 2018</v>
      </c>
      <c r="S23" s="41">
        <f>SEPTEMBRE!W39</f>
        <v>0</v>
      </c>
      <c r="T23" s="42">
        <f>SEPTEMBRE!X40</f>
        <v>0</v>
      </c>
      <c r="U23" s="4"/>
      <c r="V23" s="5"/>
      <c r="W23" s="5"/>
      <c r="X23" s="5"/>
      <c r="Y23" s="91"/>
      <c r="Z23" s="89" t="str">
        <f>TEXT('Table '!AK6,"MMMM aaaa")</f>
        <v>septembre 2018</v>
      </c>
      <c r="AA23" s="41">
        <f>SEPTEMBRE!AE39</f>
        <v>0</v>
      </c>
      <c r="AB23" s="42">
        <f>SEPTEMBRE!AF40</f>
        <v>0</v>
      </c>
      <c r="AC23" s="4"/>
      <c r="AD23" s="5"/>
      <c r="AE23" s="5"/>
      <c r="AF23" s="5"/>
    </row>
    <row r="24" spans="1:32">
      <c r="A24" s="66"/>
      <c r="B24" s="89" t="str">
        <f>TEXT('Table '!AL6,"MMMM aaaa")</f>
        <v>octobre 2018</v>
      </c>
      <c r="C24" s="3">
        <f>OCTOBRE!G39</f>
        <v>0</v>
      </c>
      <c r="D24" s="42">
        <f>OCTOBRE!H40</f>
        <v>0</v>
      </c>
      <c r="E24" s="4"/>
      <c r="F24" s="5"/>
      <c r="G24" s="5"/>
      <c r="H24" s="5"/>
      <c r="I24" s="66"/>
      <c r="J24" s="89" t="str">
        <f>TEXT('Table '!AL6,"MMMM aaaa")</f>
        <v>octobre 2018</v>
      </c>
      <c r="K24" s="3">
        <f>OCTOBRE!O39</f>
        <v>0</v>
      </c>
      <c r="L24" s="42">
        <f>OCTOBRE!P40</f>
        <v>0</v>
      </c>
      <c r="M24" s="4"/>
      <c r="N24" s="5"/>
      <c r="O24" s="5"/>
      <c r="P24" s="5"/>
      <c r="Q24" s="90"/>
      <c r="R24" s="89" t="str">
        <f>TEXT('Table '!AL6,"MMMM aaaa")</f>
        <v>octobre 2018</v>
      </c>
      <c r="S24" s="41">
        <f>OCTOBRE!W39</f>
        <v>0</v>
      </c>
      <c r="T24" s="42">
        <f>OCTOBRE!X40</f>
        <v>0</v>
      </c>
      <c r="U24" s="4"/>
      <c r="V24" s="5"/>
      <c r="W24" s="5"/>
      <c r="X24" s="5"/>
      <c r="Y24" s="91"/>
      <c r="Z24" s="89" t="str">
        <f>TEXT('Table '!AL6,"MMMM aaaa")</f>
        <v>octobre 2018</v>
      </c>
      <c r="AA24" s="41">
        <f>OCTOBRE!AE39</f>
        <v>0</v>
      </c>
      <c r="AB24" s="42">
        <f>OCTOBRE!AF40</f>
        <v>0</v>
      </c>
      <c r="AC24" s="4"/>
      <c r="AD24" s="5"/>
      <c r="AE24" s="5"/>
      <c r="AF24" s="5"/>
    </row>
    <row r="25" spans="1:32">
      <c r="A25" s="66"/>
      <c r="B25" s="89" t="str">
        <f>TEXT('Table '!AM6,"MMMM aaaa")</f>
        <v>novembre 2018</v>
      </c>
      <c r="C25" s="3">
        <f>NOVEMBRE!G39</f>
        <v>0</v>
      </c>
      <c r="D25" s="42">
        <f>NOVEMBRE!H40</f>
        <v>0</v>
      </c>
      <c r="E25" s="4"/>
      <c r="F25" s="5"/>
      <c r="G25" s="5"/>
      <c r="H25" s="5"/>
      <c r="I25" s="66"/>
      <c r="J25" s="89" t="str">
        <f>TEXT('Table '!AM6,"MMMM aaaa")</f>
        <v>novembre 2018</v>
      </c>
      <c r="K25" s="3">
        <f>NOVEMBRE!O39</f>
        <v>0</v>
      </c>
      <c r="L25" s="42">
        <f>NOVEMBRE!P40</f>
        <v>0</v>
      </c>
      <c r="M25" s="4"/>
      <c r="N25" s="5"/>
      <c r="O25" s="5"/>
      <c r="P25" s="5"/>
      <c r="Q25" s="90"/>
      <c r="R25" s="89" t="str">
        <f>TEXT('Table '!AM6,"MMMM aaaa")</f>
        <v>novembre 2018</v>
      </c>
      <c r="S25" s="41">
        <f>NOVEMBRE!W39</f>
        <v>0</v>
      </c>
      <c r="T25" s="42">
        <f>NOVEMBRE!X40</f>
        <v>0</v>
      </c>
      <c r="U25" s="4"/>
      <c r="V25" s="5"/>
      <c r="W25" s="5"/>
      <c r="X25" s="5"/>
      <c r="Y25" s="91"/>
      <c r="Z25" s="89" t="str">
        <f>TEXT('Table '!AM6,"MMMM aaaa")</f>
        <v>novembre 2018</v>
      </c>
      <c r="AA25" s="41">
        <f>NOVEMBRE!AE39</f>
        <v>0</v>
      </c>
      <c r="AB25" s="42">
        <f>NOVEMBRE!AF40</f>
        <v>0</v>
      </c>
      <c r="AC25" s="4"/>
      <c r="AD25" s="5"/>
      <c r="AE25" s="5"/>
      <c r="AF25" s="5"/>
    </row>
    <row r="26" spans="1:32">
      <c r="A26" s="66"/>
      <c r="B26" s="89" t="str">
        <f>TEXT('Table '!AN6,"MMMM aaaa")</f>
        <v>décembre 2018</v>
      </c>
      <c r="C26" s="3">
        <f>DECEMBRE!G39</f>
        <v>0</v>
      </c>
      <c r="D26" s="42">
        <f>DECEMBRE!H4</f>
        <v>0</v>
      </c>
      <c r="E26" s="4"/>
      <c r="F26" s="5"/>
      <c r="G26" s="5"/>
      <c r="H26" s="5"/>
      <c r="I26" s="66"/>
      <c r="J26" s="89" t="str">
        <f>TEXT('Table '!AN6,"MMMM aaaa")</f>
        <v>décembre 2018</v>
      </c>
      <c r="K26" s="3">
        <f>DECEMBRE!O39</f>
        <v>0</v>
      </c>
      <c r="L26" s="42">
        <f>DECEMBRE!P40</f>
        <v>0</v>
      </c>
      <c r="M26" s="4"/>
      <c r="N26" s="5"/>
      <c r="O26" s="5"/>
      <c r="P26" s="5"/>
      <c r="Q26" s="90"/>
      <c r="R26" s="89" t="str">
        <f>TEXT('Table '!AN6,"MMMM aaaa")</f>
        <v>décembre 2018</v>
      </c>
      <c r="S26" s="41">
        <f>DECEMBRE!W39</f>
        <v>0</v>
      </c>
      <c r="T26" s="42">
        <f>DECEMBRE!X40</f>
        <v>0</v>
      </c>
      <c r="U26" s="4"/>
      <c r="V26" s="5"/>
      <c r="W26" s="5"/>
      <c r="X26" s="5"/>
      <c r="Y26" s="91"/>
      <c r="Z26" s="89" t="str">
        <f>TEXT('Table '!AN6,"MMMM aaaa")</f>
        <v>décembre 2018</v>
      </c>
      <c r="AA26" s="41">
        <f>DECEMBRE!AE39</f>
        <v>0</v>
      </c>
      <c r="AB26" s="42">
        <f>DECEMBRE!AF40</f>
        <v>0</v>
      </c>
      <c r="AC26" s="4"/>
      <c r="AD26" s="5"/>
      <c r="AE26" s="5"/>
      <c r="AF26" s="5"/>
    </row>
    <row r="27" spans="1:32">
      <c r="A27" s="66"/>
      <c r="B27" s="75" t="s">
        <v>25</v>
      </c>
      <c r="C27" s="76">
        <f>SUM(C15:C26)+C9</f>
        <v>0</v>
      </c>
      <c r="D27" s="92">
        <f>SUM(D15:D26)+D9</f>
        <v>0</v>
      </c>
      <c r="E27" s="93">
        <f t="shared" ref="E27:H27" si="4">SUM(E15:E26)</f>
        <v>0</v>
      </c>
      <c r="F27" s="93">
        <f t="shared" si="4"/>
        <v>0</v>
      </c>
      <c r="G27" s="93">
        <f t="shared" si="4"/>
        <v>0</v>
      </c>
      <c r="H27" s="93">
        <f t="shared" si="4"/>
        <v>0</v>
      </c>
      <c r="I27" s="66"/>
      <c r="J27" s="75" t="s">
        <v>25</v>
      </c>
      <c r="K27" s="76">
        <f>SUM(K15:K26)+K9</f>
        <v>0</v>
      </c>
      <c r="L27" s="94">
        <f>SUM(L15:L26)+L9</f>
        <v>0</v>
      </c>
      <c r="M27" s="93">
        <f t="shared" ref="M27:P27" si="5">SUM(M15:M26)</f>
        <v>0</v>
      </c>
      <c r="N27" s="93">
        <f t="shared" si="5"/>
        <v>0</v>
      </c>
      <c r="O27" s="93">
        <f t="shared" si="5"/>
        <v>0</v>
      </c>
      <c r="P27" s="93">
        <f t="shared" si="5"/>
        <v>0</v>
      </c>
      <c r="Q27" s="95"/>
      <c r="R27" s="75" t="s">
        <v>25</v>
      </c>
      <c r="S27" s="76">
        <f>SUM(S15:S26)+S9</f>
        <v>0</v>
      </c>
      <c r="T27" s="94">
        <f>SUM(T15:T26)+T9</f>
        <v>0</v>
      </c>
      <c r="U27" s="93">
        <f t="shared" ref="U27:X27" si="6">SUM(U15:U26)</f>
        <v>0</v>
      </c>
      <c r="V27" s="93">
        <f t="shared" si="6"/>
        <v>0</v>
      </c>
      <c r="W27" s="93">
        <f t="shared" si="6"/>
        <v>0</v>
      </c>
      <c r="X27" s="93">
        <f t="shared" si="6"/>
        <v>0</v>
      </c>
      <c r="Y27" s="96"/>
      <c r="Z27" s="75" t="s">
        <v>25</v>
      </c>
      <c r="AA27" s="76">
        <f>SUM(AA15:AA26)+AA9</f>
        <v>0</v>
      </c>
      <c r="AB27" s="94">
        <f>SUM(AB15:AB26)+AB9</f>
        <v>0</v>
      </c>
      <c r="AC27" s="93">
        <f t="shared" ref="AC27:AF27" si="7">SUM(AC15:AC26)</f>
        <v>0</v>
      </c>
      <c r="AD27" s="93">
        <f t="shared" si="7"/>
        <v>0</v>
      </c>
      <c r="AE27" s="93">
        <f t="shared" si="7"/>
        <v>0</v>
      </c>
      <c r="AF27" s="93">
        <f t="shared" si="7"/>
        <v>0</v>
      </c>
    </row>
    <row r="28" spans="1:32">
      <c r="A28" s="66"/>
      <c r="B28" s="315" t="s">
        <v>21</v>
      </c>
      <c r="C28" s="317"/>
      <c r="D28" s="80">
        <f>ROUND(D27,0)/8</f>
        <v>0</v>
      </c>
      <c r="E28" s="91"/>
      <c r="F28" s="91"/>
      <c r="G28" s="91"/>
      <c r="H28" s="91"/>
      <c r="I28" s="66"/>
      <c r="J28" s="315" t="s">
        <v>21</v>
      </c>
      <c r="K28" s="317"/>
      <c r="L28" s="80">
        <f>ROUND(L27,0)/8</f>
        <v>0</v>
      </c>
      <c r="M28" s="91"/>
      <c r="N28" s="91"/>
      <c r="O28" s="91"/>
      <c r="P28" s="91"/>
      <c r="Q28" s="91"/>
      <c r="R28" s="315" t="s">
        <v>21</v>
      </c>
      <c r="S28" s="317"/>
      <c r="T28" s="80">
        <f>ROUND(T27,0)/8</f>
        <v>0</v>
      </c>
      <c r="U28" s="91"/>
      <c r="V28" s="91"/>
      <c r="W28" s="91"/>
      <c r="X28" s="91"/>
      <c r="Y28" s="97"/>
      <c r="Z28" s="315" t="s">
        <v>21</v>
      </c>
      <c r="AA28" s="317"/>
      <c r="AB28" s="80">
        <f>ROUND(AB27,0)/8</f>
        <v>0</v>
      </c>
      <c r="AC28" s="91"/>
      <c r="AD28" s="91"/>
      <c r="AE28" s="91"/>
      <c r="AF28" s="91"/>
    </row>
    <row r="29" spans="1:32" ht="15">
      <c r="A29" s="66"/>
      <c r="B29" s="326" t="s">
        <v>22</v>
      </c>
      <c r="C29" s="327"/>
      <c r="D29" s="80">
        <f>D28+C27</f>
        <v>0</v>
      </c>
      <c r="E29" s="91"/>
      <c r="F29" s="91"/>
      <c r="G29" s="91"/>
      <c r="H29" s="91"/>
      <c r="I29" s="66"/>
      <c r="J29" s="326" t="s">
        <v>22</v>
      </c>
      <c r="K29" s="327"/>
      <c r="L29" s="80">
        <f>K27+L28</f>
        <v>0</v>
      </c>
      <c r="M29" s="98"/>
      <c r="N29" s="91"/>
      <c r="O29" s="91"/>
      <c r="P29" s="91"/>
      <c r="Q29" s="91"/>
      <c r="R29" s="326" t="s">
        <v>22</v>
      </c>
      <c r="S29" s="327"/>
      <c r="T29" s="80">
        <f>T28+S27</f>
        <v>0</v>
      </c>
      <c r="U29" s="91"/>
      <c r="V29" s="91"/>
      <c r="W29" s="91"/>
      <c r="X29" s="91"/>
      <c r="Y29" s="66"/>
      <c r="Z29" s="326" t="s">
        <v>22</v>
      </c>
      <c r="AA29" s="327"/>
      <c r="AB29" s="80">
        <f>AB28+AA27</f>
        <v>0</v>
      </c>
      <c r="AC29" s="91"/>
      <c r="AD29" s="91"/>
      <c r="AE29" s="91"/>
      <c r="AF29" s="91"/>
    </row>
    <row r="30" spans="1:32">
      <c r="A30" s="66"/>
      <c r="B30" s="3" t="s">
        <v>23</v>
      </c>
      <c r="C30" s="324">
        <f>'Table '!D9</f>
        <v>9.76</v>
      </c>
      <c r="D30" s="325"/>
      <c r="E30" s="91"/>
      <c r="F30" s="99">
        <f>F9+F27</f>
        <v>0</v>
      </c>
      <c r="G30" s="99">
        <f>G9+G27</f>
        <v>0</v>
      </c>
      <c r="H30" s="99">
        <f>H9+H27</f>
        <v>0</v>
      </c>
      <c r="I30" s="66"/>
      <c r="J30" s="3" t="s">
        <v>23</v>
      </c>
      <c r="K30" s="324">
        <f>'Table '!D9</f>
        <v>9.76</v>
      </c>
      <c r="L30" s="325"/>
      <c r="M30" s="91"/>
      <c r="N30" s="99">
        <f>N9+N27</f>
        <v>0</v>
      </c>
      <c r="O30" s="99">
        <f>O9+O27</f>
        <v>0</v>
      </c>
      <c r="P30" s="99">
        <f>P9+P27</f>
        <v>0</v>
      </c>
      <c r="Q30" s="100"/>
      <c r="R30" s="3" t="s">
        <v>23</v>
      </c>
      <c r="S30" s="324">
        <f>'Table '!D9</f>
        <v>9.76</v>
      </c>
      <c r="T30" s="325"/>
      <c r="U30" s="91"/>
      <c r="V30" s="99">
        <f>V9+V27</f>
        <v>0</v>
      </c>
      <c r="W30" s="99">
        <f>W9+W27</f>
        <v>0</v>
      </c>
      <c r="X30" s="99">
        <f>X9+X27</f>
        <v>0</v>
      </c>
      <c r="Y30" s="101"/>
      <c r="Z30" s="3" t="s">
        <v>23</v>
      </c>
      <c r="AA30" s="324">
        <f>'Table '!D9</f>
        <v>9.76</v>
      </c>
      <c r="AB30" s="325"/>
      <c r="AC30" s="91"/>
      <c r="AD30" s="99">
        <f>AD9+AD27</f>
        <v>0</v>
      </c>
      <c r="AE30" s="99">
        <f>AE9+AE27</f>
        <v>0</v>
      </c>
      <c r="AF30" s="99">
        <f>AF9+AF27</f>
        <v>0</v>
      </c>
    </row>
    <row r="31" spans="1:32">
      <c r="A31" s="66"/>
      <c r="B31" s="3" t="s">
        <v>24</v>
      </c>
      <c r="C31" s="83">
        <f>D29*(3*C30)</f>
        <v>0</v>
      </c>
      <c r="D31" s="84"/>
      <c r="E31" s="91"/>
      <c r="F31" s="91"/>
      <c r="G31" s="91"/>
      <c r="H31" s="91"/>
      <c r="I31" s="66"/>
      <c r="J31" s="3" t="s">
        <v>24</v>
      </c>
      <c r="K31" s="83">
        <f>L29*(3*K30)</f>
        <v>0</v>
      </c>
      <c r="L31" s="84"/>
      <c r="M31" s="91"/>
      <c r="N31" s="91"/>
      <c r="O31" s="91"/>
      <c r="P31" s="91"/>
      <c r="Q31" s="91"/>
      <c r="R31" s="3" t="s">
        <v>24</v>
      </c>
      <c r="S31" s="83">
        <f>T29*(3*S30)</f>
        <v>0</v>
      </c>
      <c r="T31" s="84"/>
      <c r="U31" s="91"/>
      <c r="V31" s="91"/>
      <c r="W31" s="91"/>
      <c r="X31" s="91"/>
      <c r="Y31" s="101"/>
      <c r="Z31" s="3" t="s">
        <v>24</v>
      </c>
      <c r="AA31" s="83">
        <f>AB29*(3*AA30)</f>
        <v>0</v>
      </c>
      <c r="AB31" s="84"/>
      <c r="AC31" s="91"/>
      <c r="AD31" s="91"/>
      <c r="AE31" s="91"/>
      <c r="AF31" s="91"/>
    </row>
    <row r="32" spans="1:32" ht="8.25" customHeight="1">
      <c r="A32" s="66"/>
      <c r="B32" s="91"/>
      <c r="C32" s="102"/>
      <c r="D32" s="103"/>
      <c r="E32" s="91"/>
      <c r="F32" s="91"/>
      <c r="G32" s="91"/>
      <c r="H32" s="91"/>
      <c r="I32" s="66"/>
      <c r="J32" s="91"/>
      <c r="K32" s="102"/>
      <c r="L32" s="103"/>
      <c r="M32" s="91"/>
      <c r="N32" s="91"/>
      <c r="O32" s="91"/>
      <c r="P32" s="91"/>
      <c r="Q32" s="91"/>
      <c r="R32" s="91"/>
      <c r="S32" s="102"/>
      <c r="T32" s="103"/>
      <c r="U32" s="91"/>
      <c r="V32" s="91"/>
      <c r="W32" s="91"/>
      <c r="X32" s="91"/>
      <c r="Y32" s="101"/>
      <c r="Z32" s="91"/>
      <c r="AA32" s="102"/>
      <c r="AB32" s="103"/>
      <c r="AC32" s="91"/>
      <c r="AD32" s="91"/>
      <c r="AE32" s="91"/>
      <c r="AF32" s="91"/>
    </row>
    <row r="33" spans="1:32">
      <c r="A33" s="66"/>
      <c r="B33" s="3" t="s">
        <v>26</v>
      </c>
      <c r="C33" s="104">
        <f>C13+C31</f>
        <v>0</v>
      </c>
      <c r="D33" s="105"/>
      <c r="E33" s="93">
        <f>E9+E27</f>
        <v>0</v>
      </c>
      <c r="F33" s="328">
        <f>F30+G30+H30</f>
        <v>0</v>
      </c>
      <c r="G33" s="329"/>
      <c r="H33" s="330"/>
      <c r="I33" s="66"/>
      <c r="J33" s="3" t="s">
        <v>26</v>
      </c>
      <c r="K33" s="104">
        <f>K13+K31</f>
        <v>0</v>
      </c>
      <c r="L33" s="105"/>
      <c r="M33" s="93">
        <f>M9+M27</f>
        <v>0</v>
      </c>
      <c r="N33" s="328">
        <f>N30+O30+P30</f>
        <v>0</v>
      </c>
      <c r="O33" s="329"/>
      <c r="P33" s="330"/>
      <c r="Q33" s="106"/>
      <c r="R33" s="3" t="s">
        <v>26</v>
      </c>
      <c r="S33" s="104">
        <f>S13+S31</f>
        <v>0</v>
      </c>
      <c r="T33" s="105"/>
      <c r="U33" s="93">
        <f>U9+U27</f>
        <v>0</v>
      </c>
      <c r="V33" s="328">
        <f>V30+W30+X30</f>
        <v>0</v>
      </c>
      <c r="W33" s="329"/>
      <c r="X33" s="330"/>
      <c r="Y33" s="96"/>
      <c r="Z33" s="3" t="s">
        <v>26</v>
      </c>
      <c r="AA33" s="104">
        <f>AA13+AA31</f>
        <v>0</v>
      </c>
      <c r="AB33" s="105"/>
      <c r="AC33" s="93">
        <f>AC9+AC27</f>
        <v>0</v>
      </c>
      <c r="AD33" s="328">
        <f>AD30+AE30+AF30</f>
        <v>0</v>
      </c>
      <c r="AE33" s="329"/>
      <c r="AF33" s="330"/>
    </row>
    <row r="34" spans="1:32" ht="12" customHeight="1">
      <c r="A34" s="66"/>
      <c r="B34" s="91"/>
      <c r="C34" s="102"/>
      <c r="D34" s="103"/>
      <c r="E34" s="91"/>
      <c r="F34" s="91"/>
      <c r="G34" s="91"/>
      <c r="H34" s="91"/>
      <c r="I34" s="66"/>
      <c r="J34" s="91"/>
      <c r="K34" s="102"/>
      <c r="L34" s="103"/>
      <c r="M34" s="66"/>
      <c r="N34" s="66"/>
      <c r="O34" s="66"/>
      <c r="P34" s="66"/>
      <c r="Q34" s="66"/>
      <c r="R34" s="91"/>
      <c r="S34" s="102"/>
      <c r="T34" s="103"/>
      <c r="U34" s="91"/>
      <c r="V34" s="91"/>
      <c r="W34" s="91"/>
      <c r="X34" s="91"/>
      <c r="Y34" s="101"/>
      <c r="Z34" s="91"/>
      <c r="AA34" s="102"/>
      <c r="AB34" s="103"/>
      <c r="AC34" s="66"/>
      <c r="AD34" s="66"/>
      <c r="AE34" s="66"/>
      <c r="AF34" s="66"/>
    </row>
    <row r="35" spans="1:32" ht="18.75" customHeight="1">
      <c r="A35" s="66"/>
      <c r="B35" s="107"/>
      <c r="C35" s="66"/>
      <c r="D35" s="108"/>
      <c r="E35" s="108"/>
      <c r="F35" s="66"/>
      <c r="G35" s="66"/>
      <c r="H35" s="66"/>
      <c r="I35" s="66"/>
      <c r="J35" s="109"/>
      <c r="K35" s="66"/>
      <c r="L35" s="108"/>
      <c r="M35" s="108"/>
      <c r="N35" s="66"/>
      <c r="O35" s="66"/>
      <c r="P35" s="66"/>
      <c r="Q35" s="66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</row>
    <row r="36" spans="1:32" ht="17.25" customHeight="1">
      <c r="A36" s="66"/>
      <c r="B36" s="66"/>
      <c r="C36" s="66"/>
      <c r="D36" s="66"/>
      <c r="E36" s="66"/>
      <c r="F36" s="66"/>
      <c r="G36" s="66"/>
      <c r="H36" s="66"/>
      <c r="I36" s="66"/>
      <c r="J36" s="336" t="s">
        <v>32</v>
      </c>
      <c r="K36" s="336"/>
      <c r="L36" s="336"/>
      <c r="M36" s="337"/>
      <c r="N36" s="331">
        <f>E33+F33+M33+N33+U33+V33+AC33+AD33</f>
        <v>0</v>
      </c>
      <c r="O36" s="332"/>
      <c r="P36" s="66"/>
      <c r="Q36" s="66"/>
      <c r="R36" s="110"/>
      <c r="S36" s="91"/>
      <c r="T36" s="91"/>
      <c r="U36" s="91"/>
      <c r="V36" s="91"/>
      <c r="W36" s="91"/>
      <c r="X36" s="91"/>
      <c r="Y36" s="91"/>
      <c r="Z36" s="111"/>
      <c r="AA36" s="111"/>
      <c r="AB36" s="111"/>
      <c r="AC36" s="112"/>
      <c r="AD36" s="112"/>
      <c r="AE36" s="112"/>
      <c r="AF36" s="112"/>
    </row>
    <row r="37" spans="1:32" ht="4.5" customHeight="1">
      <c r="A37" s="66"/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113"/>
      <c r="O37" s="113"/>
      <c r="P37" s="114"/>
      <c r="Q37" s="114"/>
      <c r="R37" s="66"/>
      <c r="S37" s="114"/>
      <c r="T37" s="91"/>
      <c r="U37" s="91"/>
      <c r="V37" s="91"/>
      <c r="W37" s="91"/>
      <c r="X37" s="91"/>
      <c r="Y37" s="91"/>
      <c r="Z37" s="111"/>
      <c r="AA37" s="111"/>
      <c r="AB37" s="111"/>
      <c r="AC37" s="112"/>
      <c r="AD37" s="112"/>
      <c r="AE37" s="112"/>
      <c r="AF37" s="112"/>
    </row>
    <row r="38" spans="1:32" ht="19.5" customHeight="1">
      <c r="A38" s="66"/>
      <c r="B38" s="115" t="s">
        <v>27</v>
      </c>
      <c r="C38" s="66"/>
      <c r="D38" s="66"/>
      <c r="E38" s="66"/>
      <c r="F38" s="66"/>
      <c r="G38" s="116">
        <f>ROUND(E33+M33+U33+AC33,0)</f>
        <v>0</v>
      </c>
      <c r="H38" s="66"/>
      <c r="I38" s="66"/>
      <c r="J38" s="336" t="s">
        <v>33</v>
      </c>
      <c r="K38" s="336"/>
      <c r="L38" s="336"/>
      <c r="M38" s="337"/>
      <c r="N38" s="331">
        <f>C33+K33+S33+AA33</f>
        <v>0</v>
      </c>
      <c r="O38" s="332"/>
      <c r="P38" s="66"/>
      <c r="Q38" s="66"/>
      <c r="R38" s="66"/>
      <c r="S38" s="66"/>
      <c r="T38" s="66"/>
      <c r="U38" s="117"/>
      <c r="V38" s="117"/>
      <c r="W38" s="117"/>
      <c r="X38" s="91"/>
      <c r="Y38" s="91"/>
      <c r="Z38" s="111"/>
      <c r="AA38" s="111"/>
      <c r="AB38" s="111"/>
      <c r="AC38" s="112"/>
      <c r="AD38" s="112"/>
      <c r="AE38" s="112"/>
      <c r="AF38" s="112"/>
    </row>
    <row r="39" spans="1:32" ht="9.75" customHeight="1" thickBot="1">
      <c r="A39" s="66"/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113"/>
      <c r="O39" s="113"/>
      <c r="P39" s="66"/>
      <c r="Q39" s="66"/>
      <c r="R39" s="91"/>
      <c r="S39" s="91"/>
      <c r="T39" s="91"/>
      <c r="U39" s="91"/>
      <c r="V39" s="91"/>
      <c r="W39" s="91"/>
      <c r="X39" s="91"/>
      <c r="Y39" s="91"/>
      <c r="Z39" s="111"/>
      <c r="AA39" s="111"/>
      <c r="AB39" s="111"/>
      <c r="AC39" s="112"/>
      <c r="AD39" s="112"/>
      <c r="AE39" s="112"/>
      <c r="AF39" s="112"/>
    </row>
    <row r="40" spans="1:32" ht="15" customHeight="1" thickBot="1">
      <c r="A40" s="66"/>
      <c r="B40" s="66"/>
      <c r="C40" s="118" t="s">
        <v>28</v>
      </c>
      <c r="D40" s="66"/>
      <c r="E40" s="66"/>
      <c r="F40" s="66"/>
      <c r="G40" s="119">
        <f>SUM(E33+M33+U33+AC33)</f>
        <v>0</v>
      </c>
      <c r="H40" s="66"/>
      <c r="I40" s="66"/>
      <c r="J40" s="115" t="s">
        <v>29</v>
      </c>
      <c r="K40" s="66"/>
      <c r="L40" s="66"/>
      <c r="M40" s="66"/>
      <c r="N40" s="333">
        <f>N36-N38</f>
        <v>0</v>
      </c>
      <c r="O40" s="334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111"/>
      <c r="AA40" s="111"/>
      <c r="AB40" s="111"/>
      <c r="AC40" s="112"/>
      <c r="AD40" s="112"/>
      <c r="AE40" s="112"/>
      <c r="AF40" s="112"/>
    </row>
    <row r="41" spans="1:32" ht="15" customHeight="1">
      <c r="A41" s="66"/>
      <c r="B41" s="66"/>
      <c r="C41" s="66"/>
      <c r="D41" s="66"/>
      <c r="E41" s="66"/>
      <c r="F41" s="66"/>
      <c r="G41" s="66"/>
      <c r="H41" s="66"/>
      <c r="I41" s="66"/>
      <c r="J41" s="115" t="s">
        <v>30</v>
      </c>
      <c r="K41" s="66"/>
      <c r="L41" s="335" t="s">
        <v>31</v>
      </c>
      <c r="M41" s="335"/>
      <c r="N41" s="335"/>
      <c r="O41" s="335"/>
      <c r="P41" s="335"/>
      <c r="Q41" s="120"/>
      <c r="R41" s="66"/>
      <c r="S41" s="66"/>
      <c r="T41" s="66"/>
      <c r="U41" s="66"/>
      <c r="V41" s="66"/>
      <c r="W41" s="66"/>
      <c r="X41" s="66"/>
      <c r="Y41" s="66"/>
      <c r="Z41" s="111"/>
      <c r="AA41" s="111"/>
      <c r="AB41" s="111"/>
      <c r="AC41" s="112"/>
      <c r="AD41" s="112"/>
      <c r="AE41" s="112"/>
      <c r="AF41" s="112"/>
    </row>
    <row r="42" spans="1:32" ht="15" customHeight="1">
      <c r="A42" s="66"/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335"/>
      <c r="M42" s="335"/>
      <c r="N42" s="335"/>
      <c r="O42" s="335"/>
      <c r="P42" s="335"/>
      <c r="Q42" s="120"/>
      <c r="R42" s="66"/>
      <c r="S42" s="66"/>
      <c r="T42" s="66"/>
      <c r="U42" s="66"/>
      <c r="V42" s="66"/>
      <c r="W42" s="66"/>
      <c r="X42" s="66"/>
      <c r="Y42" s="66"/>
      <c r="Z42" s="111"/>
      <c r="AA42" s="111"/>
      <c r="AB42" s="111"/>
      <c r="AC42" s="112"/>
      <c r="AD42" s="112"/>
      <c r="AE42" s="112"/>
      <c r="AF42" s="112"/>
    </row>
    <row r="43" spans="1:32">
      <c r="B43" s="38"/>
      <c r="C43" s="39"/>
      <c r="D43" s="40"/>
      <c r="E43" s="38"/>
      <c r="F43" s="38"/>
      <c r="G43" s="38"/>
      <c r="H43" s="38"/>
      <c r="J43" s="38"/>
      <c r="K43" s="39"/>
      <c r="L43" s="40"/>
      <c r="M43" s="38"/>
      <c r="N43" s="38"/>
      <c r="O43" s="38"/>
      <c r="P43" s="38"/>
      <c r="Q43" s="38"/>
      <c r="R43" s="38"/>
    </row>
    <row r="44" spans="1:32">
      <c r="J44" s="38"/>
      <c r="K44" s="38"/>
      <c r="L44" s="38"/>
      <c r="M44" s="38"/>
      <c r="N44" s="38"/>
      <c r="O44" s="38"/>
      <c r="P44" s="38"/>
      <c r="Q44" s="38"/>
    </row>
    <row r="45" spans="1:32">
      <c r="J45" s="38"/>
      <c r="K45" s="38"/>
      <c r="L45" s="38"/>
      <c r="M45" s="38"/>
      <c r="N45" s="38"/>
      <c r="O45" s="38"/>
      <c r="P45" s="38"/>
      <c r="Q45" s="38"/>
    </row>
  </sheetData>
  <sheetProtection sheet="1" objects="1" scenarios="1" selectLockedCells="1" pivotTables="0"/>
  <dataConsolidate/>
  <mergeCells count="68">
    <mergeCell ref="N36:O36"/>
    <mergeCell ref="N38:O38"/>
    <mergeCell ref="N40:O40"/>
    <mergeCell ref="L41:P42"/>
    <mergeCell ref="F33:H33"/>
    <mergeCell ref="N33:P33"/>
    <mergeCell ref="J36:M36"/>
    <mergeCell ref="J38:M38"/>
    <mergeCell ref="V33:X33"/>
    <mergeCell ref="AD33:AF33"/>
    <mergeCell ref="C30:D30"/>
    <mergeCell ref="K30:L30"/>
    <mergeCell ref="S30:T30"/>
    <mergeCell ref="AA30:AB30"/>
    <mergeCell ref="B29:C29"/>
    <mergeCell ref="J29:K29"/>
    <mergeCell ref="R29:S29"/>
    <mergeCell ref="Z29:AA29"/>
    <mergeCell ref="B28:C28"/>
    <mergeCell ref="J28:K28"/>
    <mergeCell ref="R28:S28"/>
    <mergeCell ref="Z28:AA28"/>
    <mergeCell ref="C12:D12"/>
    <mergeCell ref="K12:L12"/>
    <mergeCell ref="S12:T12"/>
    <mergeCell ref="AA12:AB12"/>
    <mergeCell ref="B11:C11"/>
    <mergeCell ref="J11:K11"/>
    <mergeCell ref="R11:S11"/>
    <mergeCell ref="Z11:AA11"/>
    <mergeCell ref="B10:C10"/>
    <mergeCell ref="J10:K10"/>
    <mergeCell ref="R10:S10"/>
    <mergeCell ref="Z10:AA10"/>
    <mergeCell ref="E6:E7"/>
    <mergeCell ref="F6:H6"/>
    <mergeCell ref="M6:M7"/>
    <mergeCell ref="N6:P6"/>
    <mergeCell ref="U6:U7"/>
    <mergeCell ref="V6:X6"/>
    <mergeCell ref="B5:B7"/>
    <mergeCell ref="C5:C7"/>
    <mergeCell ref="D5:D7"/>
    <mergeCell ref="E5:H5"/>
    <mergeCell ref="J5:J7"/>
    <mergeCell ref="K5:K7"/>
    <mergeCell ref="AB4:AF4"/>
    <mergeCell ref="AA5:AA7"/>
    <mergeCell ref="AB5:AB7"/>
    <mergeCell ref="AC5:AF5"/>
    <mergeCell ref="AD6:AF6"/>
    <mergeCell ref="AC6:AC7"/>
    <mergeCell ref="B1:J1"/>
    <mergeCell ref="R1:Z1"/>
    <mergeCell ref="L5:L7"/>
    <mergeCell ref="T4:X4"/>
    <mergeCell ref="Z4:AA4"/>
    <mergeCell ref="M5:P5"/>
    <mergeCell ref="R5:R7"/>
    <mergeCell ref="S5:S7"/>
    <mergeCell ref="T5:T7"/>
    <mergeCell ref="U5:X5"/>
    <mergeCell ref="Z5:Z7"/>
    <mergeCell ref="B4:C4"/>
    <mergeCell ref="D4:H4"/>
    <mergeCell ref="J4:K4"/>
    <mergeCell ref="L4:P4"/>
    <mergeCell ref="R4:S4"/>
  </mergeCells>
  <printOptions horizontalCentered="1" verticalCentered="1"/>
  <pageMargins left="0" right="0" top="0" bottom="0" header="0" footer="0"/>
  <pageSetup paperSize="9" scale="75" pageOrder="overThenDown" orientation="landscape" r:id="rId1"/>
  <headerFooter alignWithMargins="0"/>
  <colBreaks count="1" manualBreakCount="1">
    <brk id="16" max="44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5">
    <tabColor rgb="FFFF3399"/>
  </sheetPr>
  <dimension ref="B1:AF42"/>
  <sheetViews>
    <sheetView showGridLines="0" workbookViewId="0"/>
  </sheetViews>
  <sheetFormatPr baseColWidth="10" defaultRowHeight="15"/>
  <cols>
    <col min="1" max="1" width="1.7109375" customWidth="1"/>
    <col min="2" max="2" width="3.7109375" style="6" customWidth="1"/>
    <col min="3" max="3" width="11" style="1" customWidth="1"/>
    <col min="4" max="8" width="9.5703125" style="1" customWidth="1"/>
    <col min="9" max="9" width="1.7109375" customWidth="1"/>
    <col min="10" max="10" width="3.7109375" style="6" customWidth="1"/>
    <col min="11" max="11" width="11.140625" customWidth="1"/>
    <col min="12" max="16" width="9.5703125" customWidth="1"/>
    <col min="17" max="17" width="1.7109375" customWidth="1"/>
    <col min="18" max="18" width="3.7109375" style="6" customWidth="1"/>
    <col min="19" max="19" width="10.28515625" bestFit="1" customWidth="1"/>
    <col min="20" max="24" width="9.5703125" customWidth="1"/>
    <col min="25" max="25" width="1.7109375" customWidth="1"/>
    <col min="26" max="26" width="3.7109375" style="132" customWidth="1"/>
    <col min="27" max="27" width="10.28515625" bestFit="1" customWidth="1"/>
    <col min="28" max="32" width="9.5703125" customWidth="1"/>
  </cols>
  <sheetData>
    <row r="1" spans="2:32" ht="16.5" customHeight="1">
      <c r="C1" s="362" t="s">
        <v>0</v>
      </c>
      <c r="D1" s="362"/>
      <c r="E1" s="362"/>
      <c r="F1" s="58">
        <v>0.33333333333333331</v>
      </c>
      <c r="G1" s="362" t="s">
        <v>1</v>
      </c>
      <c r="H1" s="362"/>
      <c r="I1" s="362"/>
      <c r="J1" s="362"/>
      <c r="K1" s="362"/>
      <c r="L1" s="363"/>
      <c r="M1" s="363"/>
      <c r="N1" s="61"/>
    </row>
    <row r="2" spans="2:32" ht="16.5" customHeight="1">
      <c r="C2" s="59" t="s">
        <v>2</v>
      </c>
      <c r="D2" s="58">
        <v>0.33333333333333331</v>
      </c>
      <c r="E2" s="59" t="s">
        <v>3</v>
      </c>
      <c r="F2" s="59"/>
      <c r="G2" s="59"/>
      <c r="H2" s="59"/>
      <c r="I2" s="59"/>
      <c r="J2" s="126"/>
      <c r="K2" s="59"/>
      <c r="L2" s="364"/>
      <c r="M2" s="364"/>
      <c r="N2" s="61"/>
    </row>
    <row r="3" spans="2:32" ht="16.5" customHeight="1">
      <c r="C3" s="56"/>
      <c r="D3" s="56"/>
      <c r="E3" s="56"/>
      <c r="F3" s="56"/>
      <c r="G3" s="56"/>
      <c r="H3" s="56"/>
      <c r="I3" s="60"/>
      <c r="J3" s="130"/>
      <c r="K3" s="60"/>
      <c r="L3" s="363"/>
      <c r="M3" s="363"/>
      <c r="N3" s="61"/>
    </row>
    <row r="4" spans="2:32" ht="16.5" customHeight="1" thickBot="1">
      <c r="C4" s="6"/>
    </row>
    <row r="5" spans="2:32" s="7" customFormat="1" ht="15.75" thickTop="1">
      <c r="B5" s="338">
        <f>'Table '!C3</f>
        <v>1</v>
      </c>
      <c r="C5" s="339"/>
      <c r="D5" s="339"/>
      <c r="E5" s="339"/>
      <c r="F5" s="339"/>
      <c r="G5" s="339"/>
      <c r="H5" s="340"/>
      <c r="J5" s="344">
        <f>'Table '!G3</f>
        <v>2</v>
      </c>
      <c r="K5" s="345"/>
      <c r="L5" s="345"/>
      <c r="M5" s="345"/>
      <c r="N5" s="345"/>
      <c r="O5" s="345"/>
      <c r="P5" s="346"/>
      <c r="R5" s="350">
        <f>'Table '!C6</f>
        <v>3</v>
      </c>
      <c r="S5" s="351"/>
      <c r="T5" s="351"/>
      <c r="U5" s="351"/>
      <c r="V5" s="351"/>
      <c r="W5" s="351"/>
      <c r="X5" s="352"/>
      <c r="Z5" s="356">
        <f>'Table '!G6</f>
        <v>4</v>
      </c>
      <c r="AA5" s="357"/>
      <c r="AB5" s="357"/>
      <c r="AC5" s="357"/>
      <c r="AD5" s="357"/>
      <c r="AE5" s="357"/>
      <c r="AF5" s="358"/>
    </row>
    <row r="6" spans="2:32" s="7" customFormat="1">
      <c r="B6" s="341"/>
      <c r="C6" s="342"/>
      <c r="D6" s="342"/>
      <c r="E6" s="342"/>
      <c r="F6" s="342"/>
      <c r="G6" s="342"/>
      <c r="H6" s="343"/>
      <c r="J6" s="347"/>
      <c r="K6" s="348"/>
      <c r="L6" s="348"/>
      <c r="M6" s="348"/>
      <c r="N6" s="348"/>
      <c r="O6" s="348"/>
      <c r="P6" s="349"/>
      <c r="R6" s="353"/>
      <c r="S6" s="354"/>
      <c r="T6" s="354"/>
      <c r="U6" s="354"/>
      <c r="V6" s="354"/>
      <c r="W6" s="354"/>
      <c r="X6" s="355"/>
      <c r="Z6" s="359"/>
      <c r="AA6" s="360"/>
      <c r="AB6" s="360"/>
      <c r="AC6" s="360"/>
      <c r="AD6" s="360"/>
      <c r="AE6" s="360"/>
      <c r="AF6" s="361"/>
    </row>
    <row r="7" spans="2:32" s="11" customFormat="1" ht="39" customHeight="1">
      <c r="B7" s="8"/>
      <c r="C7" s="15"/>
      <c r="D7" s="9" t="s">
        <v>4</v>
      </c>
      <c r="E7" s="9" t="s">
        <v>5</v>
      </c>
      <c r="F7" s="9" t="s">
        <v>6</v>
      </c>
      <c r="G7" s="9" t="s">
        <v>7</v>
      </c>
      <c r="H7" s="10" t="s">
        <v>8</v>
      </c>
      <c r="J7" s="8"/>
      <c r="K7" s="15"/>
      <c r="L7" s="9" t="s">
        <v>4</v>
      </c>
      <c r="M7" s="9" t="s">
        <v>5</v>
      </c>
      <c r="N7" s="9" t="s">
        <v>6</v>
      </c>
      <c r="O7" s="9" t="s">
        <v>7</v>
      </c>
      <c r="P7" s="10" t="s">
        <v>8</v>
      </c>
      <c r="R7" s="8"/>
      <c r="S7" s="15"/>
      <c r="T7" s="9" t="s">
        <v>4</v>
      </c>
      <c r="U7" s="9" t="s">
        <v>5</v>
      </c>
      <c r="V7" s="9" t="s">
        <v>6</v>
      </c>
      <c r="W7" s="9" t="s">
        <v>7</v>
      </c>
      <c r="X7" s="10" t="s">
        <v>8</v>
      </c>
      <c r="Z7" s="133"/>
      <c r="AA7" s="15"/>
      <c r="AB7" s="9" t="s">
        <v>4</v>
      </c>
      <c r="AC7" s="9" t="s">
        <v>5</v>
      </c>
      <c r="AD7" s="9" t="s">
        <v>6</v>
      </c>
      <c r="AE7" s="9" t="s">
        <v>7</v>
      </c>
      <c r="AF7" s="10" t="s">
        <v>8</v>
      </c>
    </row>
    <row r="8" spans="2:32" s="7" customFormat="1">
      <c r="B8" s="169" t="str">
        <f>CHOOSE(WEEKDAY(C8),"D","L","M","M","J","V","S")</f>
        <v>V</v>
      </c>
      <c r="C8" s="177">
        <f>TEXT('Table '!AN6,"jj mmm aaaa")-365</f>
        <v>43070</v>
      </c>
      <c r="D8" s="49"/>
      <c r="E8" s="49"/>
      <c r="F8" s="25">
        <f>E8-D8</f>
        <v>0</v>
      </c>
      <c r="G8" s="26">
        <f t="shared" ref="G8:G38" si="0">IF(F8&gt;=$F$1,1,0)</f>
        <v>0</v>
      </c>
      <c r="H8" s="27">
        <f t="shared" ref="H8:H38" si="1">IF(F8&lt;$F$1,F8,0)</f>
        <v>0</v>
      </c>
      <c r="I8" s="21"/>
      <c r="J8" s="169" t="str">
        <f>CHOOSE(WEEKDAY(K8),"D","L","M","M","J","V","S")</f>
        <v>V</v>
      </c>
      <c r="K8" s="177">
        <f>TEXT('Table '!AN6,"jj mmm aaaa")-365</f>
        <v>43070</v>
      </c>
      <c r="L8" s="178"/>
      <c r="M8" s="178"/>
      <c r="N8" s="25">
        <f>M8-L8</f>
        <v>0</v>
      </c>
      <c r="O8" s="26">
        <f t="shared" ref="O8:O38" si="2">IF(N8&gt;=$F$1,1,0)</f>
        <v>0</v>
      </c>
      <c r="P8" s="27">
        <f t="shared" ref="P8:P38" si="3">IF(N8&lt;$F$1,N8,0)</f>
        <v>0</v>
      </c>
      <c r="Q8" s="21"/>
      <c r="R8" s="131" t="str">
        <f>CHOOSE(WEEKDAY(S8),"D","L","M","M","J","V","S")</f>
        <v>V</v>
      </c>
      <c r="S8" s="121">
        <f>TEXT('Table '!AN6,"jj mmm aaaa")-365</f>
        <v>43070</v>
      </c>
      <c r="T8" s="178"/>
      <c r="U8" s="47"/>
      <c r="V8" s="18">
        <f>U8-T8</f>
        <v>0</v>
      </c>
      <c r="W8" s="19">
        <f t="shared" ref="W8:W38" si="4">IF(V8&gt;=$F$1,1,0)</f>
        <v>0</v>
      </c>
      <c r="X8" s="20">
        <f t="shared" ref="X8:X38" si="5">IF(V8&lt;$F$1,V8,0)</f>
        <v>0</v>
      </c>
      <c r="Y8" s="21"/>
      <c r="Z8" s="134" t="str">
        <f>CHOOSE(WEEKDAY(AA8),"D","L","M","M","J","V","S")</f>
        <v>V</v>
      </c>
      <c r="AA8" s="121">
        <f>TEXT('Table '!AN6,"jj mmm aaaa")-365</f>
        <v>43070</v>
      </c>
      <c r="AB8" s="47"/>
      <c r="AC8" s="47"/>
      <c r="AD8" s="18">
        <f>AC8-AB8</f>
        <v>0</v>
      </c>
      <c r="AE8" s="19">
        <f t="shared" ref="AE8:AE38" si="6">IF(AD8&gt;=$F$1,1,0)</f>
        <v>0</v>
      </c>
      <c r="AF8" s="20">
        <f t="shared" ref="AF8:AF38" si="7">IF(AD8&lt;$F$1,AD8,0)</f>
        <v>0</v>
      </c>
    </row>
    <row r="9" spans="2:32" s="7" customFormat="1">
      <c r="B9" s="8" t="str">
        <f t="shared" ref="B9:B11" si="8">CHOOSE(WEEKDAY(C9),"D","L","M","M","J","V","S")</f>
        <v>S</v>
      </c>
      <c r="C9" s="121">
        <f>TEXT('Table '!AN7,"jj mmm aaaa")-365</f>
        <v>43071</v>
      </c>
      <c r="D9" s="48"/>
      <c r="E9" s="48"/>
      <c r="F9" s="12">
        <f t="shared" ref="F9:F38" si="9">E9-D9</f>
        <v>0</v>
      </c>
      <c r="G9" s="13">
        <f t="shared" si="0"/>
        <v>0</v>
      </c>
      <c r="H9" s="14">
        <f t="shared" si="1"/>
        <v>0</v>
      </c>
      <c r="J9" s="131" t="str">
        <f t="shared" ref="J9:J38" si="10">CHOOSE(WEEKDAY(C9),"D","L","M","M","J","V","S")</f>
        <v>S</v>
      </c>
      <c r="K9" s="121">
        <f>TEXT('Table '!AN7,"jj mmm aaaa")-365</f>
        <v>43071</v>
      </c>
      <c r="L9" s="178"/>
      <c r="M9" s="178"/>
      <c r="N9" s="12">
        <f t="shared" ref="N9:N38" si="11">M9-L9</f>
        <v>0</v>
      </c>
      <c r="O9" s="13">
        <f t="shared" si="2"/>
        <v>0</v>
      </c>
      <c r="P9" s="14">
        <f t="shared" si="3"/>
        <v>0</v>
      </c>
      <c r="R9" s="131" t="str">
        <f t="shared" ref="R9:R38" si="12">CHOOSE(WEEKDAY(C9),"D","L","M","M","J","V","S")</f>
        <v>S</v>
      </c>
      <c r="S9" s="121">
        <f>TEXT('Table '!AN7,"jj mmm aaaa")-365</f>
        <v>43071</v>
      </c>
      <c r="T9" s="48"/>
      <c r="U9" s="48"/>
      <c r="V9" s="12">
        <f t="shared" ref="V9:V38" si="13">U9-T9</f>
        <v>0</v>
      </c>
      <c r="W9" s="13">
        <f t="shared" si="4"/>
        <v>0</v>
      </c>
      <c r="X9" s="14">
        <f t="shared" si="5"/>
        <v>0</v>
      </c>
      <c r="Y9" s="21"/>
      <c r="Z9" s="134" t="str">
        <f t="shared" ref="Z9:Z38" si="14">CHOOSE(WEEKDAY(C9),"D","L","M","M","J","V","S")</f>
        <v>S</v>
      </c>
      <c r="AA9" s="121">
        <f>TEXT('Table '!AN7,"jj mmm aaaa")-365</f>
        <v>43071</v>
      </c>
      <c r="AB9" s="47"/>
      <c r="AC9" s="47"/>
      <c r="AD9" s="18">
        <f t="shared" ref="AD9:AD38" si="15">AC9-AB9</f>
        <v>0</v>
      </c>
      <c r="AE9" s="19">
        <f t="shared" si="6"/>
        <v>0</v>
      </c>
      <c r="AF9" s="20">
        <f t="shared" si="7"/>
        <v>0</v>
      </c>
    </row>
    <row r="10" spans="2:32" s="7" customFormat="1">
      <c r="B10" s="8" t="str">
        <f t="shared" si="8"/>
        <v>D</v>
      </c>
      <c r="C10" s="121">
        <f>TEXT('Table '!AN8,"jj mmm aaaa")-365</f>
        <v>43072</v>
      </c>
      <c r="D10" s="48"/>
      <c r="E10" s="48"/>
      <c r="F10" s="12">
        <f t="shared" si="9"/>
        <v>0</v>
      </c>
      <c r="G10" s="13">
        <f t="shared" si="0"/>
        <v>0</v>
      </c>
      <c r="H10" s="14">
        <f t="shared" si="1"/>
        <v>0</v>
      </c>
      <c r="J10" s="131" t="str">
        <f t="shared" si="10"/>
        <v>D</v>
      </c>
      <c r="K10" s="121">
        <f>TEXT('Table '!AN8,"jj mmm aaaa")-365</f>
        <v>43072</v>
      </c>
      <c r="L10" s="48"/>
      <c r="M10" s="48"/>
      <c r="N10" s="12">
        <f t="shared" si="11"/>
        <v>0</v>
      </c>
      <c r="O10" s="13">
        <f t="shared" si="2"/>
        <v>0</v>
      </c>
      <c r="P10" s="14">
        <f t="shared" si="3"/>
        <v>0</v>
      </c>
      <c r="R10" s="131" t="str">
        <f t="shared" si="12"/>
        <v>D</v>
      </c>
      <c r="S10" s="121">
        <f>TEXT('Table '!AN8,"jj mmm aaaa")-365</f>
        <v>43072</v>
      </c>
      <c r="T10" s="48"/>
      <c r="U10" s="48"/>
      <c r="V10" s="12">
        <f t="shared" si="13"/>
        <v>0</v>
      </c>
      <c r="W10" s="13">
        <f t="shared" si="4"/>
        <v>0</v>
      </c>
      <c r="X10" s="14">
        <f t="shared" si="5"/>
        <v>0</v>
      </c>
      <c r="Y10" s="21"/>
      <c r="Z10" s="134" t="str">
        <f t="shared" si="14"/>
        <v>D</v>
      </c>
      <c r="AA10" s="121">
        <f>TEXT('Table '!AN8,"jj mmm aaaa")-365</f>
        <v>43072</v>
      </c>
      <c r="AB10" s="47"/>
      <c r="AC10" s="47"/>
      <c r="AD10" s="18">
        <f t="shared" si="15"/>
        <v>0</v>
      </c>
      <c r="AE10" s="19">
        <f t="shared" si="6"/>
        <v>0</v>
      </c>
      <c r="AF10" s="20">
        <f t="shared" si="7"/>
        <v>0</v>
      </c>
    </row>
    <row r="11" spans="2:32" s="7" customFormat="1">
      <c r="B11" s="8" t="str">
        <f t="shared" si="8"/>
        <v>L</v>
      </c>
      <c r="C11" s="121">
        <f>TEXT('Table '!AN9,"jj mmm aaaa")-365</f>
        <v>43073</v>
      </c>
      <c r="D11" s="49"/>
      <c r="E11" s="49"/>
      <c r="F11" s="25">
        <f t="shared" si="9"/>
        <v>0</v>
      </c>
      <c r="G11" s="26">
        <f t="shared" si="0"/>
        <v>0</v>
      </c>
      <c r="H11" s="27">
        <f t="shared" si="1"/>
        <v>0</v>
      </c>
      <c r="I11" s="45"/>
      <c r="J11" s="131" t="str">
        <f t="shared" si="10"/>
        <v>L</v>
      </c>
      <c r="K11" s="121">
        <f>TEXT('Table '!AN9,"jj mmm aaaa")-365</f>
        <v>43073</v>
      </c>
      <c r="L11" s="49"/>
      <c r="M11" s="49"/>
      <c r="N11" s="25">
        <f>M11-L11</f>
        <v>0</v>
      </c>
      <c r="O11" s="26">
        <f t="shared" si="2"/>
        <v>0</v>
      </c>
      <c r="P11" s="27">
        <f t="shared" si="3"/>
        <v>0</v>
      </c>
      <c r="R11" s="131" t="str">
        <f t="shared" si="12"/>
        <v>L</v>
      </c>
      <c r="S11" s="121">
        <f>TEXT('Table '!AN9,"jj mmm aaaa")-365</f>
        <v>43073</v>
      </c>
      <c r="T11" s="48"/>
      <c r="U11" s="48"/>
      <c r="V11" s="12">
        <f t="shared" si="13"/>
        <v>0</v>
      </c>
      <c r="W11" s="13">
        <f t="shared" si="4"/>
        <v>0</v>
      </c>
      <c r="X11" s="14">
        <f t="shared" si="5"/>
        <v>0</v>
      </c>
      <c r="Y11" s="21"/>
      <c r="Z11" s="134" t="str">
        <f t="shared" si="14"/>
        <v>L</v>
      </c>
      <c r="AA11" s="121">
        <f>TEXT('Table '!AN9,"jj mmm aaaa")-365</f>
        <v>43073</v>
      </c>
      <c r="AB11" s="47"/>
      <c r="AC11" s="47"/>
      <c r="AD11" s="18">
        <f t="shared" si="15"/>
        <v>0</v>
      </c>
      <c r="AE11" s="19">
        <f t="shared" si="6"/>
        <v>0</v>
      </c>
      <c r="AF11" s="20">
        <f t="shared" si="7"/>
        <v>0</v>
      </c>
    </row>
    <row r="12" spans="2:32" s="7" customFormat="1">
      <c r="B12" s="8" t="str">
        <f t="shared" ref="B12:B38" si="16">CHOOSE(WEEKDAY(C12),"D","L","M","M","J","V","S")</f>
        <v>M</v>
      </c>
      <c r="C12" s="121">
        <f>TEXT('Table '!AN10,"jj mmm aaaa")-365</f>
        <v>43074</v>
      </c>
      <c r="D12" s="49"/>
      <c r="E12" s="49"/>
      <c r="F12" s="25">
        <f t="shared" si="9"/>
        <v>0</v>
      </c>
      <c r="G12" s="26">
        <f t="shared" si="0"/>
        <v>0</v>
      </c>
      <c r="H12" s="27">
        <f t="shared" si="1"/>
        <v>0</v>
      </c>
      <c r="I12" s="45"/>
      <c r="J12" s="131" t="str">
        <f t="shared" si="10"/>
        <v>M</v>
      </c>
      <c r="K12" s="121">
        <f>TEXT('Table '!AN10,"jj mmm aaaa")-365</f>
        <v>43074</v>
      </c>
      <c r="L12" s="178"/>
      <c r="M12" s="178"/>
      <c r="N12" s="179">
        <f>M12-L12</f>
        <v>0</v>
      </c>
      <c r="O12" s="180">
        <f t="shared" si="2"/>
        <v>0</v>
      </c>
      <c r="P12" s="181">
        <f t="shared" si="3"/>
        <v>0</v>
      </c>
      <c r="R12" s="131" t="str">
        <f t="shared" si="12"/>
        <v>M</v>
      </c>
      <c r="S12" s="121">
        <f>TEXT('Table '!AN10,"jj mmm aaaa")-365</f>
        <v>43074</v>
      </c>
      <c r="T12" s="48"/>
      <c r="U12" s="48"/>
      <c r="V12" s="12">
        <f t="shared" si="13"/>
        <v>0</v>
      </c>
      <c r="W12" s="13">
        <f t="shared" si="4"/>
        <v>0</v>
      </c>
      <c r="X12" s="14">
        <f t="shared" si="5"/>
        <v>0</v>
      </c>
      <c r="Y12" s="21"/>
      <c r="Z12" s="134" t="str">
        <f t="shared" si="14"/>
        <v>M</v>
      </c>
      <c r="AA12" s="121">
        <f>TEXT('Table '!AN10,"jj mmm aaaa")-365</f>
        <v>43074</v>
      </c>
      <c r="AB12" s="47"/>
      <c r="AC12" s="47"/>
      <c r="AD12" s="18">
        <f t="shared" si="15"/>
        <v>0</v>
      </c>
      <c r="AE12" s="19">
        <f t="shared" si="6"/>
        <v>0</v>
      </c>
      <c r="AF12" s="20">
        <f t="shared" si="7"/>
        <v>0</v>
      </c>
    </row>
    <row r="13" spans="2:32" s="7" customFormat="1">
      <c r="B13" s="8" t="str">
        <f t="shared" si="16"/>
        <v>M</v>
      </c>
      <c r="C13" s="121">
        <f>TEXT('Table '!AN11,"jj mmm aaaa")-365</f>
        <v>43075</v>
      </c>
      <c r="D13" s="49"/>
      <c r="E13" s="49"/>
      <c r="F13" s="25">
        <f t="shared" si="9"/>
        <v>0</v>
      </c>
      <c r="G13" s="26">
        <f t="shared" si="0"/>
        <v>0</v>
      </c>
      <c r="H13" s="27">
        <f t="shared" si="1"/>
        <v>0</v>
      </c>
      <c r="I13" s="45"/>
      <c r="J13" s="131" t="str">
        <f t="shared" si="10"/>
        <v>M</v>
      </c>
      <c r="K13" s="121">
        <f>TEXT('Table '!AN11,"jj mmm aaaa")-365</f>
        <v>43075</v>
      </c>
      <c r="L13" s="48"/>
      <c r="M13" s="48"/>
      <c r="N13" s="25">
        <f t="shared" si="11"/>
        <v>0</v>
      </c>
      <c r="O13" s="26">
        <f t="shared" si="2"/>
        <v>0</v>
      </c>
      <c r="P13" s="27">
        <f t="shared" si="3"/>
        <v>0</v>
      </c>
      <c r="R13" s="131" t="str">
        <f t="shared" si="12"/>
        <v>M</v>
      </c>
      <c r="S13" s="121">
        <f>TEXT('Table '!AN11,"jj mmm aaaa")-365</f>
        <v>43075</v>
      </c>
      <c r="T13" s="48"/>
      <c r="U13" s="48"/>
      <c r="V13" s="12">
        <f t="shared" si="13"/>
        <v>0</v>
      </c>
      <c r="W13" s="13">
        <f t="shared" si="4"/>
        <v>0</v>
      </c>
      <c r="X13" s="14">
        <f t="shared" si="5"/>
        <v>0</v>
      </c>
      <c r="Y13" s="21"/>
      <c r="Z13" s="134" t="str">
        <f t="shared" si="14"/>
        <v>M</v>
      </c>
      <c r="AA13" s="121">
        <f>TEXT('Table '!AN11,"jj mmm aaaa")-365</f>
        <v>43075</v>
      </c>
      <c r="AB13" s="47"/>
      <c r="AC13" s="47"/>
      <c r="AD13" s="18">
        <f t="shared" si="15"/>
        <v>0</v>
      </c>
      <c r="AE13" s="19">
        <f t="shared" si="6"/>
        <v>0</v>
      </c>
      <c r="AF13" s="20">
        <f t="shared" si="7"/>
        <v>0</v>
      </c>
    </row>
    <row r="14" spans="2:32" s="7" customFormat="1">
      <c r="B14" s="8" t="str">
        <f t="shared" si="16"/>
        <v>J</v>
      </c>
      <c r="C14" s="121">
        <f>TEXT('Table '!AN12,"jj mmm aaaa")-365</f>
        <v>43076</v>
      </c>
      <c r="D14" s="49"/>
      <c r="E14" s="49"/>
      <c r="F14" s="25">
        <f t="shared" si="9"/>
        <v>0</v>
      </c>
      <c r="G14" s="26">
        <f t="shared" si="0"/>
        <v>0</v>
      </c>
      <c r="H14" s="27">
        <f t="shared" si="1"/>
        <v>0</v>
      </c>
      <c r="I14" s="45"/>
      <c r="J14" s="131" t="str">
        <f t="shared" si="10"/>
        <v>J</v>
      </c>
      <c r="K14" s="121">
        <f>TEXT('Table '!AN12,"jj mmm aaaa")-365</f>
        <v>43076</v>
      </c>
      <c r="L14" s="48"/>
      <c r="M14" s="48"/>
      <c r="N14" s="25">
        <f t="shared" si="11"/>
        <v>0</v>
      </c>
      <c r="O14" s="26">
        <f t="shared" si="2"/>
        <v>0</v>
      </c>
      <c r="P14" s="27">
        <f t="shared" si="3"/>
        <v>0</v>
      </c>
      <c r="R14" s="131" t="str">
        <f t="shared" si="12"/>
        <v>J</v>
      </c>
      <c r="S14" s="121">
        <f>TEXT('Table '!AN12,"jj mmm aaaa")-365</f>
        <v>43076</v>
      </c>
      <c r="T14" s="48"/>
      <c r="U14" s="48"/>
      <c r="V14" s="12">
        <f t="shared" si="13"/>
        <v>0</v>
      </c>
      <c r="W14" s="13">
        <f t="shared" si="4"/>
        <v>0</v>
      </c>
      <c r="X14" s="14">
        <f t="shared" si="5"/>
        <v>0</v>
      </c>
      <c r="Y14" s="21"/>
      <c r="Z14" s="134" t="str">
        <f t="shared" si="14"/>
        <v>J</v>
      </c>
      <c r="AA14" s="121">
        <f>TEXT('Table '!AN12,"jj mmm aaaa")-365</f>
        <v>43076</v>
      </c>
      <c r="AB14" s="47"/>
      <c r="AC14" s="47"/>
      <c r="AD14" s="18">
        <f t="shared" si="15"/>
        <v>0</v>
      </c>
      <c r="AE14" s="19">
        <f t="shared" si="6"/>
        <v>0</v>
      </c>
      <c r="AF14" s="20">
        <f t="shared" si="7"/>
        <v>0</v>
      </c>
    </row>
    <row r="15" spans="2:32" s="7" customFormat="1">
      <c r="B15" s="8" t="str">
        <f t="shared" si="16"/>
        <v>V</v>
      </c>
      <c r="C15" s="121">
        <f>TEXT('Table '!AN13,"jj mmm aaaa")-365</f>
        <v>43077</v>
      </c>
      <c r="D15" s="49"/>
      <c r="E15" s="49"/>
      <c r="F15" s="25">
        <f t="shared" si="9"/>
        <v>0</v>
      </c>
      <c r="G15" s="26">
        <f t="shared" si="0"/>
        <v>0</v>
      </c>
      <c r="H15" s="27">
        <f t="shared" si="1"/>
        <v>0</v>
      </c>
      <c r="I15" s="45"/>
      <c r="J15" s="131" t="str">
        <f t="shared" si="10"/>
        <v>V</v>
      </c>
      <c r="K15" s="121">
        <f>TEXT('Table '!AN13,"jj mmm aaaa")-365</f>
        <v>43077</v>
      </c>
      <c r="L15" s="48"/>
      <c r="M15" s="48"/>
      <c r="N15" s="25">
        <f t="shared" si="11"/>
        <v>0</v>
      </c>
      <c r="O15" s="26">
        <f t="shared" si="2"/>
        <v>0</v>
      </c>
      <c r="P15" s="27">
        <f t="shared" si="3"/>
        <v>0</v>
      </c>
      <c r="R15" s="131" t="str">
        <f t="shared" si="12"/>
        <v>V</v>
      </c>
      <c r="S15" s="121">
        <f>TEXT('Table '!AN13,"jj mmm aaaa")-365</f>
        <v>43077</v>
      </c>
      <c r="T15" s="48"/>
      <c r="U15" s="48"/>
      <c r="V15" s="12">
        <f t="shared" si="13"/>
        <v>0</v>
      </c>
      <c r="W15" s="13">
        <f t="shared" si="4"/>
        <v>0</v>
      </c>
      <c r="X15" s="14">
        <f t="shared" si="5"/>
        <v>0</v>
      </c>
      <c r="Y15" s="21"/>
      <c r="Z15" s="134" t="str">
        <f t="shared" si="14"/>
        <v>V</v>
      </c>
      <c r="AA15" s="121">
        <f>TEXT('Table '!AN13,"jj mmm aaaa")-365</f>
        <v>43077</v>
      </c>
      <c r="AB15" s="47"/>
      <c r="AC15" s="47"/>
      <c r="AD15" s="18">
        <f t="shared" si="15"/>
        <v>0</v>
      </c>
      <c r="AE15" s="19">
        <f t="shared" si="6"/>
        <v>0</v>
      </c>
      <c r="AF15" s="20">
        <f t="shared" si="7"/>
        <v>0</v>
      </c>
    </row>
    <row r="16" spans="2:32" s="7" customFormat="1">
      <c r="B16" s="8" t="str">
        <f t="shared" si="16"/>
        <v>S</v>
      </c>
      <c r="C16" s="121">
        <f>TEXT('Table '!AN14,"jj mmm aaaa")-365</f>
        <v>43078</v>
      </c>
      <c r="D16" s="49"/>
      <c r="E16" s="49"/>
      <c r="F16" s="25">
        <f t="shared" si="9"/>
        <v>0</v>
      </c>
      <c r="G16" s="26">
        <f t="shared" si="0"/>
        <v>0</v>
      </c>
      <c r="H16" s="27">
        <f t="shared" si="1"/>
        <v>0</v>
      </c>
      <c r="I16" s="45"/>
      <c r="J16" s="131" t="str">
        <f t="shared" si="10"/>
        <v>S</v>
      </c>
      <c r="K16" s="121">
        <f>TEXT('Table '!AN14,"jj mmm aaaa")-365</f>
        <v>43078</v>
      </c>
      <c r="L16" s="48"/>
      <c r="M16" s="48"/>
      <c r="N16" s="25">
        <f t="shared" si="11"/>
        <v>0</v>
      </c>
      <c r="O16" s="26">
        <f t="shared" si="2"/>
        <v>0</v>
      </c>
      <c r="P16" s="27">
        <f t="shared" si="3"/>
        <v>0</v>
      </c>
      <c r="R16" s="131" t="str">
        <f t="shared" si="12"/>
        <v>S</v>
      </c>
      <c r="S16" s="121">
        <f>TEXT('Table '!AN14,"jj mmm aaaa")-365</f>
        <v>43078</v>
      </c>
      <c r="T16" s="48"/>
      <c r="U16" s="48"/>
      <c r="V16" s="12">
        <f t="shared" si="13"/>
        <v>0</v>
      </c>
      <c r="W16" s="13">
        <f t="shared" si="4"/>
        <v>0</v>
      </c>
      <c r="X16" s="14">
        <f t="shared" si="5"/>
        <v>0</v>
      </c>
      <c r="Y16" s="21"/>
      <c r="Z16" s="134" t="str">
        <f t="shared" si="14"/>
        <v>S</v>
      </c>
      <c r="AA16" s="121">
        <f>TEXT('Table '!AN14,"jj mmm aaaa")-365</f>
        <v>43078</v>
      </c>
      <c r="AB16" s="47"/>
      <c r="AC16" s="47"/>
      <c r="AD16" s="18">
        <f t="shared" si="15"/>
        <v>0</v>
      </c>
      <c r="AE16" s="19">
        <f t="shared" si="6"/>
        <v>0</v>
      </c>
      <c r="AF16" s="20">
        <f t="shared" si="7"/>
        <v>0</v>
      </c>
    </row>
    <row r="17" spans="2:32" s="7" customFormat="1">
      <c r="B17" s="8" t="str">
        <f t="shared" si="16"/>
        <v>D</v>
      </c>
      <c r="C17" s="121">
        <f>TEXT('Table '!AN15,"jj mmm aaaa")-365</f>
        <v>43079</v>
      </c>
      <c r="D17" s="49"/>
      <c r="E17" s="49"/>
      <c r="F17" s="25">
        <f t="shared" si="9"/>
        <v>0</v>
      </c>
      <c r="G17" s="26">
        <f t="shared" si="0"/>
        <v>0</v>
      </c>
      <c r="H17" s="27">
        <f t="shared" si="1"/>
        <v>0</v>
      </c>
      <c r="I17" s="45"/>
      <c r="J17" s="131" t="str">
        <f t="shared" si="10"/>
        <v>D</v>
      </c>
      <c r="K17" s="121">
        <f>TEXT('Table '!AN15,"jj mmm aaaa")-365</f>
        <v>43079</v>
      </c>
      <c r="L17" s="49"/>
      <c r="M17" s="49"/>
      <c r="N17" s="25">
        <f>M17-L17</f>
        <v>0</v>
      </c>
      <c r="O17" s="26">
        <f t="shared" si="2"/>
        <v>0</v>
      </c>
      <c r="P17" s="27">
        <f t="shared" si="3"/>
        <v>0</v>
      </c>
      <c r="R17" s="131" t="str">
        <f t="shared" si="12"/>
        <v>D</v>
      </c>
      <c r="S17" s="121">
        <f>TEXT('Table '!AN15,"jj mmm aaaa")-365</f>
        <v>43079</v>
      </c>
      <c r="T17" s="50"/>
      <c r="U17" s="48"/>
      <c r="V17" s="12">
        <f t="shared" si="13"/>
        <v>0</v>
      </c>
      <c r="W17" s="13">
        <f t="shared" si="4"/>
        <v>0</v>
      </c>
      <c r="X17" s="14">
        <f t="shared" si="5"/>
        <v>0</v>
      </c>
      <c r="Y17" s="21"/>
      <c r="Z17" s="134" t="str">
        <f t="shared" si="14"/>
        <v>D</v>
      </c>
      <c r="AA17" s="121">
        <f>TEXT('Table '!AN15,"jj mmm aaaa")-365</f>
        <v>43079</v>
      </c>
      <c r="AB17" s="47"/>
      <c r="AC17" s="47"/>
      <c r="AD17" s="18">
        <f t="shared" si="15"/>
        <v>0</v>
      </c>
      <c r="AE17" s="19">
        <f t="shared" si="6"/>
        <v>0</v>
      </c>
      <c r="AF17" s="20">
        <f t="shared" si="7"/>
        <v>0</v>
      </c>
    </row>
    <row r="18" spans="2:32" s="7" customFormat="1">
      <c r="B18" s="8" t="str">
        <f t="shared" si="16"/>
        <v>L</v>
      </c>
      <c r="C18" s="121">
        <f>TEXT('Table '!AN16,"jj mmm aaaa")-365</f>
        <v>43080</v>
      </c>
      <c r="D18" s="49"/>
      <c r="E18" s="49"/>
      <c r="F18" s="25">
        <f t="shared" si="9"/>
        <v>0</v>
      </c>
      <c r="G18" s="26">
        <f t="shared" si="0"/>
        <v>0</v>
      </c>
      <c r="H18" s="27">
        <f t="shared" si="1"/>
        <v>0</v>
      </c>
      <c r="I18" s="45"/>
      <c r="J18" s="131" t="str">
        <f t="shared" si="10"/>
        <v>L</v>
      </c>
      <c r="K18" s="121">
        <f>TEXT('Table '!AN16,"jj mmm aaaa")-365</f>
        <v>43080</v>
      </c>
      <c r="L18" s="49"/>
      <c r="M18" s="49"/>
      <c r="N18" s="25">
        <f>M18-L18</f>
        <v>0</v>
      </c>
      <c r="O18" s="26">
        <f t="shared" si="2"/>
        <v>0</v>
      </c>
      <c r="P18" s="27">
        <f t="shared" si="3"/>
        <v>0</v>
      </c>
      <c r="R18" s="131" t="str">
        <f t="shared" si="12"/>
        <v>L</v>
      </c>
      <c r="S18" s="121">
        <f>TEXT('Table '!AN16,"jj mmm aaaa")-365</f>
        <v>43080</v>
      </c>
      <c r="T18" s="48"/>
      <c r="U18" s="48"/>
      <c r="V18" s="12">
        <f t="shared" si="13"/>
        <v>0</v>
      </c>
      <c r="W18" s="13">
        <f t="shared" si="4"/>
        <v>0</v>
      </c>
      <c r="X18" s="14">
        <f t="shared" si="5"/>
        <v>0</v>
      </c>
      <c r="Y18" s="21"/>
      <c r="Z18" s="134" t="str">
        <f t="shared" si="14"/>
        <v>L</v>
      </c>
      <c r="AA18" s="121">
        <f>TEXT('Table '!AN16,"jj mmm aaaa")-365</f>
        <v>43080</v>
      </c>
      <c r="AB18" s="47"/>
      <c r="AC18" s="47"/>
      <c r="AD18" s="18">
        <f t="shared" si="15"/>
        <v>0</v>
      </c>
      <c r="AE18" s="19">
        <f t="shared" si="6"/>
        <v>0</v>
      </c>
      <c r="AF18" s="20">
        <f t="shared" si="7"/>
        <v>0</v>
      </c>
    </row>
    <row r="19" spans="2:32" s="7" customFormat="1">
      <c r="B19" s="8" t="str">
        <f t="shared" si="16"/>
        <v>M</v>
      </c>
      <c r="C19" s="121">
        <f>TEXT('Table '!AN17,"jj mmm aaaa")-365</f>
        <v>43081</v>
      </c>
      <c r="D19" s="49"/>
      <c r="E19" s="49"/>
      <c r="F19" s="25">
        <f t="shared" si="9"/>
        <v>0</v>
      </c>
      <c r="G19" s="26">
        <f t="shared" si="0"/>
        <v>0</v>
      </c>
      <c r="H19" s="27">
        <f t="shared" si="1"/>
        <v>0</v>
      </c>
      <c r="I19" s="45"/>
      <c r="J19" s="131" t="str">
        <f t="shared" si="10"/>
        <v>M</v>
      </c>
      <c r="K19" s="121">
        <f>TEXT('Table '!AN17,"jj mmm aaaa")-365</f>
        <v>43081</v>
      </c>
      <c r="L19" s="48"/>
      <c r="M19" s="48"/>
      <c r="N19" s="25">
        <f t="shared" si="11"/>
        <v>0</v>
      </c>
      <c r="O19" s="26">
        <f t="shared" si="2"/>
        <v>0</v>
      </c>
      <c r="P19" s="27">
        <f t="shared" si="3"/>
        <v>0</v>
      </c>
      <c r="R19" s="131" t="str">
        <f t="shared" si="12"/>
        <v>M</v>
      </c>
      <c r="S19" s="121">
        <f>TEXT('Table '!AN17,"jj mmm aaaa")-365</f>
        <v>43081</v>
      </c>
      <c r="T19" s="48"/>
      <c r="U19" s="48"/>
      <c r="V19" s="12">
        <f t="shared" si="13"/>
        <v>0</v>
      </c>
      <c r="W19" s="13">
        <f t="shared" si="4"/>
        <v>0</v>
      </c>
      <c r="X19" s="14">
        <f t="shared" si="5"/>
        <v>0</v>
      </c>
      <c r="Y19" s="21"/>
      <c r="Z19" s="134" t="str">
        <f t="shared" si="14"/>
        <v>M</v>
      </c>
      <c r="AA19" s="121">
        <f>TEXT('Table '!AN17,"jj mmm aaaa")-365</f>
        <v>43081</v>
      </c>
      <c r="AB19" s="47"/>
      <c r="AC19" s="47"/>
      <c r="AD19" s="18">
        <f t="shared" si="15"/>
        <v>0</v>
      </c>
      <c r="AE19" s="19">
        <f t="shared" si="6"/>
        <v>0</v>
      </c>
      <c r="AF19" s="20">
        <f t="shared" si="7"/>
        <v>0</v>
      </c>
    </row>
    <row r="20" spans="2:32" s="7" customFormat="1">
      <c r="B20" s="8" t="str">
        <f t="shared" si="16"/>
        <v>M</v>
      </c>
      <c r="C20" s="121">
        <f>TEXT('Table '!AN18,"jj mmm aaaa")-365</f>
        <v>43082</v>
      </c>
      <c r="D20" s="49"/>
      <c r="E20" s="49"/>
      <c r="F20" s="25">
        <f t="shared" si="9"/>
        <v>0</v>
      </c>
      <c r="G20" s="26">
        <f t="shared" si="0"/>
        <v>0</v>
      </c>
      <c r="H20" s="27">
        <f t="shared" si="1"/>
        <v>0</v>
      </c>
      <c r="I20" s="45"/>
      <c r="J20" s="131" t="str">
        <f t="shared" si="10"/>
        <v>M</v>
      </c>
      <c r="K20" s="121">
        <f>TEXT('Table '!AN18,"jj mmm aaaa")-365</f>
        <v>43082</v>
      </c>
      <c r="L20" s="48"/>
      <c r="M20" s="48"/>
      <c r="N20" s="25">
        <f t="shared" si="11"/>
        <v>0</v>
      </c>
      <c r="O20" s="26">
        <f t="shared" si="2"/>
        <v>0</v>
      </c>
      <c r="P20" s="27">
        <f t="shared" si="3"/>
        <v>0</v>
      </c>
      <c r="R20" s="131" t="str">
        <f t="shared" si="12"/>
        <v>M</v>
      </c>
      <c r="S20" s="121">
        <f>TEXT('Table '!AN18,"jj mmm aaaa")-365</f>
        <v>43082</v>
      </c>
      <c r="T20" s="48"/>
      <c r="U20" s="48"/>
      <c r="V20" s="12">
        <f t="shared" si="13"/>
        <v>0</v>
      </c>
      <c r="W20" s="13">
        <f t="shared" si="4"/>
        <v>0</v>
      </c>
      <c r="X20" s="14">
        <f t="shared" si="5"/>
        <v>0</v>
      </c>
      <c r="Y20" s="21"/>
      <c r="Z20" s="134" t="str">
        <f t="shared" si="14"/>
        <v>M</v>
      </c>
      <c r="AA20" s="121">
        <f>TEXT('Table '!AN18,"jj mmm aaaa")-365</f>
        <v>43082</v>
      </c>
      <c r="AB20" s="47"/>
      <c r="AC20" s="47"/>
      <c r="AD20" s="18">
        <f t="shared" si="15"/>
        <v>0</v>
      </c>
      <c r="AE20" s="19">
        <f t="shared" si="6"/>
        <v>0</v>
      </c>
      <c r="AF20" s="20">
        <f t="shared" si="7"/>
        <v>0</v>
      </c>
    </row>
    <row r="21" spans="2:32" s="7" customFormat="1">
      <c r="B21" s="8" t="str">
        <f t="shared" si="16"/>
        <v>J</v>
      </c>
      <c r="C21" s="121">
        <f>TEXT('Table '!AN19,"jj mmm aaaa")-365</f>
        <v>43083</v>
      </c>
      <c r="D21" s="49"/>
      <c r="E21" s="49"/>
      <c r="F21" s="25">
        <f t="shared" si="9"/>
        <v>0</v>
      </c>
      <c r="G21" s="26">
        <f t="shared" si="0"/>
        <v>0</v>
      </c>
      <c r="H21" s="27">
        <f t="shared" si="1"/>
        <v>0</v>
      </c>
      <c r="I21" s="45"/>
      <c r="J21" s="131" t="str">
        <f t="shared" si="10"/>
        <v>J</v>
      </c>
      <c r="K21" s="121">
        <f>TEXT('Table '!AN19,"jj mmm aaaa")-365</f>
        <v>43083</v>
      </c>
      <c r="L21" s="48"/>
      <c r="M21" s="48"/>
      <c r="N21" s="25">
        <f t="shared" si="11"/>
        <v>0</v>
      </c>
      <c r="O21" s="26">
        <f t="shared" si="2"/>
        <v>0</v>
      </c>
      <c r="P21" s="27">
        <f t="shared" si="3"/>
        <v>0</v>
      </c>
      <c r="R21" s="131" t="str">
        <f t="shared" si="12"/>
        <v>J</v>
      </c>
      <c r="S21" s="121">
        <f>TEXT('Table '!AN19,"jj mmm aaaa")-365</f>
        <v>43083</v>
      </c>
      <c r="T21" s="48"/>
      <c r="U21" s="48"/>
      <c r="V21" s="12">
        <f t="shared" si="13"/>
        <v>0</v>
      </c>
      <c r="W21" s="13">
        <f t="shared" si="4"/>
        <v>0</v>
      </c>
      <c r="X21" s="14">
        <f t="shared" si="5"/>
        <v>0</v>
      </c>
      <c r="Y21" s="21"/>
      <c r="Z21" s="134" t="str">
        <f t="shared" si="14"/>
        <v>J</v>
      </c>
      <c r="AA21" s="121">
        <f>TEXT('Table '!AN19,"jj mmm aaaa")-365</f>
        <v>43083</v>
      </c>
      <c r="AB21" s="47"/>
      <c r="AC21" s="47"/>
      <c r="AD21" s="18">
        <f t="shared" si="15"/>
        <v>0</v>
      </c>
      <c r="AE21" s="19">
        <f t="shared" si="6"/>
        <v>0</v>
      </c>
      <c r="AF21" s="20">
        <f t="shared" si="7"/>
        <v>0</v>
      </c>
    </row>
    <row r="22" spans="2:32" s="7" customFormat="1">
      <c r="B22" s="8" t="str">
        <f t="shared" si="16"/>
        <v>V</v>
      </c>
      <c r="C22" s="121">
        <f>TEXT('Table '!AN20,"jj mmm aaaa")-365</f>
        <v>43084</v>
      </c>
      <c r="D22" s="49"/>
      <c r="E22" s="49"/>
      <c r="F22" s="25">
        <f t="shared" si="9"/>
        <v>0</v>
      </c>
      <c r="G22" s="26">
        <f t="shared" si="0"/>
        <v>0</v>
      </c>
      <c r="H22" s="27">
        <f t="shared" si="1"/>
        <v>0</v>
      </c>
      <c r="I22" s="45"/>
      <c r="J22" s="131" t="str">
        <f t="shared" si="10"/>
        <v>V</v>
      </c>
      <c r="K22" s="121">
        <f>TEXT('Table '!AN20,"jj mmm aaaa")-365</f>
        <v>43084</v>
      </c>
      <c r="L22" s="48"/>
      <c r="M22" s="48"/>
      <c r="N22" s="25">
        <f t="shared" si="11"/>
        <v>0</v>
      </c>
      <c r="O22" s="26">
        <f t="shared" si="2"/>
        <v>0</v>
      </c>
      <c r="P22" s="27">
        <f t="shared" si="3"/>
        <v>0</v>
      </c>
      <c r="R22" s="131" t="str">
        <f t="shared" si="12"/>
        <v>V</v>
      </c>
      <c r="S22" s="121">
        <f>TEXT('Table '!AN20,"jj mmm aaaa")-365</f>
        <v>43084</v>
      </c>
      <c r="T22" s="48"/>
      <c r="U22" s="48"/>
      <c r="V22" s="12">
        <f t="shared" si="13"/>
        <v>0</v>
      </c>
      <c r="W22" s="13">
        <f t="shared" si="4"/>
        <v>0</v>
      </c>
      <c r="X22" s="14">
        <f t="shared" si="5"/>
        <v>0</v>
      </c>
      <c r="Y22" s="21"/>
      <c r="Z22" s="134" t="str">
        <f t="shared" si="14"/>
        <v>V</v>
      </c>
      <c r="AA22" s="121">
        <f>TEXT('Table '!AN20,"jj mmm aaaa")-365</f>
        <v>43084</v>
      </c>
      <c r="AB22" s="47"/>
      <c r="AC22" s="47"/>
      <c r="AD22" s="18">
        <f t="shared" si="15"/>
        <v>0</v>
      </c>
      <c r="AE22" s="19">
        <f t="shared" si="6"/>
        <v>0</v>
      </c>
      <c r="AF22" s="20">
        <f t="shared" si="7"/>
        <v>0</v>
      </c>
    </row>
    <row r="23" spans="2:32" s="7" customFormat="1">
      <c r="B23" s="8" t="str">
        <f t="shared" si="16"/>
        <v>S</v>
      </c>
      <c r="C23" s="121">
        <f>TEXT('Table '!AN21,"jj mmm aaaa")-365</f>
        <v>43085</v>
      </c>
      <c r="D23" s="49"/>
      <c r="E23" s="49"/>
      <c r="F23" s="25">
        <f t="shared" si="9"/>
        <v>0</v>
      </c>
      <c r="G23" s="26">
        <f t="shared" si="0"/>
        <v>0</v>
      </c>
      <c r="H23" s="27">
        <f t="shared" si="1"/>
        <v>0</v>
      </c>
      <c r="I23" s="45"/>
      <c r="J23" s="131" t="str">
        <f t="shared" si="10"/>
        <v>S</v>
      </c>
      <c r="K23" s="121">
        <f>TEXT('Table '!AN21,"jj mmm aaaa")-365</f>
        <v>43085</v>
      </c>
      <c r="L23" s="48"/>
      <c r="M23" s="48"/>
      <c r="N23" s="25">
        <f t="shared" si="11"/>
        <v>0</v>
      </c>
      <c r="O23" s="26">
        <f t="shared" si="2"/>
        <v>0</v>
      </c>
      <c r="P23" s="27">
        <f t="shared" si="3"/>
        <v>0</v>
      </c>
      <c r="R23" s="131" t="str">
        <f t="shared" si="12"/>
        <v>S</v>
      </c>
      <c r="S23" s="121">
        <f>TEXT('Table '!AN21,"jj mmm aaaa")-365</f>
        <v>43085</v>
      </c>
      <c r="T23" s="48"/>
      <c r="U23" s="48"/>
      <c r="V23" s="12">
        <f t="shared" si="13"/>
        <v>0</v>
      </c>
      <c r="W23" s="13">
        <f t="shared" si="4"/>
        <v>0</v>
      </c>
      <c r="X23" s="14">
        <f t="shared" si="5"/>
        <v>0</v>
      </c>
      <c r="Y23" s="21"/>
      <c r="Z23" s="134" t="str">
        <f t="shared" si="14"/>
        <v>S</v>
      </c>
      <c r="AA23" s="121">
        <f>TEXT('Table '!AN21,"jj mmm aaaa")-365</f>
        <v>43085</v>
      </c>
      <c r="AB23" s="47"/>
      <c r="AC23" s="47"/>
      <c r="AD23" s="18">
        <f t="shared" si="15"/>
        <v>0</v>
      </c>
      <c r="AE23" s="19">
        <f t="shared" si="6"/>
        <v>0</v>
      </c>
      <c r="AF23" s="20">
        <f t="shared" si="7"/>
        <v>0</v>
      </c>
    </row>
    <row r="24" spans="2:32" s="7" customFormat="1">
      <c r="B24" s="8" t="str">
        <f t="shared" si="16"/>
        <v>D</v>
      </c>
      <c r="C24" s="121">
        <f>TEXT('Table '!AN22,"jj mmm aaaa")-365</f>
        <v>43086</v>
      </c>
      <c r="D24" s="49"/>
      <c r="E24" s="49"/>
      <c r="F24" s="25">
        <f t="shared" si="9"/>
        <v>0</v>
      </c>
      <c r="G24" s="26">
        <f t="shared" si="0"/>
        <v>0</v>
      </c>
      <c r="H24" s="27">
        <f t="shared" si="1"/>
        <v>0</v>
      </c>
      <c r="I24" s="45"/>
      <c r="J24" s="131" t="str">
        <f t="shared" si="10"/>
        <v>D</v>
      </c>
      <c r="K24" s="121">
        <f>TEXT('Table '!AN22,"jj mmm aaaa")-365</f>
        <v>43086</v>
      </c>
      <c r="L24" s="49"/>
      <c r="M24" s="49"/>
      <c r="N24" s="25">
        <f t="shared" si="11"/>
        <v>0</v>
      </c>
      <c r="O24" s="26">
        <f t="shared" si="2"/>
        <v>0</v>
      </c>
      <c r="P24" s="27">
        <f t="shared" si="3"/>
        <v>0</v>
      </c>
      <c r="R24" s="131" t="str">
        <f t="shared" si="12"/>
        <v>D</v>
      </c>
      <c r="S24" s="121">
        <f>TEXT('Table '!AN22,"jj mmm aaaa")-365</f>
        <v>43086</v>
      </c>
      <c r="T24" s="48"/>
      <c r="U24" s="48"/>
      <c r="V24" s="12">
        <f t="shared" si="13"/>
        <v>0</v>
      </c>
      <c r="W24" s="13">
        <f t="shared" si="4"/>
        <v>0</v>
      </c>
      <c r="X24" s="14">
        <f t="shared" si="5"/>
        <v>0</v>
      </c>
      <c r="Y24" s="21"/>
      <c r="Z24" s="134" t="str">
        <f t="shared" si="14"/>
        <v>D</v>
      </c>
      <c r="AA24" s="121">
        <f>TEXT('Table '!AN22,"jj mmm aaaa")-365</f>
        <v>43086</v>
      </c>
      <c r="AB24" s="47"/>
      <c r="AC24" s="47"/>
      <c r="AD24" s="18">
        <f t="shared" si="15"/>
        <v>0</v>
      </c>
      <c r="AE24" s="19">
        <f t="shared" si="6"/>
        <v>0</v>
      </c>
      <c r="AF24" s="20">
        <f t="shared" si="7"/>
        <v>0</v>
      </c>
    </row>
    <row r="25" spans="2:32" s="7" customFormat="1">
      <c r="B25" s="8" t="str">
        <f t="shared" si="16"/>
        <v>L</v>
      </c>
      <c r="C25" s="121">
        <f>TEXT('Table '!AN23,"jj mmm aaaa")-365</f>
        <v>43087</v>
      </c>
      <c r="D25" s="49"/>
      <c r="E25" s="49"/>
      <c r="F25" s="25">
        <f t="shared" si="9"/>
        <v>0</v>
      </c>
      <c r="G25" s="26">
        <f t="shared" si="0"/>
        <v>0</v>
      </c>
      <c r="H25" s="27">
        <f t="shared" si="1"/>
        <v>0</v>
      </c>
      <c r="I25" s="45"/>
      <c r="J25" s="131" t="str">
        <f t="shared" si="10"/>
        <v>L</v>
      </c>
      <c r="K25" s="121">
        <f>TEXT('Table '!AN23,"jj mmm aaaa")-365</f>
        <v>43087</v>
      </c>
      <c r="L25" s="49"/>
      <c r="M25" s="49"/>
      <c r="N25" s="25">
        <f t="shared" si="11"/>
        <v>0</v>
      </c>
      <c r="O25" s="26">
        <f t="shared" si="2"/>
        <v>0</v>
      </c>
      <c r="P25" s="27">
        <f t="shared" si="3"/>
        <v>0</v>
      </c>
      <c r="R25" s="131" t="str">
        <f t="shared" si="12"/>
        <v>L</v>
      </c>
      <c r="S25" s="121">
        <f>TEXT('Table '!AN23,"jj mmm aaaa")-365</f>
        <v>43087</v>
      </c>
      <c r="T25" s="48"/>
      <c r="U25" s="48"/>
      <c r="V25" s="12">
        <f t="shared" si="13"/>
        <v>0</v>
      </c>
      <c r="W25" s="13">
        <f t="shared" si="4"/>
        <v>0</v>
      </c>
      <c r="X25" s="14">
        <f t="shared" si="5"/>
        <v>0</v>
      </c>
      <c r="Y25" s="21"/>
      <c r="Z25" s="134" t="str">
        <f t="shared" si="14"/>
        <v>L</v>
      </c>
      <c r="AA25" s="121">
        <f>TEXT('Table '!AN23,"jj mmm aaaa")-365</f>
        <v>43087</v>
      </c>
      <c r="AB25" s="47"/>
      <c r="AC25" s="47"/>
      <c r="AD25" s="18">
        <f t="shared" si="15"/>
        <v>0</v>
      </c>
      <c r="AE25" s="19">
        <f t="shared" si="6"/>
        <v>0</v>
      </c>
      <c r="AF25" s="20">
        <f t="shared" si="7"/>
        <v>0</v>
      </c>
    </row>
    <row r="26" spans="2:32" s="7" customFormat="1">
      <c r="B26" s="8" t="str">
        <f t="shared" si="16"/>
        <v>M</v>
      </c>
      <c r="C26" s="121">
        <f>TEXT('Table '!AN24,"jj mmm aaaa")-365</f>
        <v>43088</v>
      </c>
      <c r="D26" s="49"/>
      <c r="E26" s="49"/>
      <c r="F26" s="25">
        <f t="shared" si="9"/>
        <v>0</v>
      </c>
      <c r="G26" s="26">
        <f t="shared" si="0"/>
        <v>0</v>
      </c>
      <c r="H26" s="27">
        <f t="shared" si="1"/>
        <v>0</v>
      </c>
      <c r="I26" s="45"/>
      <c r="J26" s="131" t="str">
        <f t="shared" si="10"/>
        <v>M</v>
      </c>
      <c r="K26" s="121">
        <f>TEXT('Table '!AN24,"jj mmm aaaa")-365</f>
        <v>43088</v>
      </c>
      <c r="L26" s="48"/>
      <c r="M26" s="48"/>
      <c r="N26" s="25">
        <f t="shared" si="11"/>
        <v>0</v>
      </c>
      <c r="O26" s="26">
        <f t="shared" si="2"/>
        <v>0</v>
      </c>
      <c r="P26" s="27">
        <f t="shared" si="3"/>
        <v>0</v>
      </c>
      <c r="R26" s="131" t="str">
        <f t="shared" si="12"/>
        <v>M</v>
      </c>
      <c r="S26" s="121">
        <f>TEXT('Table '!AN24,"jj mmm aaaa")-365</f>
        <v>43088</v>
      </c>
      <c r="T26" s="48"/>
      <c r="U26" s="48"/>
      <c r="V26" s="12">
        <f t="shared" si="13"/>
        <v>0</v>
      </c>
      <c r="W26" s="13">
        <f t="shared" si="4"/>
        <v>0</v>
      </c>
      <c r="X26" s="14">
        <f t="shared" si="5"/>
        <v>0</v>
      </c>
      <c r="Y26" s="21"/>
      <c r="Z26" s="134" t="str">
        <f t="shared" si="14"/>
        <v>M</v>
      </c>
      <c r="AA26" s="121">
        <f>TEXT('Table '!AN24,"jj mmm aaaa")-365</f>
        <v>43088</v>
      </c>
      <c r="AB26" s="47"/>
      <c r="AC26" s="47"/>
      <c r="AD26" s="18">
        <f t="shared" si="15"/>
        <v>0</v>
      </c>
      <c r="AE26" s="19">
        <f t="shared" si="6"/>
        <v>0</v>
      </c>
      <c r="AF26" s="20">
        <f t="shared" si="7"/>
        <v>0</v>
      </c>
    </row>
    <row r="27" spans="2:32" s="7" customFormat="1">
      <c r="B27" s="8" t="str">
        <f t="shared" si="16"/>
        <v>M</v>
      </c>
      <c r="C27" s="121">
        <f>TEXT('Table '!AN25,"jj mmm aaaa")-365</f>
        <v>43089</v>
      </c>
      <c r="D27" s="49"/>
      <c r="E27" s="49"/>
      <c r="F27" s="25">
        <f t="shared" si="9"/>
        <v>0</v>
      </c>
      <c r="G27" s="26">
        <f t="shared" si="0"/>
        <v>0</v>
      </c>
      <c r="H27" s="27">
        <f t="shared" si="1"/>
        <v>0</v>
      </c>
      <c r="I27" s="45"/>
      <c r="J27" s="131" t="str">
        <f t="shared" si="10"/>
        <v>M</v>
      </c>
      <c r="K27" s="121">
        <f>TEXT('Table '!AN25,"jj mmm aaaa")-365</f>
        <v>43089</v>
      </c>
      <c r="L27" s="48"/>
      <c r="M27" s="48"/>
      <c r="N27" s="25">
        <f t="shared" si="11"/>
        <v>0</v>
      </c>
      <c r="O27" s="26">
        <f t="shared" si="2"/>
        <v>0</v>
      </c>
      <c r="P27" s="27">
        <f t="shared" si="3"/>
        <v>0</v>
      </c>
      <c r="R27" s="131" t="str">
        <f t="shared" si="12"/>
        <v>M</v>
      </c>
      <c r="S27" s="121">
        <f>TEXT('Table '!AN25,"jj mmm aaaa")-365</f>
        <v>43089</v>
      </c>
      <c r="T27" s="48"/>
      <c r="U27" s="48"/>
      <c r="V27" s="12">
        <f t="shared" si="13"/>
        <v>0</v>
      </c>
      <c r="W27" s="13">
        <f t="shared" si="4"/>
        <v>0</v>
      </c>
      <c r="X27" s="14">
        <f t="shared" si="5"/>
        <v>0</v>
      </c>
      <c r="Y27" s="21"/>
      <c r="Z27" s="134" t="str">
        <f t="shared" si="14"/>
        <v>M</v>
      </c>
      <c r="AA27" s="121">
        <f>TEXT('Table '!AN25,"jj mmm aaaa")-365</f>
        <v>43089</v>
      </c>
      <c r="AB27" s="47"/>
      <c r="AC27" s="47"/>
      <c r="AD27" s="18">
        <f t="shared" si="15"/>
        <v>0</v>
      </c>
      <c r="AE27" s="19">
        <f t="shared" si="6"/>
        <v>0</v>
      </c>
      <c r="AF27" s="20">
        <f t="shared" si="7"/>
        <v>0</v>
      </c>
    </row>
    <row r="28" spans="2:32" s="7" customFormat="1">
      <c r="B28" s="8" t="str">
        <f t="shared" si="16"/>
        <v>J</v>
      </c>
      <c r="C28" s="121">
        <f>TEXT('Table '!AN26,"jj mmm aaaa")-365</f>
        <v>43090</v>
      </c>
      <c r="D28" s="49"/>
      <c r="E28" s="49"/>
      <c r="F28" s="25">
        <f t="shared" si="9"/>
        <v>0</v>
      </c>
      <c r="G28" s="26">
        <f t="shared" si="0"/>
        <v>0</v>
      </c>
      <c r="H28" s="27">
        <f t="shared" si="1"/>
        <v>0</v>
      </c>
      <c r="I28" s="45"/>
      <c r="J28" s="131" t="str">
        <f t="shared" si="10"/>
        <v>J</v>
      </c>
      <c r="K28" s="121">
        <f>TEXT('Table '!AN26,"jj mmm aaaa")-365</f>
        <v>43090</v>
      </c>
      <c r="L28" s="48"/>
      <c r="M28" s="48"/>
      <c r="N28" s="25">
        <f t="shared" si="11"/>
        <v>0</v>
      </c>
      <c r="O28" s="26">
        <f t="shared" si="2"/>
        <v>0</v>
      </c>
      <c r="P28" s="27">
        <f t="shared" si="3"/>
        <v>0</v>
      </c>
      <c r="R28" s="131" t="str">
        <f t="shared" si="12"/>
        <v>J</v>
      </c>
      <c r="S28" s="121">
        <f>TEXT('Table '!AN26,"jj mmm aaaa")-365</f>
        <v>43090</v>
      </c>
      <c r="T28" s="48"/>
      <c r="U28" s="48"/>
      <c r="V28" s="12">
        <f t="shared" si="13"/>
        <v>0</v>
      </c>
      <c r="W28" s="13">
        <f t="shared" si="4"/>
        <v>0</v>
      </c>
      <c r="X28" s="14">
        <f t="shared" si="5"/>
        <v>0</v>
      </c>
      <c r="Y28" s="21"/>
      <c r="Z28" s="134" t="str">
        <f t="shared" si="14"/>
        <v>J</v>
      </c>
      <c r="AA28" s="121">
        <f>TEXT('Table '!AN26,"jj mmm aaaa")-365</f>
        <v>43090</v>
      </c>
      <c r="AB28" s="47"/>
      <c r="AC28" s="47"/>
      <c r="AD28" s="18">
        <f t="shared" si="15"/>
        <v>0</v>
      </c>
      <c r="AE28" s="19">
        <f t="shared" si="6"/>
        <v>0</v>
      </c>
      <c r="AF28" s="20">
        <f t="shared" si="7"/>
        <v>0</v>
      </c>
    </row>
    <row r="29" spans="2:32" s="7" customFormat="1">
      <c r="B29" s="8" t="str">
        <f t="shared" si="16"/>
        <v>V</v>
      </c>
      <c r="C29" s="121">
        <f>TEXT('Table '!AN27,"jj mmm aaaa")-365</f>
        <v>43091</v>
      </c>
      <c r="D29" s="49"/>
      <c r="E29" s="49"/>
      <c r="F29" s="25">
        <f t="shared" si="9"/>
        <v>0</v>
      </c>
      <c r="G29" s="26">
        <f t="shared" si="0"/>
        <v>0</v>
      </c>
      <c r="H29" s="27">
        <f t="shared" si="1"/>
        <v>0</v>
      </c>
      <c r="I29" s="45"/>
      <c r="J29" s="131" t="str">
        <f t="shared" si="10"/>
        <v>V</v>
      </c>
      <c r="K29" s="121">
        <f>TEXT('Table '!AN27,"jj mmm aaaa")-365</f>
        <v>43091</v>
      </c>
      <c r="L29" s="48"/>
      <c r="M29" s="48"/>
      <c r="N29" s="25">
        <f t="shared" si="11"/>
        <v>0</v>
      </c>
      <c r="O29" s="26">
        <f t="shared" si="2"/>
        <v>0</v>
      </c>
      <c r="P29" s="27">
        <f t="shared" si="3"/>
        <v>0</v>
      </c>
      <c r="R29" s="131" t="str">
        <f t="shared" si="12"/>
        <v>V</v>
      </c>
      <c r="S29" s="121">
        <f>TEXT('Table '!AN27,"jj mmm aaaa")-365</f>
        <v>43091</v>
      </c>
      <c r="T29" s="48"/>
      <c r="U29" s="48"/>
      <c r="V29" s="12">
        <f t="shared" si="13"/>
        <v>0</v>
      </c>
      <c r="W29" s="13">
        <f t="shared" si="4"/>
        <v>0</v>
      </c>
      <c r="X29" s="14">
        <f t="shared" si="5"/>
        <v>0</v>
      </c>
      <c r="Y29" s="21"/>
      <c r="Z29" s="134" t="str">
        <f t="shared" si="14"/>
        <v>V</v>
      </c>
      <c r="AA29" s="121">
        <f>TEXT('Table '!AN27,"jj mmm aaaa")-365</f>
        <v>43091</v>
      </c>
      <c r="AB29" s="47"/>
      <c r="AC29" s="47"/>
      <c r="AD29" s="18">
        <f t="shared" si="15"/>
        <v>0</v>
      </c>
      <c r="AE29" s="19">
        <f t="shared" si="6"/>
        <v>0</v>
      </c>
      <c r="AF29" s="20">
        <f t="shared" si="7"/>
        <v>0</v>
      </c>
    </row>
    <row r="30" spans="2:32" s="7" customFormat="1">
      <c r="B30" s="8" t="str">
        <f t="shared" si="16"/>
        <v>S</v>
      </c>
      <c r="C30" s="121">
        <f>TEXT('Table '!AN28,"jj mmm aaaa")-365</f>
        <v>43092</v>
      </c>
      <c r="D30" s="49"/>
      <c r="E30" s="49"/>
      <c r="F30" s="25">
        <f t="shared" si="9"/>
        <v>0</v>
      </c>
      <c r="G30" s="26">
        <f t="shared" si="0"/>
        <v>0</v>
      </c>
      <c r="H30" s="27">
        <f t="shared" si="1"/>
        <v>0</v>
      </c>
      <c r="I30" s="45"/>
      <c r="J30" s="131" t="str">
        <f t="shared" si="10"/>
        <v>S</v>
      </c>
      <c r="K30" s="121">
        <f>TEXT('Table '!AN28,"jj mmm aaaa")-365</f>
        <v>43092</v>
      </c>
      <c r="L30" s="48"/>
      <c r="M30" s="48"/>
      <c r="N30" s="25">
        <f t="shared" si="11"/>
        <v>0</v>
      </c>
      <c r="O30" s="26">
        <f t="shared" si="2"/>
        <v>0</v>
      </c>
      <c r="P30" s="27">
        <f t="shared" si="3"/>
        <v>0</v>
      </c>
      <c r="R30" s="131" t="str">
        <f t="shared" si="12"/>
        <v>S</v>
      </c>
      <c r="S30" s="121">
        <f>TEXT('Table '!AN28,"jj mmm aaaa")-365</f>
        <v>43092</v>
      </c>
      <c r="T30" s="48"/>
      <c r="U30" s="48"/>
      <c r="V30" s="12">
        <f t="shared" si="13"/>
        <v>0</v>
      </c>
      <c r="W30" s="13">
        <f t="shared" si="4"/>
        <v>0</v>
      </c>
      <c r="X30" s="14">
        <f t="shared" si="5"/>
        <v>0</v>
      </c>
      <c r="Y30" s="21"/>
      <c r="Z30" s="134" t="str">
        <f t="shared" si="14"/>
        <v>S</v>
      </c>
      <c r="AA30" s="121">
        <f>TEXT('Table '!AN28,"jj mmm aaaa")-365</f>
        <v>43092</v>
      </c>
      <c r="AB30" s="47"/>
      <c r="AC30" s="47"/>
      <c r="AD30" s="18">
        <f t="shared" si="15"/>
        <v>0</v>
      </c>
      <c r="AE30" s="19">
        <f t="shared" si="6"/>
        <v>0</v>
      </c>
      <c r="AF30" s="20">
        <f t="shared" si="7"/>
        <v>0</v>
      </c>
    </row>
    <row r="31" spans="2:32" s="7" customFormat="1">
      <c r="B31" s="8" t="str">
        <f t="shared" si="16"/>
        <v>D</v>
      </c>
      <c r="C31" s="121">
        <f>TEXT('Table '!AN29,"jj mmm aaaa")-365</f>
        <v>43093</v>
      </c>
      <c r="D31" s="49"/>
      <c r="E31" s="49"/>
      <c r="F31" s="25">
        <f t="shared" si="9"/>
        <v>0</v>
      </c>
      <c r="G31" s="26">
        <f t="shared" si="0"/>
        <v>0</v>
      </c>
      <c r="H31" s="27">
        <f t="shared" si="1"/>
        <v>0</v>
      </c>
      <c r="I31" s="45"/>
      <c r="J31" s="131" t="str">
        <f t="shared" si="10"/>
        <v>D</v>
      </c>
      <c r="K31" s="121">
        <f>TEXT('Table '!AN29,"jj mmm aaaa")-365</f>
        <v>43093</v>
      </c>
      <c r="L31" s="49"/>
      <c r="M31" s="49"/>
      <c r="N31" s="25">
        <f t="shared" si="11"/>
        <v>0</v>
      </c>
      <c r="O31" s="26">
        <f t="shared" si="2"/>
        <v>0</v>
      </c>
      <c r="P31" s="27">
        <f t="shared" si="3"/>
        <v>0</v>
      </c>
      <c r="R31" s="131" t="str">
        <f t="shared" si="12"/>
        <v>D</v>
      </c>
      <c r="S31" s="121">
        <f>TEXT('Table '!AN29,"jj mmm aaaa")-365</f>
        <v>43093</v>
      </c>
      <c r="T31" s="48"/>
      <c r="U31" s="48"/>
      <c r="V31" s="12">
        <f t="shared" si="13"/>
        <v>0</v>
      </c>
      <c r="W31" s="13">
        <f t="shared" si="4"/>
        <v>0</v>
      </c>
      <c r="X31" s="14">
        <f t="shared" si="5"/>
        <v>0</v>
      </c>
      <c r="Y31" s="21"/>
      <c r="Z31" s="134" t="str">
        <f t="shared" si="14"/>
        <v>D</v>
      </c>
      <c r="AA31" s="121">
        <f>TEXT('Table '!AN29,"jj mmm aaaa")-365</f>
        <v>43093</v>
      </c>
      <c r="AB31" s="47"/>
      <c r="AC31" s="47"/>
      <c r="AD31" s="18">
        <f t="shared" si="15"/>
        <v>0</v>
      </c>
      <c r="AE31" s="19">
        <f t="shared" si="6"/>
        <v>0</v>
      </c>
      <c r="AF31" s="20">
        <f t="shared" si="7"/>
        <v>0</v>
      </c>
    </row>
    <row r="32" spans="2:32" s="7" customFormat="1">
      <c r="B32" s="8" t="str">
        <f t="shared" si="16"/>
        <v>L</v>
      </c>
      <c r="C32" s="121">
        <f>TEXT('Table '!AN30,"jj mmm aaaa")-365</f>
        <v>43094</v>
      </c>
      <c r="D32" s="49"/>
      <c r="E32" s="49"/>
      <c r="F32" s="25">
        <f t="shared" si="9"/>
        <v>0</v>
      </c>
      <c r="G32" s="26">
        <f t="shared" si="0"/>
        <v>0</v>
      </c>
      <c r="H32" s="27">
        <f t="shared" si="1"/>
        <v>0</v>
      </c>
      <c r="I32" s="45"/>
      <c r="J32" s="131" t="str">
        <f t="shared" si="10"/>
        <v>L</v>
      </c>
      <c r="K32" s="121">
        <f>TEXT('Table '!AN30,"jj mmm aaaa")-365</f>
        <v>43094</v>
      </c>
      <c r="L32" s="49"/>
      <c r="M32" s="49"/>
      <c r="N32" s="25">
        <f t="shared" si="11"/>
        <v>0</v>
      </c>
      <c r="O32" s="26">
        <f t="shared" si="2"/>
        <v>0</v>
      </c>
      <c r="P32" s="27">
        <f t="shared" si="3"/>
        <v>0</v>
      </c>
      <c r="R32" s="131" t="str">
        <f t="shared" si="12"/>
        <v>L</v>
      </c>
      <c r="S32" s="121">
        <f>TEXT('Table '!AN30,"jj mmm aaaa")-365</f>
        <v>43094</v>
      </c>
      <c r="T32" s="48"/>
      <c r="U32" s="48"/>
      <c r="V32" s="12">
        <f t="shared" si="13"/>
        <v>0</v>
      </c>
      <c r="W32" s="13">
        <f t="shared" si="4"/>
        <v>0</v>
      </c>
      <c r="X32" s="14">
        <f t="shared" si="5"/>
        <v>0</v>
      </c>
      <c r="Y32" s="21"/>
      <c r="Z32" s="134" t="str">
        <f t="shared" si="14"/>
        <v>L</v>
      </c>
      <c r="AA32" s="121">
        <f>TEXT('Table '!AN30,"jj mmm aaaa")-365</f>
        <v>43094</v>
      </c>
      <c r="AB32" s="47"/>
      <c r="AC32" s="47"/>
      <c r="AD32" s="18">
        <f t="shared" si="15"/>
        <v>0</v>
      </c>
      <c r="AE32" s="19">
        <f t="shared" si="6"/>
        <v>0</v>
      </c>
      <c r="AF32" s="20">
        <f t="shared" si="7"/>
        <v>0</v>
      </c>
    </row>
    <row r="33" spans="2:32" s="7" customFormat="1">
      <c r="B33" s="8" t="str">
        <f t="shared" si="16"/>
        <v>M</v>
      </c>
      <c r="C33" s="121">
        <f>TEXT('Table '!AN31,"jj mmm aaaa")-365</f>
        <v>43095</v>
      </c>
      <c r="D33" s="49"/>
      <c r="E33" s="49"/>
      <c r="F33" s="25">
        <f t="shared" si="9"/>
        <v>0</v>
      </c>
      <c r="G33" s="26">
        <f t="shared" si="0"/>
        <v>0</v>
      </c>
      <c r="H33" s="27">
        <f t="shared" si="1"/>
        <v>0</v>
      </c>
      <c r="I33" s="45"/>
      <c r="J33" s="131" t="str">
        <f t="shared" si="10"/>
        <v>M</v>
      </c>
      <c r="K33" s="121">
        <f>TEXT('Table '!AN31,"jj mmm aaaa")-365</f>
        <v>43095</v>
      </c>
      <c r="L33" s="48"/>
      <c r="M33" s="48"/>
      <c r="N33" s="25">
        <f t="shared" si="11"/>
        <v>0</v>
      </c>
      <c r="O33" s="26">
        <f t="shared" si="2"/>
        <v>0</v>
      </c>
      <c r="P33" s="27">
        <f t="shared" si="3"/>
        <v>0</v>
      </c>
      <c r="R33" s="131" t="str">
        <f t="shared" si="12"/>
        <v>M</v>
      </c>
      <c r="S33" s="121">
        <f>TEXT('Table '!AN31,"jj mmm aaaa")-365</f>
        <v>43095</v>
      </c>
      <c r="T33" s="48"/>
      <c r="U33" s="48"/>
      <c r="V33" s="12">
        <f t="shared" si="13"/>
        <v>0</v>
      </c>
      <c r="W33" s="13">
        <f t="shared" si="4"/>
        <v>0</v>
      </c>
      <c r="X33" s="14">
        <f t="shared" si="5"/>
        <v>0</v>
      </c>
      <c r="Y33" s="21"/>
      <c r="Z33" s="134" t="str">
        <f t="shared" si="14"/>
        <v>M</v>
      </c>
      <c r="AA33" s="121">
        <f>TEXT('Table '!AN31,"jj mmm aaaa")-365</f>
        <v>43095</v>
      </c>
      <c r="AB33" s="47"/>
      <c r="AC33" s="47"/>
      <c r="AD33" s="18">
        <f t="shared" si="15"/>
        <v>0</v>
      </c>
      <c r="AE33" s="19">
        <f t="shared" si="6"/>
        <v>0</v>
      </c>
      <c r="AF33" s="20">
        <f t="shared" si="7"/>
        <v>0</v>
      </c>
    </row>
    <row r="34" spans="2:32" s="7" customFormat="1">
      <c r="B34" s="8" t="str">
        <f t="shared" si="16"/>
        <v>M</v>
      </c>
      <c r="C34" s="121">
        <f>TEXT('Table '!AN32,"jj mmm aaaa")-365</f>
        <v>43096</v>
      </c>
      <c r="D34" s="49"/>
      <c r="E34" s="49"/>
      <c r="F34" s="25">
        <f t="shared" si="9"/>
        <v>0</v>
      </c>
      <c r="G34" s="26">
        <f t="shared" si="0"/>
        <v>0</v>
      </c>
      <c r="H34" s="27">
        <f t="shared" si="1"/>
        <v>0</v>
      </c>
      <c r="I34" s="45"/>
      <c r="J34" s="131" t="str">
        <f t="shared" si="10"/>
        <v>M</v>
      </c>
      <c r="K34" s="121">
        <f>TEXT('Table '!AN32,"jj mmm aaaa")-365</f>
        <v>43096</v>
      </c>
      <c r="L34" s="48"/>
      <c r="M34" s="48"/>
      <c r="N34" s="25">
        <f t="shared" si="11"/>
        <v>0</v>
      </c>
      <c r="O34" s="26">
        <f t="shared" si="2"/>
        <v>0</v>
      </c>
      <c r="P34" s="27">
        <f t="shared" si="3"/>
        <v>0</v>
      </c>
      <c r="R34" s="131" t="str">
        <f t="shared" si="12"/>
        <v>M</v>
      </c>
      <c r="S34" s="121">
        <f>TEXT('Table '!AN32,"jj mmm aaaa")-365</f>
        <v>43096</v>
      </c>
      <c r="T34" s="48"/>
      <c r="U34" s="48"/>
      <c r="V34" s="12">
        <f t="shared" si="13"/>
        <v>0</v>
      </c>
      <c r="W34" s="13">
        <f t="shared" si="4"/>
        <v>0</v>
      </c>
      <c r="X34" s="14">
        <f t="shared" si="5"/>
        <v>0</v>
      </c>
      <c r="Y34" s="21"/>
      <c r="Z34" s="134" t="str">
        <f t="shared" si="14"/>
        <v>M</v>
      </c>
      <c r="AA34" s="121">
        <f>TEXT('Table '!AN32,"jj mmm aaaa")-365</f>
        <v>43096</v>
      </c>
      <c r="AB34" s="47"/>
      <c r="AC34" s="47"/>
      <c r="AD34" s="18">
        <f t="shared" si="15"/>
        <v>0</v>
      </c>
      <c r="AE34" s="19">
        <f t="shared" si="6"/>
        <v>0</v>
      </c>
      <c r="AF34" s="20">
        <f t="shared" si="7"/>
        <v>0</v>
      </c>
    </row>
    <row r="35" spans="2:32" s="7" customFormat="1">
      <c r="B35" s="8" t="str">
        <f t="shared" si="16"/>
        <v>J</v>
      </c>
      <c r="C35" s="121">
        <f>TEXT('Table '!AN33,"jj mmm aaaa")-365</f>
        <v>43097</v>
      </c>
      <c r="D35" s="49"/>
      <c r="E35" s="49"/>
      <c r="F35" s="25">
        <f t="shared" si="9"/>
        <v>0</v>
      </c>
      <c r="G35" s="26">
        <f t="shared" si="0"/>
        <v>0</v>
      </c>
      <c r="H35" s="27">
        <f t="shared" si="1"/>
        <v>0</v>
      </c>
      <c r="I35" s="45"/>
      <c r="J35" s="131" t="str">
        <f t="shared" si="10"/>
        <v>J</v>
      </c>
      <c r="K35" s="121">
        <f>TEXT('Table '!AN33,"jj mmm aaaa")-365</f>
        <v>43097</v>
      </c>
      <c r="L35" s="48"/>
      <c r="M35" s="48"/>
      <c r="N35" s="25">
        <f t="shared" si="11"/>
        <v>0</v>
      </c>
      <c r="O35" s="26">
        <f t="shared" si="2"/>
        <v>0</v>
      </c>
      <c r="P35" s="27">
        <f t="shared" si="3"/>
        <v>0</v>
      </c>
      <c r="R35" s="131" t="str">
        <f t="shared" si="12"/>
        <v>J</v>
      </c>
      <c r="S35" s="121">
        <f>TEXT('Table '!AN33,"jj mmm aaaa")-365</f>
        <v>43097</v>
      </c>
      <c r="T35" s="48"/>
      <c r="U35" s="48"/>
      <c r="V35" s="12">
        <f t="shared" si="13"/>
        <v>0</v>
      </c>
      <c r="W35" s="13">
        <f t="shared" si="4"/>
        <v>0</v>
      </c>
      <c r="X35" s="14">
        <f t="shared" si="5"/>
        <v>0</v>
      </c>
      <c r="Y35" s="21"/>
      <c r="Z35" s="134" t="str">
        <f t="shared" si="14"/>
        <v>J</v>
      </c>
      <c r="AA35" s="121">
        <f>TEXT('Table '!AN33,"jj mmm aaaa")-365</f>
        <v>43097</v>
      </c>
      <c r="AB35" s="47"/>
      <c r="AC35" s="47"/>
      <c r="AD35" s="18">
        <f t="shared" si="15"/>
        <v>0</v>
      </c>
      <c r="AE35" s="19">
        <f t="shared" si="6"/>
        <v>0</v>
      </c>
      <c r="AF35" s="20">
        <f t="shared" si="7"/>
        <v>0</v>
      </c>
    </row>
    <row r="36" spans="2:32" s="7" customFormat="1">
      <c r="B36" s="8" t="str">
        <f t="shared" si="16"/>
        <v>V</v>
      </c>
      <c r="C36" s="121">
        <f>TEXT('Table '!AN34,"jj mmm aaaa")-365</f>
        <v>43098</v>
      </c>
      <c r="D36" s="49"/>
      <c r="E36" s="49"/>
      <c r="F36" s="25">
        <f t="shared" si="9"/>
        <v>0</v>
      </c>
      <c r="G36" s="26">
        <f t="shared" si="0"/>
        <v>0</v>
      </c>
      <c r="H36" s="27">
        <f t="shared" si="1"/>
        <v>0</v>
      </c>
      <c r="I36" s="45"/>
      <c r="J36" s="131" t="str">
        <f t="shared" si="10"/>
        <v>V</v>
      </c>
      <c r="K36" s="121">
        <f>TEXT('Table '!AN34,"jj mmm aaaa")-365</f>
        <v>43098</v>
      </c>
      <c r="L36" s="48"/>
      <c r="M36" s="48"/>
      <c r="N36" s="25">
        <f t="shared" si="11"/>
        <v>0</v>
      </c>
      <c r="O36" s="26">
        <f t="shared" si="2"/>
        <v>0</v>
      </c>
      <c r="P36" s="27">
        <f t="shared" si="3"/>
        <v>0</v>
      </c>
      <c r="R36" s="131" t="str">
        <f t="shared" si="12"/>
        <v>V</v>
      </c>
      <c r="S36" s="121">
        <f>TEXT('Table '!AN34,"jj mmm aaaa")-365</f>
        <v>43098</v>
      </c>
      <c r="T36" s="48"/>
      <c r="U36" s="48"/>
      <c r="V36" s="12">
        <f t="shared" si="13"/>
        <v>0</v>
      </c>
      <c r="W36" s="13">
        <f t="shared" si="4"/>
        <v>0</v>
      </c>
      <c r="X36" s="14">
        <f t="shared" si="5"/>
        <v>0</v>
      </c>
      <c r="Y36" s="21"/>
      <c r="Z36" s="134" t="str">
        <f t="shared" si="14"/>
        <v>V</v>
      </c>
      <c r="AA36" s="121">
        <f>TEXT('Table '!AN34,"jj mmm aaaa")-365</f>
        <v>43098</v>
      </c>
      <c r="AB36" s="47"/>
      <c r="AC36" s="47"/>
      <c r="AD36" s="18">
        <f t="shared" si="15"/>
        <v>0</v>
      </c>
      <c r="AE36" s="19">
        <f t="shared" si="6"/>
        <v>0</v>
      </c>
      <c r="AF36" s="20">
        <f t="shared" si="7"/>
        <v>0</v>
      </c>
    </row>
    <row r="37" spans="2:32" s="7" customFormat="1">
      <c r="B37" s="8" t="str">
        <f t="shared" si="16"/>
        <v>S</v>
      </c>
      <c r="C37" s="121">
        <f>TEXT('Table '!AN35,"jj mmm aaaa")-365</f>
        <v>43099</v>
      </c>
      <c r="D37" s="49"/>
      <c r="E37" s="49"/>
      <c r="F37" s="25">
        <f t="shared" si="9"/>
        <v>0</v>
      </c>
      <c r="G37" s="26">
        <f t="shared" si="0"/>
        <v>0</v>
      </c>
      <c r="H37" s="27">
        <f t="shared" si="1"/>
        <v>0</v>
      </c>
      <c r="I37" s="45"/>
      <c r="J37" s="131" t="str">
        <f t="shared" si="10"/>
        <v>S</v>
      </c>
      <c r="K37" s="121">
        <f>TEXT('Table '!AN35,"jj mmm aaaa")-365</f>
        <v>43099</v>
      </c>
      <c r="L37" s="48"/>
      <c r="M37" s="48"/>
      <c r="N37" s="25">
        <f t="shared" si="11"/>
        <v>0</v>
      </c>
      <c r="O37" s="26">
        <f t="shared" si="2"/>
        <v>0</v>
      </c>
      <c r="P37" s="27">
        <f t="shared" si="3"/>
        <v>0</v>
      </c>
      <c r="R37" s="131" t="str">
        <f t="shared" si="12"/>
        <v>S</v>
      </c>
      <c r="S37" s="121">
        <f>TEXT('Table '!AN35,"jj mmm aaaa")-365</f>
        <v>43099</v>
      </c>
      <c r="T37" s="48"/>
      <c r="U37" s="48"/>
      <c r="V37" s="12">
        <f t="shared" si="13"/>
        <v>0</v>
      </c>
      <c r="W37" s="13">
        <f t="shared" si="4"/>
        <v>0</v>
      </c>
      <c r="X37" s="14">
        <f t="shared" si="5"/>
        <v>0</v>
      </c>
      <c r="Y37" s="21"/>
      <c r="Z37" s="134" t="str">
        <f t="shared" si="14"/>
        <v>S</v>
      </c>
      <c r="AA37" s="121">
        <f>TEXT('Table '!AN35,"jj mmm aaaa")-365</f>
        <v>43099</v>
      </c>
      <c r="AB37" s="47"/>
      <c r="AC37" s="47"/>
      <c r="AD37" s="18">
        <f t="shared" si="15"/>
        <v>0</v>
      </c>
      <c r="AE37" s="19">
        <f t="shared" si="6"/>
        <v>0</v>
      </c>
      <c r="AF37" s="20">
        <f t="shared" si="7"/>
        <v>0</v>
      </c>
    </row>
    <row r="38" spans="2:32" s="7" customFormat="1" ht="15.75" thickBot="1">
      <c r="B38" s="8" t="str">
        <f t="shared" si="16"/>
        <v>D</v>
      </c>
      <c r="C38" s="121">
        <f>TEXT('Table '!AN36,"jj mmm aaaa")-365</f>
        <v>43100</v>
      </c>
      <c r="D38" s="122"/>
      <c r="E38" s="122"/>
      <c r="F38" s="123">
        <f t="shared" si="9"/>
        <v>0</v>
      </c>
      <c r="G38" s="124">
        <f t="shared" si="0"/>
        <v>0</v>
      </c>
      <c r="H38" s="125">
        <f t="shared" si="1"/>
        <v>0</v>
      </c>
      <c r="J38" s="131" t="str">
        <f t="shared" si="10"/>
        <v>D</v>
      </c>
      <c r="K38" s="121">
        <f>TEXT('Table '!AN36,"jj mmm aaaa")-365</f>
        <v>43100</v>
      </c>
      <c r="L38" s="48"/>
      <c r="M38" s="48"/>
      <c r="N38" s="12">
        <f t="shared" si="11"/>
        <v>0</v>
      </c>
      <c r="O38" s="13">
        <f t="shared" si="2"/>
        <v>0</v>
      </c>
      <c r="P38" s="14">
        <f t="shared" si="3"/>
        <v>0</v>
      </c>
      <c r="R38" s="131" t="str">
        <f t="shared" si="12"/>
        <v>D</v>
      </c>
      <c r="S38" s="121">
        <f>TEXT('Table '!AN36,"jj mmm aaaa")-365</f>
        <v>43100</v>
      </c>
      <c r="T38" s="48"/>
      <c r="U38" s="48"/>
      <c r="V38" s="12">
        <f t="shared" si="13"/>
        <v>0</v>
      </c>
      <c r="W38" s="13">
        <f t="shared" si="4"/>
        <v>0</v>
      </c>
      <c r="X38" s="14">
        <f t="shared" si="5"/>
        <v>0</v>
      </c>
      <c r="Y38" s="21"/>
      <c r="Z38" s="134" t="str">
        <f t="shared" si="14"/>
        <v>D</v>
      </c>
      <c r="AA38" s="121">
        <f>TEXT('Table '!AN36,"jj mmm aaaa")-365</f>
        <v>43100</v>
      </c>
      <c r="AB38" s="47"/>
      <c r="AC38" s="47"/>
      <c r="AD38" s="18">
        <f t="shared" si="15"/>
        <v>0</v>
      </c>
      <c r="AE38" s="19">
        <f t="shared" si="6"/>
        <v>0</v>
      </c>
      <c r="AF38" s="20">
        <f t="shared" si="7"/>
        <v>0</v>
      </c>
    </row>
    <row r="39" spans="2:32" s="7" customFormat="1" ht="19.5" thickTop="1">
      <c r="B39" s="127"/>
      <c r="C39" s="62"/>
      <c r="D39" s="62"/>
      <c r="E39" s="63" t="s">
        <v>9</v>
      </c>
      <c r="F39" s="62"/>
      <c r="G39" s="64">
        <f>SUM(G8:G38)</f>
        <v>0</v>
      </c>
      <c r="H39" s="65"/>
      <c r="J39" s="127"/>
      <c r="K39" s="62"/>
      <c r="L39" s="62"/>
      <c r="M39" s="63" t="s">
        <v>9</v>
      </c>
      <c r="N39" s="62"/>
      <c r="O39" s="64">
        <f>SUM(O8:O38)</f>
        <v>0</v>
      </c>
      <c r="P39" s="65"/>
      <c r="R39" s="127"/>
      <c r="S39" s="62"/>
      <c r="T39" s="62"/>
      <c r="U39" s="63" t="s">
        <v>9</v>
      </c>
      <c r="V39" s="62"/>
      <c r="W39" s="64">
        <f>SUM(W8:W38)</f>
        <v>0</v>
      </c>
      <c r="X39" s="65"/>
      <c r="Z39" s="135"/>
      <c r="AA39" s="62"/>
      <c r="AB39" s="62"/>
      <c r="AC39" s="63" t="s">
        <v>9</v>
      </c>
      <c r="AD39" s="62"/>
      <c r="AE39" s="64">
        <f>SUM(AE8:AE23)</f>
        <v>0</v>
      </c>
      <c r="AF39" s="65"/>
    </row>
    <row r="40" spans="2:32" s="36" customFormat="1" ht="18.75">
      <c r="B40" s="128"/>
      <c r="C40" s="33"/>
      <c r="D40" s="33"/>
      <c r="E40" s="34" t="s">
        <v>10</v>
      </c>
      <c r="F40" s="33"/>
      <c r="G40" s="35"/>
      <c r="H40" s="32">
        <f>SUM(H8:H38)*24</f>
        <v>0</v>
      </c>
      <c r="J40" s="128"/>
      <c r="K40" s="33"/>
      <c r="L40" s="33"/>
      <c r="M40" s="34" t="s">
        <v>10</v>
      </c>
      <c r="N40" s="33"/>
      <c r="O40" s="35"/>
      <c r="P40" s="32">
        <f>SUM(P8:P38)*24</f>
        <v>0</v>
      </c>
      <c r="R40" s="128"/>
      <c r="S40" s="33"/>
      <c r="T40" s="33"/>
      <c r="U40" s="34" t="s">
        <v>10</v>
      </c>
      <c r="V40" s="33"/>
      <c r="W40" s="35"/>
      <c r="X40" s="32">
        <f>SUM(X8:X38)*24</f>
        <v>0</v>
      </c>
      <c r="Z40" s="136"/>
      <c r="AA40" s="33"/>
      <c r="AB40" s="33"/>
      <c r="AC40" s="34" t="s">
        <v>10</v>
      </c>
      <c r="AD40" s="33"/>
      <c r="AE40" s="35"/>
      <c r="AF40" s="32">
        <f>SUM(AF8:AF32)*24</f>
        <v>0</v>
      </c>
    </row>
    <row r="41" spans="2:32" s="7" customFormat="1" ht="6.75" customHeight="1" thickBot="1">
      <c r="B41" s="129"/>
      <c r="C41" s="16"/>
      <c r="D41" s="16"/>
      <c r="E41" s="16"/>
      <c r="F41" s="16"/>
      <c r="G41" s="16"/>
      <c r="H41" s="17"/>
      <c r="J41" s="129"/>
      <c r="K41" s="16"/>
      <c r="L41" s="16"/>
      <c r="M41" s="16"/>
      <c r="N41" s="16"/>
      <c r="O41" s="16"/>
      <c r="P41" s="17"/>
      <c r="R41" s="129"/>
      <c r="S41" s="16"/>
      <c r="T41" s="16"/>
      <c r="U41" s="16"/>
      <c r="V41" s="16"/>
      <c r="W41" s="16"/>
      <c r="X41" s="17"/>
      <c r="Z41" s="137"/>
      <c r="AA41" s="16"/>
      <c r="AB41" s="16"/>
      <c r="AC41" s="16"/>
      <c r="AD41" s="16"/>
      <c r="AE41" s="16"/>
      <c r="AF41" s="17"/>
    </row>
    <row r="42" spans="2:32" ht="15.75" thickTop="1"/>
  </sheetData>
  <sheetProtection formatCells="0" selectLockedCells="1"/>
  <mergeCells count="9">
    <mergeCell ref="B5:H6"/>
    <mergeCell ref="J5:P6"/>
    <mergeCell ref="R5:X6"/>
    <mergeCell ref="Z5:AF6"/>
    <mergeCell ref="G1:K1"/>
    <mergeCell ref="C1:E1"/>
    <mergeCell ref="L1:M1"/>
    <mergeCell ref="L2:M2"/>
    <mergeCell ref="L3:M3"/>
  </mergeCells>
  <conditionalFormatting sqref="B8:H38 J8:P38 R8:X38 Z8:AF38">
    <cfRule type="expression" dxfId="45" priority="2">
      <formula>AND($B8="S")</formula>
    </cfRule>
    <cfRule type="expression" dxfId="44" priority="4">
      <formula>AND($B8="D")</formula>
    </cfRule>
    <cfRule type="expression" dxfId="43" priority="1">
      <formula>COUNTIF(Feries,$C8)&gt;0</formula>
    </cfRule>
  </conditionalFormatting>
  <pageMargins left="0.7" right="0.7" top="0.75" bottom="0.75" header="0.3" footer="0.3"/>
  <pageSetup paperSize="9" orientation="portrait" horizontalDpi="4294967294" verticalDpi="429496729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>
    <tabColor theme="9" tint="0.39997558519241921"/>
  </sheetPr>
  <dimension ref="B1:AM44"/>
  <sheetViews>
    <sheetView showGridLines="0" workbookViewId="0">
      <selection activeCell="M4" sqref="M4"/>
    </sheetView>
  </sheetViews>
  <sheetFormatPr baseColWidth="10" defaultRowHeight="15"/>
  <cols>
    <col min="1" max="1" width="1.42578125" customWidth="1"/>
    <col min="2" max="2" width="3.7109375" style="6" customWidth="1"/>
    <col min="3" max="3" width="11.7109375" style="1" customWidth="1"/>
    <col min="4" max="8" width="9.5703125" style="1" customWidth="1"/>
    <col min="9" max="9" width="1.7109375" customWidth="1"/>
    <col min="10" max="10" width="3.7109375" style="6" customWidth="1"/>
    <col min="11" max="11" width="11.7109375" customWidth="1"/>
    <col min="12" max="16" width="9.5703125" customWidth="1"/>
    <col min="17" max="17" width="1.7109375" customWidth="1"/>
    <col min="18" max="18" width="3.7109375" style="6" customWidth="1"/>
    <col min="19" max="19" width="11.7109375" customWidth="1"/>
    <col min="20" max="24" width="9.5703125" customWidth="1"/>
    <col min="25" max="25" width="1.7109375" customWidth="1"/>
    <col min="26" max="26" width="3.7109375" style="6" customWidth="1"/>
    <col min="27" max="27" width="11.7109375" customWidth="1"/>
    <col min="28" max="32" width="9.5703125" customWidth="1"/>
  </cols>
  <sheetData>
    <row r="1" spans="2:39" ht="16.5" customHeight="1">
      <c r="C1" s="365" t="s">
        <v>1</v>
      </c>
      <c r="D1" s="365"/>
      <c r="E1" s="365"/>
      <c r="F1" s="54">
        <v>0.33333333333333331</v>
      </c>
      <c r="G1" s="52"/>
      <c r="H1" s="52"/>
      <c r="I1" s="52"/>
      <c r="J1" s="161"/>
      <c r="K1" s="52"/>
      <c r="L1" s="363"/>
      <c r="M1" s="363"/>
      <c r="N1" s="363"/>
    </row>
    <row r="2" spans="2:39" ht="16.5" customHeight="1">
      <c r="C2" s="55"/>
      <c r="D2" s="54">
        <v>0.33333333333333331</v>
      </c>
      <c r="E2" s="365" t="s">
        <v>3</v>
      </c>
      <c r="F2" s="365"/>
      <c r="G2" s="51"/>
      <c r="H2" s="51"/>
      <c r="I2" s="51"/>
      <c r="J2" s="161"/>
      <c r="K2" s="51"/>
      <c r="L2" s="363"/>
      <c r="M2" s="363"/>
      <c r="N2" s="363"/>
    </row>
    <row r="3" spans="2:39" ht="16.5" customHeight="1">
      <c r="C3" s="52"/>
      <c r="L3" s="363"/>
      <c r="M3" s="363"/>
      <c r="N3" s="363"/>
    </row>
    <row r="4" spans="2:39" ht="16.5" customHeight="1" thickBot="1">
      <c r="C4" s="6"/>
    </row>
    <row r="5" spans="2:39" s="7" customFormat="1" ht="15.75" thickTop="1">
      <c r="B5" s="338">
        <f>'Table '!C3</f>
        <v>1</v>
      </c>
      <c r="C5" s="339"/>
      <c r="D5" s="339"/>
      <c r="E5" s="339"/>
      <c r="F5" s="339"/>
      <c r="G5" s="339"/>
      <c r="H5" s="340"/>
      <c r="J5" s="344">
        <f>'Table '!G3</f>
        <v>2</v>
      </c>
      <c r="K5" s="345"/>
      <c r="L5" s="345"/>
      <c r="M5" s="345"/>
      <c r="N5" s="345"/>
      <c r="O5" s="345"/>
      <c r="P5" s="346"/>
      <c r="R5" s="350">
        <f>'Table '!C6</f>
        <v>3</v>
      </c>
      <c r="S5" s="351"/>
      <c r="T5" s="351"/>
      <c r="U5" s="351"/>
      <c r="V5" s="351"/>
      <c r="W5" s="351"/>
      <c r="X5" s="352"/>
      <c r="Z5" s="356">
        <f>'Table '!G6</f>
        <v>4</v>
      </c>
      <c r="AA5" s="357"/>
      <c r="AB5" s="357"/>
      <c r="AC5" s="357"/>
      <c r="AD5" s="357"/>
      <c r="AE5" s="357"/>
      <c r="AF5" s="358"/>
      <c r="AM5" s="182">
        <f>DATE(An_Ref,1,1)</f>
        <v>43101</v>
      </c>
    </row>
    <row r="6" spans="2:39" s="7" customFormat="1">
      <c r="B6" s="341"/>
      <c r="C6" s="342"/>
      <c r="D6" s="342"/>
      <c r="E6" s="342"/>
      <c r="F6" s="342"/>
      <c r="G6" s="342"/>
      <c r="H6" s="343"/>
      <c r="J6" s="347"/>
      <c r="K6" s="348"/>
      <c r="L6" s="348"/>
      <c r="M6" s="348"/>
      <c r="N6" s="348"/>
      <c r="O6" s="348"/>
      <c r="P6" s="349"/>
      <c r="R6" s="353"/>
      <c r="S6" s="354"/>
      <c r="T6" s="354"/>
      <c r="U6" s="354"/>
      <c r="V6" s="354"/>
      <c r="W6" s="354"/>
      <c r="X6" s="355"/>
      <c r="Z6" s="359"/>
      <c r="AA6" s="360"/>
      <c r="AB6" s="360"/>
      <c r="AC6" s="360"/>
      <c r="AD6" s="360"/>
      <c r="AE6" s="360"/>
      <c r="AF6" s="361"/>
      <c r="AM6" s="183">
        <f>DATE(An_Ref,5,1)</f>
        <v>43221</v>
      </c>
    </row>
    <row r="7" spans="2:39" s="11" customFormat="1" ht="39" customHeight="1">
      <c r="B7" s="8"/>
      <c r="C7" s="15"/>
      <c r="D7" s="9" t="s">
        <v>4</v>
      </c>
      <c r="E7" s="9" t="s">
        <v>5</v>
      </c>
      <c r="F7" s="9" t="s">
        <v>6</v>
      </c>
      <c r="G7" s="9" t="s">
        <v>7</v>
      </c>
      <c r="H7" s="10" t="s">
        <v>8</v>
      </c>
      <c r="J7" s="8"/>
      <c r="K7" s="15"/>
      <c r="L7" s="9" t="s">
        <v>4</v>
      </c>
      <c r="M7" s="9" t="s">
        <v>5</v>
      </c>
      <c r="N7" s="9" t="s">
        <v>6</v>
      </c>
      <c r="O7" s="9" t="s">
        <v>7</v>
      </c>
      <c r="P7" s="10" t="s">
        <v>8</v>
      </c>
      <c r="R7" s="8"/>
      <c r="S7" s="15"/>
      <c r="T7" s="9" t="s">
        <v>4</v>
      </c>
      <c r="U7" s="9" t="s">
        <v>5</v>
      </c>
      <c r="V7" s="9" t="s">
        <v>6</v>
      </c>
      <c r="W7" s="9" t="s">
        <v>7</v>
      </c>
      <c r="X7" s="10" t="s">
        <v>8</v>
      </c>
      <c r="Z7" s="8"/>
      <c r="AA7" s="15"/>
      <c r="AB7" s="9" t="s">
        <v>4</v>
      </c>
      <c r="AC7" s="9" t="s">
        <v>5</v>
      </c>
      <c r="AD7" s="9" t="s">
        <v>6</v>
      </c>
      <c r="AE7" s="9" t="s">
        <v>7</v>
      </c>
      <c r="AF7" s="10" t="s">
        <v>8</v>
      </c>
      <c r="AM7" s="183">
        <f>DATE(An_Ref,5,8)</f>
        <v>43228</v>
      </c>
    </row>
    <row r="8" spans="2:39" s="45" customFormat="1">
      <c r="B8" s="169" t="str">
        <f>CHOOSE(WEEKDAY(C8),"D","L","M","M","J","V","S")</f>
        <v>L</v>
      </c>
      <c r="C8" s="170" t="str">
        <f>TEXT('Table '!AC6,"jj mmm aa")</f>
        <v>01 janv 18</v>
      </c>
      <c r="D8" s="49"/>
      <c r="E8" s="49"/>
      <c r="F8" s="25">
        <f>E8-D8</f>
        <v>0</v>
      </c>
      <c r="G8" s="26">
        <f t="shared" ref="G8:G38" si="0">IF(F8&gt;=$F$1,1,0)</f>
        <v>0</v>
      </c>
      <c r="H8" s="27">
        <f t="shared" ref="H8:H38" si="1">IF(F8&lt;$F$1,F8,0)</f>
        <v>0</v>
      </c>
      <c r="J8" s="169" t="str">
        <f>CHOOSE(WEEKDAY(K8),"D","L","M","M","J","V","S")</f>
        <v>L</v>
      </c>
      <c r="K8" s="170" t="str">
        <f>TEXT('Table '!AC6,"jj mmm aa")</f>
        <v>01 janv 18</v>
      </c>
      <c r="L8" s="49"/>
      <c r="M8" s="49"/>
      <c r="N8" s="25">
        <f>M8-L8</f>
        <v>0</v>
      </c>
      <c r="O8" s="26">
        <f t="shared" ref="O8:O38" si="2">IF(N8&gt;=$F$1,1,0)</f>
        <v>0</v>
      </c>
      <c r="P8" s="27">
        <f t="shared" ref="P8:P38" si="3">IF(N8&lt;$F$1,N8,0)</f>
        <v>0</v>
      </c>
      <c r="R8" s="169" t="str">
        <f>CHOOSE(WEEKDAY(S8),"D","L","M","M","J","V","S")</f>
        <v>L</v>
      </c>
      <c r="S8" s="170" t="str">
        <f>TEXT('Table '!AC6,"jj mmm aa")</f>
        <v>01 janv 18</v>
      </c>
      <c r="T8" s="49"/>
      <c r="U8" s="49"/>
      <c r="V8" s="25">
        <f>U8-T8</f>
        <v>0</v>
      </c>
      <c r="W8" s="26">
        <f t="shared" ref="W8:W38" si="4">IF(V8&gt;=$F$1,1,0)</f>
        <v>0</v>
      </c>
      <c r="X8" s="27">
        <f t="shared" ref="X8:X38" si="5">IF(V8&lt;$F$1,V8,0)</f>
        <v>0</v>
      </c>
      <c r="Z8" s="169" t="str">
        <f>CHOOSE(WEEKDAY(AA8),"D","L","M","M","J","V","S")</f>
        <v>L</v>
      </c>
      <c r="AA8" s="170" t="str">
        <f>TEXT('Table '!AC6,"jj mmm aa")</f>
        <v>01 janv 18</v>
      </c>
      <c r="AB8" s="49"/>
      <c r="AC8" s="49"/>
      <c r="AD8" s="25">
        <f>AC8-AB8</f>
        <v>0</v>
      </c>
      <c r="AE8" s="26">
        <f t="shared" ref="AE8:AE38" si="6">IF(AD8&gt;=$F$1,1,0)</f>
        <v>0</v>
      </c>
      <c r="AF8" s="27">
        <f t="shared" ref="AF8:AF38" si="7">IF(AD8&lt;$F$1,AD8,0)</f>
        <v>0</v>
      </c>
      <c r="AM8" s="183">
        <f>DATE(An_Ref,7,14)</f>
        <v>43295</v>
      </c>
    </row>
    <row r="9" spans="2:39" s="7" customFormat="1">
      <c r="B9" s="169" t="str">
        <f>CHOOSE(WEEKDAY(C9),"D","L","M","M","J","V","S")</f>
        <v>M</v>
      </c>
      <c r="C9" s="170" t="str">
        <f>TEXT('Table '!AC7,"jj mmm aa")</f>
        <v>02 janv 18</v>
      </c>
      <c r="D9" s="49"/>
      <c r="E9" s="49"/>
      <c r="F9" s="25">
        <f t="shared" ref="F9:F38" si="8">E9-D9</f>
        <v>0</v>
      </c>
      <c r="G9" s="26">
        <f t="shared" si="0"/>
        <v>0</v>
      </c>
      <c r="H9" s="27">
        <f t="shared" si="1"/>
        <v>0</v>
      </c>
      <c r="J9" s="8" t="str">
        <f t="shared" ref="J9:J38" si="9">CHOOSE(WEEKDAY(K9),"D","L","M","M","J","V","S")</f>
        <v>M</v>
      </c>
      <c r="K9" s="138" t="str">
        <f>TEXT('Table '!AC7,"jj mmm aa")</f>
        <v>02 janv 18</v>
      </c>
      <c r="L9" s="48"/>
      <c r="M9" s="48"/>
      <c r="N9" s="12">
        <f t="shared" ref="N9:N38" si="10">M9-L9</f>
        <v>0</v>
      </c>
      <c r="O9" s="13">
        <f t="shared" si="2"/>
        <v>0</v>
      </c>
      <c r="P9" s="14">
        <f t="shared" si="3"/>
        <v>0</v>
      </c>
      <c r="R9" s="8" t="str">
        <f t="shared" ref="R9:R38" si="11">CHOOSE(WEEKDAY(S9),"D","L","M","M","J","V","S")</f>
        <v>M</v>
      </c>
      <c r="S9" s="138" t="str">
        <f>TEXT('Table '!AC7,"jj mmm aa")</f>
        <v>02 janv 18</v>
      </c>
      <c r="T9" s="48"/>
      <c r="U9" s="48"/>
      <c r="V9" s="12">
        <f t="shared" ref="V9:V38" si="12">U9-T9</f>
        <v>0</v>
      </c>
      <c r="W9" s="13">
        <f t="shared" si="4"/>
        <v>0</v>
      </c>
      <c r="X9" s="14">
        <f t="shared" si="5"/>
        <v>0</v>
      </c>
      <c r="Z9" s="8" t="str">
        <f t="shared" ref="Z9:Z38" si="13">CHOOSE(WEEKDAY(AA9),"D","L","M","M","J","V","S")</f>
        <v>M</v>
      </c>
      <c r="AA9" s="138" t="str">
        <f>TEXT('Table '!AC7,"jj mmm aa")</f>
        <v>02 janv 18</v>
      </c>
      <c r="AB9" s="48"/>
      <c r="AC9" s="48"/>
      <c r="AD9" s="12">
        <f t="shared" ref="AD9:AD38" si="14">AC9-AB9</f>
        <v>0</v>
      </c>
      <c r="AE9" s="13">
        <f t="shared" si="6"/>
        <v>0</v>
      </c>
      <c r="AF9" s="14">
        <f t="shared" si="7"/>
        <v>0</v>
      </c>
      <c r="AM9" s="183">
        <f>DATE(An_Ref,8,15)</f>
        <v>43327</v>
      </c>
    </row>
    <row r="10" spans="2:39" s="7" customFormat="1">
      <c r="B10" s="169" t="str">
        <f t="shared" ref="B10:B38" si="15">CHOOSE(WEEKDAY(C10),"D","L","M","M","J","V","S")</f>
        <v>M</v>
      </c>
      <c r="C10" s="170" t="str">
        <f>TEXT('Table '!AC8,"jj mmm aa")</f>
        <v>03 janv 18</v>
      </c>
      <c r="D10" s="49"/>
      <c r="E10" s="49"/>
      <c r="F10" s="25">
        <f t="shared" si="8"/>
        <v>0</v>
      </c>
      <c r="G10" s="26">
        <f t="shared" si="0"/>
        <v>0</v>
      </c>
      <c r="H10" s="27">
        <f t="shared" si="1"/>
        <v>0</v>
      </c>
      <c r="J10" s="8" t="str">
        <f t="shared" si="9"/>
        <v>M</v>
      </c>
      <c r="K10" s="138" t="str">
        <f>TEXT('Table '!AC8,"jj mmm aa")</f>
        <v>03 janv 18</v>
      </c>
      <c r="L10" s="48"/>
      <c r="M10" s="48"/>
      <c r="N10" s="12">
        <f t="shared" si="10"/>
        <v>0</v>
      </c>
      <c r="O10" s="13">
        <f t="shared" si="2"/>
        <v>0</v>
      </c>
      <c r="P10" s="14">
        <f t="shared" si="3"/>
        <v>0</v>
      </c>
      <c r="R10" s="8" t="str">
        <f t="shared" si="11"/>
        <v>M</v>
      </c>
      <c r="S10" s="138" t="str">
        <f>TEXT('Table '!AC8,"jj mmm aa")</f>
        <v>03 janv 18</v>
      </c>
      <c r="T10" s="48"/>
      <c r="U10" s="48"/>
      <c r="V10" s="12">
        <f t="shared" si="12"/>
        <v>0</v>
      </c>
      <c r="W10" s="13">
        <f t="shared" si="4"/>
        <v>0</v>
      </c>
      <c r="X10" s="14">
        <f t="shared" si="5"/>
        <v>0</v>
      </c>
      <c r="Z10" s="8" t="str">
        <f t="shared" si="13"/>
        <v>M</v>
      </c>
      <c r="AA10" s="138" t="str">
        <f>TEXT('Table '!AC8,"jj mmm aa")</f>
        <v>03 janv 18</v>
      </c>
      <c r="AB10" s="48"/>
      <c r="AC10" s="48"/>
      <c r="AD10" s="12">
        <f t="shared" si="14"/>
        <v>0</v>
      </c>
      <c r="AE10" s="13">
        <f t="shared" si="6"/>
        <v>0</v>
      </c>
      <c r="AF10" s="14">
        <f t="shared" si="7"/>
        <v>0</v>
      </c>
      <c r="AM10" s="183">
        <f>DATE(An_Ref,11,1)</f>
        <v>43405</v>
      </c>
    </row>
    <row r="11" spans="2:39" s="7" customFormat="1">
      <c r="B11" s="169" t="str">
        <f t="shared" si="15"/>
        <v>J</v>
      </c>
      <c r="C11" s="170" t="str">
        <f>TEXT('Table '!AC9,"jj mmm aa")</f>
        <v>04 janv 18</v>
      </c>
      <c r="D11" s="49"/>
      <c r="E11" s="49"/>
      <c r="F11" s="25">
        <f t="shared" si="8"/>
        <v>0</v>
      </c>
      <c r="G11" s="26">
        <f t="shared" si="0"/>
        <v>0</v>
      </c>
      <c r="H11" s="27">
        <f t="shared" si="1"/>
        <v>0</v>
      </c>
      <c r="J11" s="8" t="str">
        <f t="shared" si="9"/>
        <v>J</v>
      </c>
      <c r="K11" s="138" t="str">
        <f>TEXT('Table '!AC9,"jj mmm aa")</f>
        <v>04 janv 18</v>
      </c>
      <c r="L11" s="48"/>
      <c r="M11" s="48"/>
      <c r="N11" s="12">
        <f>M11-L11</f>
        <v>0</v>
      </c>
      <c r="O11" s="13">
        <f t="shared" si="2"/>
        <v>0</v>
      </c>
      <c r="P11" s="14">
        <f t="shared" si="3"/>
        <v>0</v>
      </c>
      <c r="R11" s="8" t="str">
        <f t="shared" si="11"/>
        <v>J</v>
      </c>
      <c r="S11" s="138" t="str">
        <f>TEXT('Table '!AC9,"jj mmm aa")</f>
        <v>04 janv 18</v>
      </c>
      <c r="T11" s="48"/>
      <c r="U11" s="48"/>
      <c r="V11" s="12">
        <f t="shared" si="12"/>
        <v>0</v>
      </c>
      <c r="W11" s="13">
        <f t="shared" si="4"/>
        <v>0</v>
      </c>
      <c r="X11" s="14">
        <f t="shared" si="5"/>
        <v>0</v>
      </c>
      <c r="Z11" s="8" t="str">
        <f t="shared" si="13"/>
        <v>J</v>
      </c>
      <c r="AA11" s="138" t="str">
        <f>TEXT('Table '!AC9,"jj mmm aa")</f>
        <v>04 janv 18</v>
      </c>
      <c r="AB11" s="48"/>
      <c r="AC11" s="48"/>
      <c r="AD11" s="12">
        <f t="shared" si="14"/>
        <v>0</v>
      </c>
      <c r="AE11" s="13">
        <f t="shared" si="6"/>
        <v>0</v>
      </c>
      <c r="AF11" s="14">
        <f t="shared" si="7"/>
        <v>0</v>
      </c>
      <c r="AM11" s="183">
        <f>DATE(An_Ref,11,11)</f>
        <v>43415</v>
      </c>
    </row>
    <row r="12" spans="2:39" s="7" customFormat="1">
      <c r="B12" s="8" t="str">
        <f t="shared" si="15"/>
        <v>V</v>
      </c>
      <c r="C12" s="138" t="str">
        <f>TEXT('Table '!AC10,"jj mmm aa")</f>
        <v>05 janv 18</v>
      </c>
      <c r="D12" s="48"/>
      <c r="E12" s="48"/>
      <c r="F12" s="12">
        <f t="shared" si="8"/>
        <v>0</v>
      </c>
      <c r="G12" s="13">
        <f t="shared" si="0"/>
        <v>0</v>
      </c>
      <c r="H12" s="14">
        <f t="shared" si="1"/>
        <v>0</v>
      </c>
      <c r="J12" s="8" t="str">
        <f t="shared" si="9"/>
        <v>V</v>
      </c>
      <c r="K12" s="138" t="str">
        <f>TEXT('Table '!AC10,"jj mmm aa")</f>
        <v>05 janv 18</v>
      </c>
      <c r="L12" s="48"/>
      <c r="M12" s="48"/>
      <c r="N12" s="12">
        <f>M12-L12</f>
        <v>0</v>
      </c>
      <c r="O12" s="13">
        <f t="shared" si="2"/>
        <v>0</v>
      </c>
      <c r="P12" s="14">
        <f t="shared" si="3"/>
        <v>0</v>
      </c>
      <c r="R12" s="8" t="str">
        <f t="shared" si="11"/>
        <v>V</v>
      </c>
      <c r="S12" s="138" t="str">
        <f>TEXT('Table '!AC10,"jj mmm aa")</f>
        <v>05 janv 18</v>
      </c>
      <c r="T12" s="48"/>
      <c r="U12" s="48"/>
      <c r="V12" s="12">
        <f t="shared" si="12"/>
        <v>0</v>
      </c>
      <c r="W12" s="13">
        <f t="shared" si="4"/>
        <v>0</v>
      </c>
      <c r="X12" s="14">
        <f t="shared" si="5"/>
        <v>0</v>
      </c>
      <c r="Z12" s="8" t="str">
        <f t="shared" si="13"/>
        <v>V</v>
      </c>
      <c r="AA12" s="138" t="str">
        <f>TEXT('Table '!AC10,"jj mmm aa")</f>
        <v>05 janv 18</v>
      </c>
      <c r="AB12" s="48"/>
      <c r="AC12" s="48"/>
      <c r="AD12" s="12">
        <f t="shared" si="14"/>
        <v>0</v>
      </c>
      <c r="AE12" s="13">
        <f t="shared" si="6"/>
        <v>0</v>
      </c>
      <c r="AF12" s="14">
        <f t="shared" si="7"/>
        <v>0</v>
      </c>
      <c r="AM12" s="183">
        <f>DATE(An_Ref,12,25)</f>
        <v>43459</v>
      </c>
    </row>
    <row r="13" spans="2:39" s="7" customFormat="1">
      <c r="B13" s="8" t="str">
        <f t="shared" si="15"/>
        <v>S</v>
      </c>
      <c r="C13" s="138" t="str">
        <f>TEXT('Table '!AC11,"jj mmm aa")</f>
        <v>06 janv 18</v>
      </c>
      <c r="D13" s="48"/>
      <c r="E13" s="48"/>
      <c r="F13" s="12">
        <f t="shared" si="8"/>
        <v>0</v>
      </c>
      <c r="G13" s="13">
        <f>IF(F13&gt;=$F$1,1,0)</f>
        <v>0</v>
      </c>
      <c r="H13" s="14">
        <f t="shared" si="1"/>
        <v>0</v>
      </c>
      <c r="J13" s="8" t="str">
        <f t="shared" si="9"/>
        <v>S</v>
      </c>
      <c r="K13" s="138" t="str">
        <f>TEXT('Table '!AC11,"jj mmm aa")</f>
        <v>06 janv 18</v>
      </c>
      <c r="L13" s="48"/>
      <c r="M13" s="48"/>
      <c r="N13" s="12">
        <f t="shared" si="10"/>
        <v>0</v>
      </c>
      <c r="O13" s="13">
        <f t="shared" si="2"/>
        <v>0</v>
      </c>
      <c r="P13" s="14">
        <f t="shared" si="3"/>
        <v>0</v>
      </c>
      <c r="R13" s="8" t="str">
        <f t="shared" si="11"/>
        <v>S</v>
      </c>
      <c r="S13" s="138" t="str">
        <f>TEXT('Table '!AC11,"jj mmm aa")</f>
        <v>06 janv 18</v>
      </c>
      <c r="T13" s="48"/>
      <c r="U13" s="48"/>
      <c r="V13" s="12">
        <f t="shared" si="12"/>
        <v>0</v>
      </c>
      <c r="W13" s="13">
        <f t="shared" si="4"/>
        <v>0</v>
      </c>
      <c r="X13" s="14">
        <f t="shared" si="5"/>
        <v>0</v>
      </c>
      <c r="Z13" s="8" t="str">
        <f t="shared" si="13"/>
        <v>S</v>
      </c>
      <c r="AA13" s="138" t="str">
        <f>TEXT('Table '!AC11,"jj mmm aa")</f>
        <v>06 janv 18</v>
      </c>
      <c r="AB13" s="48"/>
      <c r="AC13" s="48"/>
      <c r="AD13" s="12">
        <f t="shared" si="14"/>
        <v>0</v>
      </c>
      <c r="AE13" s="13">
        <f t="shared" si="6"/>
        <v>0</v>
      </c>
      <c r="AF13" s="14">
        <f t="shared" si="7"/>
        <v>0</v>
      </c>
      <c r="AM13" s="183">
        <f>ROUND(DATE(An_Ref,4,1)/7+MOD(19*MOD(An_Ref,19)-7,30)*14%,0)*7-6</f>
        <v>43191</v>
      </c>
    </row>
    <row r="14" spans="2:39" s="7" customFormat="1">
      <c r="B14" s="8" t="str">
        <f t="shared" si="15"/>
        <v>D</v>
      </c>
      <c r="C14" s="142" t="str">
        <f>TEXT('Table '!AC12,"jj mmm aa")</f>
        <v>07 janv 18</v>
      </c>
      <c r="D14" s="48"/>
      <c r="E14" s="48"/>
      <c r="F14" s="12">
        <f t="shared" si="8"/>
        <v>0</v>
      </c>
      <c r="G14" s="13">
        <f t="shared" si="0"/>
        <v>0</v>
      </c>
      <c r="H14" s="14">
        <f t="shared" si="1"/>
        <v>0</v>
      </c>
      <c r="J14" s="8" t="str">
        <f t="shared" si="9"/>
        <v>D</v>
      </c>
      <c r="K14" s="138" t="str">
        <f>TEXT('Table '!AC12,"jj mmm aa")</f>
        <v>07 janv 18</v>
      </c>
      <c r="L14" s="48"/>
      <c r="M14" s="48"/>
      <c r="N14" s="12">
        <f t="shared" si="10"/>
        <v>0</v>
      </c>
      <c r="O14" s="13">
        <f t="shared" si="2"/>
        <v>0</v>
      </c>
      <c r="P14" s="14">
        <f t="shared" si="3"/>
        <v>0</v>
      </c>
      <c r="R14" s="8" t="str">
        <f t="shared" si="11"/>
        <v>D</v>
      </c>
      <c r="S14" s="138" t="str">
        <f>TEXT('Table '!AC12,"jj mmm aa")</f>
        <v>07 janv 18</v>
      </c>
      <c r="T14" s="48"/>
      <c r="U14" s="48"/>
      <c r="V14" s="12">
        <f t="shared" si="12"/>
        <v>0</v>
      </c>
      <c r="W14" s="13">
        <f t="shared" si="4"/>
        <v>0</v>
      </c>
      <c r="X14" s="14">
        <f t="shared" si="5"/>
        <v>0</v>
      </c>
      <c r="Z14" s="8" t="str">
        <f t="shared" si="13"/>
        <v>D</v>
      </c>
      <c r="AA14" s="138" t="str">
        <f>TEXT('Table '!AC12,"jj mmm aa")</f>
        <v>07 janv 18</v>
      </c>
      <c r="AB14" s="48"/>
      <c r="AC14" s="48"/>
      <c r="AD14" s="12">
        <f t="shared" si="14"/>
        <v>0</v>
      </c>
      <c r="AE14" s="13">
        <f t="shared" si="6"/>
        <v>0</v>
      </c>
      <c r="AF14" s="14">
        <f t="shared" si="7"/>
        <v>0</v>
      </c>
      <c r="AM14" s="183">
        <f>AM13+1</f>
        <v>43192</v>
      </c>
    </row>
    <row r="15" spans="2:39" s="7" customFormat="1">
      <c r="B15" s="8" t="str">
        <f t="shared" si="15"/>
        <v>L</v>
      </c>
      <c r="C15" s="138" t="str">
        <f>TEXT('Table '!AC13,"jj mmm aa")</f>
        <v>08 janv 18</v>
      </c>
      <c r="D15" s="48"/>
      <c r="E15" s="48"/>
      <c r="F15" s="12">
        <f t="shared" si="8"/>
        <v>0</v>
      </c>
      <c r="G15" s="13">
        <f t="shared" si="0"/>
        <v>0</v>
      </c>
      <c r="H15" s="14">
        <f t="shared" si="1"/>
        <v>0</v>
      </c>
      <c r="J15" s="8" t="str">
        <f t="shared" si="9"/>
        <v>L</v>
      </c>
      <c r="K15" s="138" t="str">
        <f>TEXT('Table '!AC13,"jj mmm aa")</f>
        <v>08 janv 18</v>
      </c>
      <c r="L15" s="48"/>
      <c r="M15" s="48"/>
      <c r="N15" s="12">
        <f t="shared" si="10"/>
        <v>0</v>
      </c>
      <c r="O15" s="13">
        <f t="shared" si="2"/>
        <v>0</v>
      </c>
      <c r="P15" s="14">
        <f t="shared" si="3"/>
        <v>0</v>
      </c>
      <c r="R15" s="8" t="str">
        <f t="shared" si="11"/>
        <v>L</v>
      </c>
      <c r="S15" s="138" t="str">
        <f>TEXT('Table '!AC13,"jj mmm aa")</f>
        <v>08 janv 18</v>
      </c>
      <c r="T15" s="48"/>
      <c r="U15" s="48"/>
      <c r="V15" s="12">
        <f t="shared" si="12"/>
        <v>0</v>
      </c>
      <c r="W15" s="13">
        <f t="shared" si="4"/>
        <v>0</v>
      </c>
      <c r="X15" s="14">
        <f t="shared" si="5"/>
        <v>0</v>
      </c>
      <c r="Z15" s="8" t="str">
        <f t="shared" si="13"/>
        <v>L</v>
      </c>
      <c r="AA15" s="138" t="str">
        <f>TEXT('Table '!AC13,"jj mmm aa")</f>
        <v>08 janv 18</v>
      </c>
      <c r="AB15" s="48"/>
      <c r="AC15" s="48"/>
      <c r="AD15" s="12">
        <f t="shared" si="14"/>
        <v>0</v>
      </c>
      <c r="AE15" s="13">
        <f t="shared" si="6"/>
        <v>0</v>
      </c>
      <c r="AF15" s="14">
        <f t="shared" si="7"/>
        <v>0</v>
      </c>
      <c r="AM15" s="183">
        <f>AM13+39</f>
        <v>43230</v>
      </c>
    </row>
    <row r="16" spans="2:39" s="7" customFormat="1">
      <c r="B16" s="8" t="str">
        <f t="shared" si="15"/>
        <v>M</v>
      </c>
      <c r="C16" s="138" t="str">
        <f>TEXT('Table '!AC14,"jj mmm aa")</f>
        <v>09 janv 18</v>
      </c>
      <c r="D16" s="48"/>
      <c r="E16" s="48"/>
      <c r="F16" s="12">
        <f t="shared" si="8"/>
        <v>0</v>
      </c>
      <c r="G16" s="13">
        <f t="shared" si="0"/>
        <v>0</v>
      </c>
      <c r="H16" s="14">
        <f t="shared" si="1"/>
        <v>0</v>
      </c>
      <c r="J16" s="8" t="str">
        <f t="shared" si="9"/>
        <v>M</v>
      </c>
      <c r="K16" s="138" t="str">
        <f>TEXT('Table '!AC14,"jj mmm aa")</f>
        <v>09 janv 18</v>
      </c>
      <c r="L16" s="48"/>
      <c r="M16" s="48"/>
      <c r="N16" s="12">
        <f t="shared" si="10"/>
        <v>0</v>
      </c>
      <c r="O16" s="13">
        <f t="shared" si="2"/>
        <v>0</v>
      </c>
      <c r="P16" s="14">
        <f t="shared" si="3"/>
        <v>0</v>
      </c>
      <c r="R16" s="8" t="str">
        <f t="shared" si="11"/>
        <v>M</v>
      </c>
      <c r="S16" s="138" t="str">
        <f>TEXT('Table '!AC14,"jj mmm aa")</f>
        <v>09 janv 18</v>
      </c>
      <c r="T16" s="48"/>
      <c r="U16" s="48"/>
      <c r="V16" s="12">
        <f t="shared" si="12"/>
        <v>0</v>
      </c>
      <c r="W16" s="13">
        <f t="shared" si="4"/>
        <v>0</v>
      </c>
      <c r="X16" s="14">
        <f t="shared" si="5"/>
        <v>0</v>
      </c>
      <c r="Z16" s="8" t="str">
        <f t="shared" si="13"/>
        <v>M</v>
      </c>
      <c r="AA16" s="138" t="str">
        <f>TEXT('Table '!AC14,"jj mmm aa")</f>
        <v>09 janv 18</v>
      </c>
      <c r="AB16" s="48"/>
      <c r="AC16" s="48"/>
      <c r="AD16" s="12">
        <f t="shared" si="14"/>
        <v>0</v>
      </c>
      <c r="AE16" s="13">
        <f t="shared" si="6"/>
        <v>0</v>
      </c>
      <c r="AF16" s="14">
        <f t="shared" si="7"/>
        <v>0</v>
      </c>
      <c r="AM16" s="183">
        <f>AM13+50</f>
        <v>43241</v>
      </c>
    </row>
    <row r="17" spans="2:39" s="7" customFormat="1" ht="15.75" thickBot="1">
      <c r="B17" s="8" t="str">
        <f t="shared" si="15"/>
        <v>M</v>
      </c>
      <c r="C17" s="138" t="str">
        <f>TEXT('Table '!AC15,"jj mmm aa")</f>
        <v>10 janv 18</v>
      </c>
      <c r="D17" s="48"/>
      <c r="E17" s="48"/>
      <c r="F17" s="12">
        <f t="shared" si="8"/>
        <v>0</v>
      </c>
      <c r="G17" s="13">
        <f t="shared" si="0"/>
        <v>0</v>
      </c>
      <c r="H17" s="14">
        <f t="shared" si="1"/>
        <v>0</v>
      </c>
      <c r="J17" s="8" t="str">
        <f t="shared" si="9"/>
        <v>M</v>
      </c>
      <c r="K17" s="138" t="str">
        <f>TEXT('Table '!AC15,"jj mmm aa")</f>
        <v>10 janv 18</v>
      </c>
      <c r="L17" s="48"/>
      <c r="M17" s="48"/>
      <c r="N17" s="12">
        <f>M17-L17</f>
        <v>0</v>
      </c>
      <c r="O17" s="13">
        <f t="shared" si="2"/>
        <v>0</v>
      </c>
      <c r="P17" s="14">
        <f t="shared" si="3"/>
        <v>0</v>
      </c>
      <c r="R17" s="8" t="str">
        <f t="shared" si="11"/>
        <v>M</v>
      </c>
      <c r="S17" s="138" t="str">
        <f>TEXT('Table '!AC15,"jj mmm aa")</f>
        <v>10 janv 18</v>
      </c>
      <c r="T17" s="50"/>
      <c r="U17" s="48"/>
      <c r="V17" s="12">
        <f t="shared" si="12"/>
        <v>0</v>
      </c>
      <c r="W17" s="13">
        <f t="shared" si="4"/>
        <v>0</v>
      </c>
      <c r="X17" s="14">
        <f t="shared" si="5"/>
        <v>0</v>
      </c>
      <c r="Z17" s="8" t="str">
        <f t="shared" si="13"/>
        <v>M</v>
      </c>
      <c r="AA17" s="138" t="str">
        <f>TEXT('Table '!AC15,"jj mmm aa")</f>
        <v>10 janv 18</v>
      </c>
      <c r="AB17" s="48"/>
      <c r="AC17" s="48"/>
      <c r="AD17" s="12">
        <f t="shared" si="14"/>
        <v>0</v>
      </c>
      <c r="AE17" s="13">
        <f t="shared" si="6"/>
        <v>0</v>
      </c>
      <c r="AF17" s="14">
        <f t="shared" si="7"/>
        <v>0</v>
      </c>
      <c r="AM17" s="184"/>
    </row>
    <row r="18" spans="2:39" s="7" customFormat="1">
      <c r="B18" s="8" t="str">
        <f t="shared" si="15"/>
        <v>J</v>
      </c>
      <c r="C18" s="138" t="str">
        <f>TEXT('Table '!AC16,"jj mmm aa")</f>
        <v>11 janv 18</v>
      </c>
      <c r="D18" s="48"/>
      <c r="E18" s="48"/>
      <c r="F18" s="12">
        <f t="shared" si="8"/>
        <v>0</v>
      </c>
      <c r="G18" s="13">
        <f t="shared" si="0"/>
        <v>0</v>
      </c>
      <c r="H18" s="14">
        <f t="shared" si="1"/>
        <v>0</v>
      </c>
      <c r="J18" s="8" t="str">
        <f t="shared" si="9"/>
        <v>J</v>
      </c>
      <c r="K18" s="138" t="str">
        <f>TEXT('Table '!AC16,"jj mmm aa")</f>
        <v>11 janv 18</v>
      </c>
      <c r="L18" s="48"/>
      <c r="M18" s="48"/>
      <c r="N18" s="12">
        <f>M18-L18</f>
        <v>0</v>
      </c>
      <c r="O18" s="13">
        <f t="shared" si="2"/>
        <v>0</v>
      </c>
      <c r="P18" s="14">
        <f t="shared" si="3"/>
        <v>0</v>
      </c>
      <c r="R18" s="8" t="str">
        <f t="shared" si="11"/>
        <v>J</v>
      </c>
      <c r="S18" s="138" t="str">
        <f>TEXT('Table '!AC16,"jj mmm aa")</f>
        <v>11 janv 18</v>
      </c>
      <c r="T18" s="48"/>
      <c r="U18" s="48"/>
      <c r="V18" s="12">
        <f t="shared" si="12"/>
        <v>0</v>
      </c>
      <c r="W18" s="13">
        <f t="shared" si="4"/>
        <v>0</v>
      </c>
      <c r="X18" s="14">
        <f t="shared" si="5"/>
        <v>0</v>
      </c>
      <c r="Z18" s="8" t="str">
        <f t="shared" si="13"/>
        <v>J</v>
      </c>
      <c r="AA18" s="138" t="str">
        <f>TEXT('Table '!AC16,"jj mmm aa")</f>
        <v>11 janv 18</v>
      </c>
      <c r="AB18" s="48"/>
      <c r="AC18" s="48"/>
      <c r="AD18" s="12">
        <f t="shared" si="14"/>
        <v>0</v>
      </c>
      <c r="AE18" s="13">
        <f t="shared" si="6"/>
        <v>0</v>
      </c>
      <c r="AF18" s="14">
        <f t="shared" si="7"/>
        <v>0</v>
      </c>
    </row>
    <row r="19" spans="2:39" s="7" customFormat="1">
      <c r="B19" s="8" t="str">
        <f t="shared" si="15"/>
        <v>V</v>
      </c>
      <c r="C19" s="138" t="str">
        <f>TEXT('Table '!AC17,"jj mmm aa")</f>
        <v>12 janv 18</v>
      </c>
      <c r="D19" s="48"/>
      <c r="E19" s="48"/>
      <c r="F19" s="12">
        <f t="shared" si="8"/>
        <v>0</v>
      </c>
      <c r="G19" s="13">
        <f t="shared" si="0"/>
        <v>0</v>
      </c>
      <c r="H19" s="14">
        <f t="shared" si="1"/>
        <v>0</v>
      </c>
      <c r="J19" s="8" t="str">
        <f t="shared" si="9"/>
        <v>V</v>
      </c>
      <c r="K19" s="138" t="str">
        <f>TEXT('Table '!AC17,"jj mmm aa")</f>
        <v>12 janv 18</v>
      </c>
      <c r="L19" s="48"/>
      <c r="M19" s="48"/>
      <c r="N19" s="12">
        <f t="shared" si="10"/>
        <v>0</v>
      </c>
      <c r="O19" s="13">
        <f t="shared" si="2"/>
        <v>0</v>
      </c>
      <c r="P19" s="14">
        <f t="shared" si="3"/>
        <v>0</v>
      </c>
      <c r="R19" s="8" t="str">
        <f t="shared" si="11"/>
        <v>V</v>
      </c>
      <c r="S19" s="138" t="str">
        <f>TEXT('Table '!AC17,"jj mmm aa")</f>
        <v>12 janv 18</v>
      </c>
      <c r="T19" s="48"/>
      <c r="U19" s="48"/>
      <c r="V19" s="12">
        <f t="shared" si="12"/>
        <v>0</v>
      </c>
      <c r="W19" s="13">
        <f t="shared" si="4"/>
        <v>0</v>
      </c>
      <c r="X19" s="14">
        <f t="shared" si="5"/>
        <v>0</v>
      </c>
      <c r="Z19" s="8" t="str">
        <f t="shared" si="13"/>
        <v>V</v>
      </c>
      <c r="AA19" s="138" t="str">
        <f>TEXT('Table '!AC17,"jj mmm aa")</f>
        <v>12 janv 18</v>
      </c>
      <c r="AB19" s="48"/>
      <c r="AC19" s="48"/>
      <c r="AD19" s="12">
        <f t="shared" si="14"/>
        <v>0</v>
      </c>
      <c r="AE19" s="13">
        <f t="shared" si="6"/>
        <v>0</v>
      </c>
      <c r="AF19" s="14">
        <f t="shared" si="7"/>
        <v>0</v>
      </c>
    </row>
    <row r="20" spans="2:39" s="7" customFormat="1">
      <c r="B20" s="8" t="str">
        <f t="shared" si="15"/>
        <v>S</v>
      </c>
      <c r="C20" s="138" t="str">
        <f>TEXT('Table '!AC18,"jj mmm aa")</f>
        <v>13 janv 18</v>
      </c>
      <c r="D20" s="48"/>
      <c r="E20" s="48"/>
      <c r="F20" s="12">
        <f t="shared" si="8"/>
        <v>0</v>
      </c>
      <c r="G20" s="13">
        <f t="shared" si="0"/>
        <v>0</v>
      </c>
      <c r="H20" s="14">
        <f t="shared" si="1"/>
        <v>0</v>
      </c>
      <c r="J20" s="8" t="str">
        <f t="shared" si="9"/>
        <v>S</v>
      </c>
      <c r="K20" s="138" t="str">
        <f>TEXT('Table '!AC18,"jj mmm aa")</f>
        <v>13 janv 18</v>
      </c>
      <c r="L20" s="48"/>
      <c r="M20" s="48"/>
      <c r="N20" s="12">
        <f t="shared" si="10"/>
        <v>0</v>
      </c>
      <c r="O20" s="13">
        <f t="shared" si="2"/>
        <v>0</v>
      </c>
      <c r="P20" s="14">
        <f t="shared" si="3"/>
        <v>0</v>
      </c>
      <c r="R20" s="8" t="str">
        <f t="shared" si="11"/>
        <v>S</v>
      </c>
      <c r="S20" s="138" t="str">
        <f>TEXT('Table '!AC18,"jj mmm aa")</f>
        <v>13 janv 18</v>
      </c>
      <c r="T20" s="48"/>
      <c r="U20" s="48"/>
      <c r="V20" s="12">
        <f t="shared" si="12"/>
        <v>0</v>
      </c>
      <c r="W20" s="13">
        <f t="shared" si="4"/>
        <v>0</v>
      </c>
      <c r="X20" s="14">
        <f t="shared" si="5"/>
        <v>0</v>
      </c>
      <c r="Z20" s="8" t="str">
        <f t="shared" si="13"/>
        <v>S</v>
      </c>
      <c r="AA20" s="138" t="str">
        <f>TEXT('Table '!AC18,"jj mmm aa")</f>
        <v>13 janv 18</v>
      </c>
      <c r="AB20" s="48"/>
      <c r="AC20" s="48"/>
      <c r="AD20" s="12">
        <f t="shared" si="14"/>
        <v>0</v>
      </c>
      <c r="AE20" s="13">
        <f t="shared" si="6"/>
        <v>0</v>
      </c>
      <c r="AF20" s="14">
        <f t="shared" si="7"/>
        <v>0</v>
      </c>
    </row>
    <row r="21" spans="2:39" s="7" customFormat="1">
      <c r="B21" s="8" t="str">
        <f>CHOOSE(WEEKDAY(C21),"D","L","M","M","J","V","S")</f>
        <v>D</v>
      </c>
      <c r="C21" s="138" t="str">
        <f>TEXT('Table '!AC19,"jj mmm aa")</f>
        <v>14 janv 18</v>
      </c>
      <c r="D21" s="48"/>
      <c r="E21" s="48"/>
      <c r="F21" s="12">
        <f t="shared" si="8"/>
        <v>0</v>
      </c>
      <c r="G21" s="13">
        <f t="shared" si="0"/>
        <v>0</v>
      </c>
      <c r="H21" s="14">
        <f t="shared" si="1"/>
        <v>0</v>
      </c>
      <c r="J21" s="8" t="str">
        <f t="shared" si="9"/>
        <v>D</v>
      </c>
      <c r="K21" s="138" t="str">
        <f>TEXT('Table '!AC19,"jj mmm aa")</f>
        <v>14 janv 18</v>
      </c>
      <c r="L21" s="48"/>
      <c r="M21" s="48"/>
      <c r="N21" s="12">
        <f t="shared" si="10"/>
        <v>0</v>
      </c>
      <c r="O21" s="13">
        <f t="shared" si="2"/>
        <v>0</v>
      </c>
      <c r="P21" s="14">
        <f t="shared" si="3"/>
        <v>0</v>
      </c>
      <c r="R21" s="8" t="str">
        <f t="shared" si="11"/>
        <v>D</v>
      </c>
      <c r="S21" s="138" t="str">
        <f>TEXT('Table '!AC19,"jj mmm aa")</f>
        <v>14 janv 18</v>
      </c>
      <c r="T21" s="48"/>
      <c r="U21" s="48"/>
      <c r="V21" s="12">
        <f t="shared" si="12"/>
        <v>0</v>
      </c>
      <c r="W21" s="13">
        <f t="shared" si="4"/>
        <v>0</v>
      </c>
      <c r="X21" s="14">
        <f t="shared" si="5"/>
        <v>0</v>
      </c>
      <c r="Z21" s="8" t="str">
        <f t="shared" si="13"/>
        <v>D</v>
      </c>
      <c r="AA21" s="138" t="str">
        <f>TEXT('Table '!AC19,"jj mmm aa")</f>
        <v>14 janv 18</v>
      </c>
      <c r="AB21" s="48"/>
      <c r="AC21" s="48"/>
      <c r="AD21" s="12">
        <f t="shared" si="14"/>
        <v>0</v>
      </c>
      <c r="AE21" s="13">
        <f t="shared" si="6"/>
        <v>0</v>
      </c>
      <c r="AF21" s="14">
        <f t="shared" si="7"/>
        <v>0</v>
      </c>
    </row>
    <row r="22" spans="2:39" s="7" customFormat="1">
      <c r="B22" s="8" t="str">
        <f t="shared" si="15"/>
        <v>L</v>
      </c>
      <c r="C22" s="138" t="str">
        <f>TEXT('Table '!AC20,"jj mmm aa")</f>
        <v>15 janv 18</v>
      </c>
      <c r="D22" s="48"/>
      <c r="E22" s="48"/>
      <c r="F22" s="12">
        <f t="shared" si="8"/>
        <v>0</v>
      </c>
      <c r="G22" s="13">
        <f t="shared" si="0"/>
        <v>0</v>
      </c>
      <c r="H22" s="14">
        <f t="shared" si="1"/>
        <v>0</v>
      </c>
      <c r="J22" s="8" t="str">
        <f t="shared" si="9"/>
        <v>L</v>
      </c>
      <c r="K22" s="138" t="str">
        <f>TEXT('Table '!AC20,"jj mmm aa")</f>
        <v>15 janv 18</v>
      </c>
      <c r="L22" s="48"/>
      <c r="M22" s="48"/>
      <c r="N22" s="12">
        <f t="shared" si="10"/>
        <v>0</v>
      </c>
      <c r="O22" s="13">
        <f t="shared" si="2"/>
        <v>0</v>
      </c>
      <c r="P22" s="14">
        <f t="shared" si="3"/>
        <v>0</v>
      </c>
      <c r="R22" s="8" t="str">
        <f t="shared" si="11"/>
        <v>L</v>
      </c>
      <c r="S22" s="138" t="str">
        <f>TEXT('Table '!AC20,"jj mmm aa")</f>
        <v>15 janv 18</v>
      </c>
      <c r="T22" s="48"/>
      <c r="U22" s="48"/>
      <c r="V22" s="12">
        <f t="shared" si="12"/>
        <v>0</v>
      </c>
      <c r="W22" s="13">
        <f t="shared" si="4"/>
        <v>0</v>
      </c>
      <c r="X22" s="14">
        <f t="shared" si="5"/>
        <v>0</v>
      </c>
      <c r="Z22" s="8" t="str">
        <f t="shared" si="13"/>
        <v>L</v>
      </c>
      <c r="AA22" s="138" t="str">
        <f>TEXT('Table '!AC20,"jj mmm aa")</f>
        <v>15 janv 18</v>
      </c>
      <c r="AB22" s="48"/>
      <c r="AC22" s="48"/>
      <c r="AD22" s="12">
        <f t="shared" si="14"/>
        <v>0</v>
      </c>
      <c r="AE22" s="13">
        <f t="shared" si="6"/>
        <v>0</v>
      </c>
      <c r="AF22" s="14">
        <f t="shared" si="7"/>
        <v>0</v>
      </c>
    </row>
    <row r="23" spans="2:39" s="7" customFormat="1">
      <c r="B23" s="8" t="str">
        <f t="shared" si="15"/>
        <v>M</v>
      </c>
      <c r="C23" s="138" t="str">
        <f>TEXT('Table '!AC21,"jj mmm aa")</f>
        <v>16 janv 18</v>
      </c>
      <c r="D23" s="48"/>
      <c r="E23" s="48"/>
      <c r="F23" s="12">
        <f t="shared" si="8"/>
        <v>0</v>
      </c>
      <c r="G23" s="13">
        <f t="shared" si="0"/>
        <v>0</v>
      </c>
      <c r="H23" s="14">
        <f t="shared" si="1"/>
        <v>0</v>
      </c>
      <c r="J23" s="8" t="str">
        <f t="shared" si="9"/>
        <v>M</v>
      </c>
      <c r="K23" s="138" t="str">
        <f>TEXT('Table '!AC21,"jj mmm aa")</f>
        <v>16 janv 18</v>
      </c>
      <c r="L23" s="48"/>
      <c r="M23" s="48"/>
      <c r="N23" s="12">
        <f t="shared" si="10"/>
        <v>0</v>
      </c>
      <c r="O23" s="13">
        <f t="shared" si="2"/>
        <v>0</v>
      </c>
      <c r="P23" s="14">
        <f t="shared" si="3"/>
        <v>0</v>
      </c>
      <c r="R23" s="8" t="str">
        <f t="shared" si="11"/>
        <v>M</v>
      </c>
      <c r="S23" s="138" t="str">
        <f>TEXT('Table '!AC21,"jj mmm aa")</f>
        <v>16 janv 18</v>
      </c>
      <c r="T23" s="48"/>
      <c r="U23" s="48"/>
      <c r="V23" s="12">
        <f t="shared" si="12"/>
        <v>0</v>
      </c>
      <c r="W23" s="13">
        <f t="shared" si="4"/>
        <v>0</v>
      </c>
      <c r="X23" s="14">
        <f t="shared" si="5"/>
        <v>0</v>
      </c>
      <c r="Z23" s="8" t="str">
        <f t="shared" si="13"/>
        <v>M</v>
      </c>
      <c r="AA23" s="138" t="str">
        <f>TEXT('Table '!AC21,"jj mmm aa")</f>
        <v>16 janv 18</v>
      </c>
      <c r="AB23" s="48"/>
      <c r="AC23" s="48"/>
      <c r="AD23" s="12">
        <f t="shared" si="14"/>
        <v>0</v>
      </c>
      <c r="AE23" s="13">
        <f t="shared" si="6"/>
        <v>0</v>
      </c>
      <c r="AF23" s="14">
        <f t="shared" si="7"/>
        <v>0</v>
      </c>
    </row>
    <row r="24" spans="2:39" s="7" customFormat="1">
      <c r="B24" s="8" t="str">
        <f t="shared" si="15"/>
        <v>M</v>
      </c>
      <c r="C24" s="138" t="str">
        <f>TEXT('Table '!AC22,"jj mmm aa")</f>
        <v>17 janv 18</v>
      </c>
      <c r="D24" s="48"/>
      <c r="E24" s="48"/>
      <c r="F24" s="12">
        <f t="shared" si="8"/>
        <v>0</v>
      </c>
      <c r="G24" s="13">
        <f t="shared" si="0"/>
        <v>0</v>
      </c>
      <c r="H24" s="14">
        <f t="shared" si="1"/>
        <v>0</v>
      </c>
      <c r="J24" s="8" t="str">
        <f t="shared" si="9"/>
        <v>M</v>
      </c>
      <c r="K24" s="138" t="str">
        <f>TEXT('Table '!AC22,"jj mmm aa")</f>
        <v>17 janv 18</v>
      </c>
      <c r="L24" s="48"/>
      <c r="M24" s="48"/>
      <c r="N24" s="12">
        <f t="shared" si="10"/>
        <v>0</v>
      </c>
      <c r="O24" s="13">
        <f t="shared" si="2"/>
        <v>0</v>
      </c>
      <c r="P24" s="14">
        <f t="shared" si="3"/>
        <v>0</v>
      </c>
      <c r="R24" s="8" t="str">
        <f t="shared" si="11"/>
        <v>M</v>
      </c>
      <c r="S24" s="138" t="str">
        <f>TEXT('Table '!AC22,"jj mmm aa")</f>
        <v>17 janv 18</v>
      </c>
      <c r="T24" s="48"/>
      <c r="U24" s="48"/>
      <c r="V24" s="12">
        <f t="shared" si="12"/>
        <v>0</v>
      </c>
      <c r="W24" s="13">
        <f t="shared" si="4"/>
        <v>0</v>
      </c>
      <c r="X24" s="14">
        <f t="shared" si="5"/>
        <v>0</v>
      </c>
      <c r="Z24" s="8" t="str">
        <f t="shared" si="13"/>
        <v>M</v>
      </c>
      <c r="AA24" s="138" t="str">
        <f>TEXT('Table '!AC22,"jj mmm aa")</f>
        <v>17 janv 18</v>
      </c>
      <c r="AB24" s="48"/>
      <c r="AC24" s="48"/>
      <c r="AD24" s="12">
        <f t="shared" si="14"/>
        <v>0</v>
      </c>
      <c r="AE24" s="13">
        <f t="shared" si="6"/>
        <v>0</v>
      </c>
      <c r="AF24" s="14">
        <f t="shared" si="7"/>
        <v>0</v>
      </c>
    </row>
    <row r="25" spans="2:39" s="7" customFormat="1">
      <c r="B25" s="8" t="str">
        <f t="shared" si="15"/>
        <v>J</v>
      </c>
      <c r="C25" s="138" t="str">
        <f>TEXT('Table '!AC23,"jj mmm aa")</f>
        <v>18 janv 18</v>
      </c>
      <c r="D25" s="48"/>
      <c r="E25" s="48"/>
      <c r="F25" s="12">
        <f t="shared" si="8"/>
        <v>0</v>
      </c>
      <c r="G25" s="13">
        <f t="shared" si="0"/>
        <v>0</v>
      </c>
      <c r="H25" s="14">
        <f t="shared" si="1"/>
        <v>0</v>
      </c>
      <c r="J25" s="8" t="str">
        <f t="shared" si="9"/>
        <v>J</v>
      </c>
      <c r="K25" s="138" t="str">
        <f>TEXT('Table '!AC23,"jj mmm aa")</f>
        <v>18 janv 18</v>
      </c>
      <c r="L25" s="48"/>
      <c r="M25" s="48"/>
      <c r="N25" s="12">
        <f t="shared" si="10"/>
        <v>0</v>
      </c>
      <c r="O25" s="13">
        <f t="shared" si="2"/>
        <v>0</v>
      </c>
      <c r="P25" s="14">
        <f t="shared" si="3"/>
        <v>0</v>
      </c>
      <c r="R25" s="8" t="str">
        <f t="shared" si="11"/>
        <v>J</v>
      </c>
      <c r="S25" s="138" t="str">
        <f>TEXT('Table '!AC23,"jj mmm aa")</f>
        <v>18 janv 18</v>
      </c>
      <c r="T25" s="48"/>
      <c r="U25" s="48"/>
      <c r="V25" s="12">
        <f t="shared" si="12"/>
        <v>0</v>
      </c>
      <c r="W25" s="13">
        <f t="shared" si="4"/>
        <v>0</v>
      </c>
      <c r="X25" s="14">
        <f t="shared" si="5"/>
        <v>0</v>
      </c>
      <c r="Z25" s="8" t="str">
        <f t="shared" si="13"/>
        <v>J</v>
      </c>
      <c r="AA25" s="138" t="str">
        <f>TEXT('Table '!AC23,"jj mmm aa")</f>
        <v>18 janv 18</v>
      </c>
      <c r="AB25" s="48"/>
      <c r="AC25" s="48"/>
      <c r="AD25" s="12">
        <f t="shared" si="14"/>
        <v>0</v>
      </c>
      <c r="AE25" s="13">
        <f t="shared" si="6"/>
        <v>0</v>
      </c>
      <c r="AF25" s="14">
        <f t="shared" si="7"/>
        <v>0</v>
      </c>
    </row>
    <row r="26" spans="2:39" s="7" customFormat="1">
      <c r="B26" s="8" t="str">
        <f t="shared" si="15"/>
        <v>V</v>
      </c>
      <c r="C26" s="138" t="str">
        <f>TEXT('Table '!AC24,"jj mmm aa")</f>
        <v>19 janv 18</v>
      </c>
      <c r="D26" s="48"/>
      <c r="E26" s="48"/>
      <c r="F26" s="12">
        <f t="shared" si="8"/>
        <v>0</v>
      </c>
      <c r="G26" s="13">
        <f t="shared" si="0"/>
        <v>0</v>
      </c>
      <c r="H26" s="14">
        <f t="shared" si="1"/>
        <v>0</v>
      </c>
      <c r="J26" s="8" t="str">
        <f t="shared" si="9"/>
        <v>V</v>
      </c>
      <c r="K26" s="138" t="str">
        <f>TEXT('Table '!AC24,"jj mmm aa")</f>
        <v>19 janv 18</v>
      </c>
      <c r="L26" s="48"/>
      <c r="M26" s="48"/>
      <c r="N26" s="12">
        <f t="shared" si="10"/>
        <v>0</v>
      </c>
      <c r="O26" s="13">
        <f t="shared" si="2"/>
        <v>0</v>
      </c>
      <c r="P26" s="14">
        <f t="shared" si="3"/>
        <v>0</v>
      </c>
      <c r="R26" s="8" t="str">
        <f t="shared" si="11"/>
        <v>V</v>
      </c>
      <c r="S26" s="138" t="str">
        <f>TEXT('Table '!AC24,"jj mmm aa")</f>
        <v>19 janv 18</v>
      </c>
      <c r="T26" s="48"/>
      <c r="U26" s="48"/>
      <c r="V26" s="12">
        <f t="shared" si="12"/>
        <v>0</v>
      </c>
      <c r="W26" s="13">
        <f t="shared" si="4"/>
        <v>0</v>
      </c>
      <c r="X26" s="14">
        <f t="shared" si="5"/>
        <v>0</v>
      </c>
      <c r="Z26" s="8" t="str">
        <f t="shared" si="13"/>
        <v>V</v>
      </c>
      <c r="AA26" s="138" t="str">
        <f>TEXT('Table '!AC24,"jj mmm aa")</f>
        <v>19 janv 18</v>
      </c>
      <c r="AB26" s="48"/>
      <c r="AC26" s="48"/>
      <c r="AD26" s="12">
        <f t="shared" si="14"/>
        <v>0</v>
      </c>
      <c r="AE26" s="13">
        <f t="shared" si="6"/>
        <v>0</v>
      </c>
      <c r="AF26" s="14">
        <f t="shared" si="7"/>
        <v>0</v>
      </c>
    </row>
    <row r="27" spans="2:39" s="7" customFormat="1">
      <c r="B27" s="8" t="str">
        <f t="shared" si="15"/>
        <v>S</v>
      </c>
      <c r="C27" s="138" t="str">
        <f>TEXT('Table '!AC25,"jj mmm aa")</f>
        <v>20 janv 18</v>
      </c>
      <c r="D27" s="48"/>
      <c r="E27" s="48"/>
      <c r="F27" s="12">
        <f t="shared" si="8"/>
        <v>0</v>
      </c>
      <c r="G27" s="13">
        <f t="shared" si="0"/>
        <v>0</v>
      </c>
      <c r="H27" s="14">
        <f t="shared" si="1"/>
        <v>0</v>
      </c>
      <c r="J27" s="8" t="str">
        <f t="shared" si="9"/>
        <v>S</v>
      </c>
      <c r="K27" s="138" t="str">
        <f>TEXT('Table '!AC25,"jj mmm aa")</f>
        <v>20 janv 18</v>
      </c>
      <c r="L27" s="48"/>
      <c r="M27" s="48"/>
      <c r="N27" s="12">
        <f t="shared" si="10"/>
        <v>0</v>
      </c>
      <c r="O27" s="13">
        <f t="shared" si="2"/>
        <v>0</v>
      </c>
      <c r="P27" s="14">
        <f t="shared" si="3"/>
        <v>0</v>
      </c>
      <c r="R27" s="8" t="str">
        <f t="shared" si="11"/>
        <v>S</v>
      </c>
      <c r="S27" s="138" t="str">
        <f>TEXT('Table '!AC25,"jj mmm aa")</f>
        <v>20 janv 18</v>
      </c>
      <c r="T27" s="48"/>
      <c r="U27" s="48"/>
      <c r="V27" s="12">
        <f t="shared" si="12"/>
        <v>0</v>
      </c>
      <c r="W27" s="13">
        <f t="shared" si="4"/>
        <v>0</v>
      </c>
      <c r="X27" s="14">
        <f t="shared" si="5"/>
        <v>0</v>
      </c>
      <c r="Z27" s="8" t="str">
        <f t="shared" si="13"/>
        <v>S</v>
      </c>
      <c r="AA27" s="138" t="str">
        <f>TEXT('Table '!AC25,"jj mmm aa")</f>
        <v>20 janv 18</v>
      </c>
      <c r="AB27" s="48"/>
      <c r="AC27" s="48"/>
      <c r="AD27" s="12">
        <f t="shared" si="14"/>
        <v>0</v>
      </c>
      <c r="AE27" s="13">
        <f t="shared" si="6"/>
        <v>0</v>
      </c>
      <c r="AF27" s="14">
        <f t="shared" si="7"/>
        <v>0</v>
      </c>
    </row>
    <row r="28" spans="2:39" s="7" customFormat="1">
      <c r="B28" s="8" t="str">
        <f t="shared" si="15"/>
        <v>D</v>
      </c>
      <c r="C28" s="138" t="str">
        <f>TEXT('Table '!AC26,"jj mmm aa")</f>
        <v>21 janv 18</v>
      </c>
      <c r="D28" s="48"/>
      <c r="E28" s="48"/>
      <c r="F28" s="12">
        <f t="shared" si="8"/>
        <v>0</v>
      </c>
      <c r="G28" s="13">
        <f t="shared" si="0"/>
        <v>0</v>
      </c>
      <c r="H28" s="14">
        <f t="shared" si="1"/>
        <v>0</v>
      </c>
      <c r="J28" s="8" t="str">
        <f t="shared" si="9"/>
        <v>D</v>
      </c>
      <c r="K28" s="138" t="str">
        <f>TEXT('Table '!AC26,"jj mmm aa")</f>
        <v>21 janv 18</v>
      </c>
      <c r="L28" s="48"/>
      <c r="M28" s="48"/>
      <c r="N28" s="12">
        <f t="shared" si="10"/>
        <v>0</v>
      </c>
      <c r="O28" s="13">
        <f t="shared" si="2"/>
        <v>0</v>
      </c>
      <c r="P28" s="14">
        <f t="shared" si="3"/>
        <v>0</v>
      </c>
      <c r="R28" s="8" t="str">
        <f t="shared" si="11"/>
        <v>D</v>
      </c>
      <c r="S28" s="138" t="str">
        <f>TEXT('Table '!AC26,"jj mmm aa")</f>
        <v>21 janv 18</v>
      </c>
      <c r="T28" s="48"/>
      <c r="U28" s="48"/>
      <c r="V28" s="12">
        <f t="shared" si="12"/>
        <v>0</v>
      </c>
      <c r="W28" s="13">
        <f t="shared" si="4"/>
        <v>0</v>
      </c>
      <c r="X28" s="14">
        <f t="shared" si="5"/>
        <v>0</v>
      </c>
      <c r="Z28" s="8" t="str">
        <f t="shared" si="13"/>
        <v>D</v>
      </c>
      <c r="AA28" s="138" t="str">
        <f>TEXT('Table '!AC26,"jj mmm aa")</f>
        <v>21 janv 18</v>
      </c>
      <c r="AB28" s="48"/>
      <c r="AC28" s="48"/>
      <c r="AD28" s="12">
        <f t="shared" si="14"/>
        <v>0</v>
      </c>
      <c r="AE28" s="13">
        <f t="shared" si="6"/>
        <v>0</v>
      </c>
      <c r="AF28" s="14">
        <f t="shared" si="7"/>
        <v>0</v>
      </c>
    </row>
    <row r="29" spans="2:39" s="7" customFormat="1">
      <c r="B29" s="8" t="str">
        <f t="shared" si="15"/>
        <v>L</v>
      </c>
      <c r="C29" s="138" t="str">
        <f>TEXT('Table '!AC27,"jj mmm aa")</f>
        <v>22 janv 18</v>
      </c>
      <c r="D29" s="48"/>
      <c r="E29" s="48"/>
      <c r="F29" s="12">
        <f t="shared" si="8"/>
        <v>0</v>
      </c>
      <c r="G29" s="13">
        <f t="shared" si="0"/>
        <v>0</v>
      </c>
      <c r="H29" s="14">
        <f t="shared" si="1"/>
        <v>0</v>
      </c>
      <c r="J29" s="8" t="str">
        <f t="shared" si="9"/>
        <v>L</v>
      </c>
      <c r="K29" s="138" t="str">
        <f>TEXT('Table '!AC27,"jj mmm aa")</f>
        <v>22 janv 18</v>
      </c>
      <c r="L29" s="48"/>
      <c r="M29" s="48"/>
      <c r="N29" s="12">
        <f t="shared" si="10"/>
        <v>0</v>
      </c>
      <c r="O29" s="13">
        <f t="shared" si="2"/>
        <v>0</v>
      </c>
      <c r="P29" s="14">
        <f t="shared" si="3"/>
        <v>0</v>
      </c>
      <c r="R29" s="8" t="str">
        <f t="shared" si="11"/>
        <v>L</v>
      </c>
      <c r="S29" s="138" t="str">
        <f>TEXT('Table '!AC27,"jj mmm aa")</f>
        <v>22 janv 18</v>
      </c>
      <c r="T29" s="48"/>
      <c r="U29" s="48"/>
      <c r="V29" s="12">
        <f t="shared" si="12"/>
        <v>0</v>
      </c>
      <c r="W29" s="13">
        <f t="shared" si="4"/>
        <v>0</v>
      </c>
      <c r="X29" s="14">
        <f t="shared" si="5"/>
        <v>0</v>
      </c>
      <c r="Z29" s="8" t="str">
        <f t="shared" si="13"/>
        <v>L</v>
      </c>
      <c r="AA29" s="138" t="str">
        <f>TEXT('Table '!AC27,"jj mmm aa")</f>
        <v>22 janv 18</v>
      </c>
      <c r="AB29" s="48"/>
      <c r="AC29" s="48"/>
      <c r="AD29" s="12">
        <f t="shared" si="14"/>
        <v>0</v>
      </c>
      <c r="AE29" s="13">
        <f t="shared" si="6"/>
        <v>0</v>
      </c>
      <c r="AF29" s="14">
        <f t="shared" si="7"/>
        <v>0</v>
      </c>
    </row>
    <row r="30" spans="2:39" s="7" customFormat="1">
      <c r="B30" s="8" t="str">
        <f t="shared" si="15"/>
        <v>M</v>
      </c>
      <c r="C30" s="138" t="str">
        <f>TEXT('Table '!AC28,"jj mmm aa")</f>
        <v>23 janv 18</v>
      </c>
      <c r="D30" s="48"/>
      <c r="E30" s="48"/>
      <c r="F30" s="12">
        <f t="shared" si="8"/>
        <v>0</v>
      </c>
      <c r="G30" s="13">
        <f t="shared" si="0"/>
        <v>0</v>
      </c>
      <c r="H30" s="14">
        <f t="shared" si="1"/>
        <v>0</v>
      </c>
      <c r="J30" s="8" t="str">
        <f t="shared" si="9"/>
        <v>M</v>
      </c>
      <c r="K30" s="138" t="str">
        <f>TEXT('Table '!AC28,"jj mmm aa")</f>
        <v>23 janv 18</v>
      </c>
      <c r="L30" s="48"/>
      <c r="M30" s="48"/>
      <c r="N30" s="12">
        <f t="shared" si="10"/>
        <v>0</v>
      </c>
      <c r="O30" s="13">
        <f t="shared" si="2"/>
        <v>0</v>
      </c>
      <c r="P30" s="14">
        <f t="shared" si="3"/>
        <v>0</v>
      </c>
      <c r="R30" s="8" t="str">
        <f t="shared" si="11"/>
        <v>M</v>
      </c>
      <c r="S30" s="138" t="str">
        <f>TEXT('Table '!AC28,"jj mmm aa")</f>
        <v>23 janv 18</v>
      </c>
      <c r="T30" s="48"/>
      <c r="U30" s="48"/>
      <c r="V30" s="12">
        <f t="shared" si="12"/>
        <v>0</v>
      </c>
      <c r="W30" s="13">
        <f t="shared" si="4"/>
        <v>0</v>
      </c>
      <c r="X30" s="14">
        <f t="shared" si="5"/>
        <v>0</v>
      </c>
      <c r="Z30" s="8" t="str">
        <f t="shared" si="13"/>
        <v>M</v>
      </c>
      <c r="AA30" s="138" t="str">
        <f>TEXT('Table '!AC28,"jj mmm aa")</f>
        <v>23 janv 18</v>
      </c>
      <c r="AB30" s="48"/>
      <c r="AC30" s="48"/>
      <c r="AD30" s="12">
        <f t="shared" si="14"/>
        <v>0</v>
      </c>
      <c r="AE30" s="13">
        <f t="shared" si="6"/>
        <v>0</v>
      </c>
      <c r="AF30" s="14">
        <f t="shared" si="7"/>
        <v>0</v>
      </c>
    </row>
    <row r="31" spans="2:39" s="7" customFormat="1">
      <c r="B31" s="8" t="str">
        <f t="shared" si="15"/>
        <v>M</v>
      </c>
      <c r="C31" s="138" t="str">
        <f>TEXT('Table '!AC29,"jj mmm aa")</f>
        <v>24 janv 18</v>
      </c>
      <c r="D31" s="48"/>
      <c r="E31" s="48"/>
      <c r="F31" s="12">
        <f t="shared" si="8"/>
        <v>0</v>
      </c>
      <c r="G31" s="13">
        <f t="shared" si="0"/>
        <v>0</v>
      </c>
      <c r="H31" s="14">
        <f t="shared" si="1"/>
        <v>0</v>
      </c>
      <c r="J31" s="8" t="str">
        <f t="shared" si="9"/>
        <v>M</v>
      </c>
      <c r="K31" s="138" t="str">
        <f>TEXT('Table '!AC29,"jj mmm aa")</f>
        <v>24 janv 18</v>
      </c>
      <c r="L31" s="48"/>
      <c r="M31" s="48"/>
      <c r="N31" s="12">
        <f t="shared" si="10"/>
        <v>0</v>
      </c>
      <c r="O31" s="13">
        <f t="shared" si="2"/>
        <v>0</v>
      </c>
      <c r="P31" s="14">
        <f t="shared" si="3"/>
        <v>0</v>
      </c>
      <c r="R31" s="8" t="str">
        <f t="shared" si="11"/>
        <v>M</v>
      </c>
      <c r="S31" s="138" t="str">
        <f>TEXT('Table '!AC29,"jj mmm aa")</f>
        <v>24 janv 18</v>
      </c>
      <c r="T31" s="48"/>
      <c r="U31" s="48"/>
      <c r="V31" s="12">
        <f t="shared" si="12"/>
        <v>0</v>
      </c>
      <c r="W31" s="13">
        <f t="shared" si="4"/>
        <v>0</v>
      </c>
      <c r="X31" s="14">
        <f t="shared" si="5"/>
        <v>0</v>
      </c>
      <c r="Z31" s="8" t="str">
        <f t="shared" si="13"/>
        <v>M</v>
      </c>
      <c r="AA31" s="138" t="str">
        <f>TEXT('Table '!AC29,"jj mmm aa")</f>
        <v>24 janv 18</v>
      </c>
      <c r="AB31" s="48"/>
      <c r="AC31" s="48"/>
      <c r="AD31" s="12">
        <f t="shared" si="14"/>
        <v>0</v>
      </c>
      <c r="AE31" s="13">
        <f t="shared" si="6"/>
        <v>0</v>
      </c>
      <c r="AF31" s="14">
        <f t="shared" si="7"/>
        <v>0</v>
      </c>
    </row>
    <row r="32" spans="2:39" s="7" customFormat="1">
      <c r="B32" s="8" t="str">
        <f t="shared" si="15"/>
        <v>J</v>
      </c>
      <c r="C32" s="138" t="str">
        <f>TEXT('Table '!AC30,"jj mmm aa")</f>
        <v>25 janv 18</v>
      </c>
      <c r="D32" s="48"/>
      <c r="E32" s="48"/>
      <c r="F32" s="12">
        <f t="shared" si="8"/>
        <v>0</v>
      </c>
      <c r="G32" s="13">
        <f t="shared" si="0"/>
        <v>0</v>
      </c>
      <c r="H32" s="14">
        <f t="shared" si="1"/>
        <v>0</v>
      </c>
      <c r="J32" s="8" t="str">
        <f t="shared" si="9"/>
        <v>J</v>
      </c>
      <c r="K32" s="138" t="str">
        <f>TEXT('Table '!AC30,"jj mmm aa")</f>
        <v>25 janv 18</v>
      </c>
      <c r="L32" s="48"/>
      <c r="M32" s="48"/>
      <c r="N32" s="12">
        <f t="shared" si="10"/>
        <v>0</v>
      </c>
      <c r="O32" s="13">
        <f t="shared" si="2"/>
        <v>0</v>
      </c>
      <c r="P32" s="14">
        <f t="shared" si="3"/>
        <v>0</v>
      </c>
      <c r="R32" s="8" t="str">
        <f t="shared" si="11"/>
        <v>J</v>
      </c>
      <c r="S32" s="138" t="str">
        <f>TEXT('Table '!AC30,"jj mmm aa")</f>
        <v>25 janv 18</v>
      </c>
      <c r="T32" s="48"/>
      <c r="U32" s="48"/>
      <c r="V32" s="12">
        <f t="shared" si="12"/>
        <v>0</v>
      </c>
      <c r="W32" s="13">
        <f t="shared" si="4"/>
        <v>0</v>
      </c>
      <c r="X32" s="14">
        <f t="shared" si="5"/>
        <v>0</v>
      </c>
      <c r="Z32" s="8" t="str">
        <f t="shared" si="13"/>
        <v>J</v>
      </c>
      <c r="AA32" s="138" t="str">
        <f>TEXT('Table '!AC30,"jj mmm aa")</f>
        <v>25 janv 18</v>
      </c>
      <c r="AB32" s="48"/>
      <c r="AC32" s="48"/>
      <c r="AD32" s="12">
        <f t="shared" si="14"/>
        <v>0</v>
      </c>
      <c r="AE32" s="13">
        <f t="shared" si="6"/>
        <v>0</v>
      </c>
      <c r="AF32" s="14">
        <f t="shared" si="7"/>
        <v>0</v>
      </c>
    </row>
    <row r="33" spans="2:32" s="7" customFormat="1">
      <c r="B33" s="8" t="str">
        <f t="shared" si="15"/>
        <v>V</v>
      </c>
      <c r="C33" s="138" t="str">
        <f>TEXT('Table '!AC31,"jj mmm aa")</f>
        <v>26 janv 18</v>
      </c>
      <c r="D33" s="48"/>
      <c r="E33" s="48"/>
      <c r="F33" s="12">
        <f t="shared" si="8"/>
        <v>0</v>
      </c>
      <c r="G33" s="13">
        <f t="shared" si="0"/>
        <v>0</v>
      </c>
      <c r="H33" s="14">
        <f t="shared" si="1"/>
        <v>0</v>
      </c>
      <c r="J33" s="8" t="str">
        <f t="shared" si="9"/>
        <v>V</v>
      </c>
      <c r="K33" s="138" t="str">
        <f>TEXT('Table '!AC31,"jj mmm aa")</f>
        <v>26 janv 18</v>
      </c>
      <c r="L33" s="48"/>
      <c r="M33" s="48"/>
      <c r="N33" s="25">
        <f t="shared" si="10"/>
        <v>0</v>
      </c>
      <c r="O33" s="13">
        <f t="shared" si="2"/>
        <v>0</v>
      </c>
      <c r="P33" s="14">
        <f t="shared" si="3"/>
        <v>0</v>
      </c>
      <c r="R33" s="8" t="str">
        <f t="shared" si="11"/>
        <v>V</v>
      </c>
      <c r="S33" s="138" t="str">
        <f>TEXT('Table '!AC31,"jj mmm aa")</f>
        <v>26 janv 18</v>
      </c>
      <c r="T33" s="48"/>
      <c r="U33" s="48"/>
      <c r="V33" s="12">
        <f t="shared" si="12"/>
        <v>0</v>
      </c>
      <c r="W33" s="13">
        <f t="shared" si="4"/>
        <v>0</v>
      </c>
      <c r="X33" s="14">
        <f t="shared" si="5"/>
        <v>0</v>
      </c>
      <c r="Z33" s="8" t="str">
        <f t="shared" si="13"/>
        <v>V</v>
      </c>
      <c r="AA33" s="138" t="str">
        <f>TEXT('Table '!AC31,"jj mmm aa")</f>
        <v>26 janv 18</v>
      </c>
      <c r="AB33" s="48"/>
      <c r="AC33" s="48"/>
      <c r="AD33" s="12">
        <f t="shared" si="14"/>
        <v>0</v>
      </c>
      <c r="AE33" s="13">
        <f t="shared" si="6"/>
        <v>0</v>
      </c>
      <c r="AF33" s="14">
        <f t="shared" si="7"/>
        <v>0</v>
      </c>
    </row>
    <row r="34" spans="2:32" s="7" customFormat="1">
      <c r="B34" s="8" t="str">
        <f t="shared" si="15"/>
        <v>S</v>
      </c>
      <c r="C34" s="138" t="str">
        <f>TEXT('Table '!AC32,"jj mmm aa")</f>
        <v>27 janv 18</v>
      </c>
      <c r="D34" s="48"/>
      <c r="E34" s="48"/>
      <c r="F34" s="12">
        <f t="shared" si="8"/>
        <v>0</v>
      </c>
      <c r="G34" s="13">
        <f t="shared" si="0"/>
        <v>0</v>
      </c>
      <c r="H34" s="14">
        <f t="shared" si="1"/>
        <v>0</v>
      </c>
      <c r="J34" s="8" t="str">
        <f t="shared" si="9"/>
        <v>S</v>
      </c>
      <c r="K34" s="138" t="str">
        <f>TEXT('Table '!AC32,"jj mmm aa")</f>
        <v>27 janv 18</v>
      </c>
      <c r="L34" s="48"/>
      <c r="M34" s="48"/>
      <c r="N34" s="12">
        <f t="shared" si="10"/>
        <v>0</v>
      </c>
      <c r="O34" s="13">
        <f t="shared" si="2"/>
        <v>0</v>
      </c>
      <c r="P34" s="14">
        <f t="shared" si="3"/>
        <v>0</v>
      </c>
      <c r="R34" s="8" t="str">
        <f t="shared" si="11"/>
        <v>S</v>
      </c>
      <c r="S34" s="138" t="str">
        <f>TEXT('Table '!AC32,"jj mmm aa")</f>
        <v>27 janv 18</v>
      </c>
      <c r="T34" s="48"/>
      <c r="U34" s="48"/>
      <c r="V34" s="12">
        <f t="shared" si="12"/>
        <v>0</v>
      </c>
      <c r="W34" s="13">
        <f t="shared" si="4"/>
        <v>0</v>
      </c>
      <c r="X34" s="14">
        <f t="shared" si="5"/>
        <v>0</v>
      </c>
      <c r="Z34" s="8" t="str">
        <f t="shared" si="13"/>
        <v>S</v>
      </c>
      <c r="AA34" s="138" t="str">
        <f>TEXT('Table '!AC32,"jj mmm aa")</f>
        <v>27 janv 18</v>
      </c>
      <c r="AB34" s="48"/>
      <c r="AC34" s="48"/>
      <c r="AD34" s="12">
        <f t="shared" si="14"/>
        <v>0</v>
      </c>
      <c r="AE34" s="13">
        <f t="shared" si="6"/>
        <v>0</v>
      </c>
      <c r="AF34" s="14">
        <f t="shared" si="7"/>
        <v>0</v>
      </c>
    </row>
    <row r="35" spans="2:32" s="7" customFormat="1">
      <c r="B35" s="8" t="str">
        <f t="shared" si="15"/>
        <v>D</v>
      </c>
      <c r="C35" s="138" t="str">
        <f>TEXT('Table '!AC33,"jj mmm aa")</f>
        <v>28 janv 18</v>
      </c>
      <c r="D35" s="48"/>
      <c r="E35" s="48"/>
      <c r="F35" s="12">
        <f t="shared" si="8"/>
        <v>0</v>
      </c>
      <c r="G35" s="13">
        <f t="shared" si="0"/>
        <v>0</v>
      </c>
      <c r="H35" s="14">
        <f t="shared" si="1"/>
        <v>0</v>
      </c>
      <c r="J35" s="8" t="str">
        <f t="shared" si="9"/>
        <v>D</v>
      </c>
      <c r="K35" s="138" t="str">
        <f>TEXT('Table '!AC33,"jj mmm aa")</f>
        <v>28 janv 18</v>
      </c>
      <c r="L35" s="48"/>
      <c r="M35" s="48"/>
      <c r="N35" s="12">
        <f t="shared" si="10"/>
        <v>0</v>
      </c>
      <c r="O35" s="13">
        <f t="shared" si="2"/>
        <v>0</v>
      </c>
      <c r="P35" s="14">
        <f t="shared" si="3"/>
        <v>0</v>
      </c>
      <c r="R35" s="8" t="str">
        <f t="shared" si="11"/>
        <v>D</v>
      </c>
      <c r="S35" s="138" t="str">
        <f>TEXT('Table '!AC33,"jj mmm aa")</f>
        <v>28 janv 18</v>
      </c>
      <c r="T35" s="48"/>
      <c r="U35" s="49"/>
      <c r="V35" s="12">
        <f t="shared" si="12"/>
        <v>0</v>
      </c>
      <c r="W35" s="13">
        <f t="shared" si="4"/>
        <v>0</v>
      </c>
      <c r="X35" s="14">
        <f t="shared" si="5"/>
        <v>0</v>
      </c>
      <c r="Z35" s="8" t="str">
        <f t="shared" si="13"/>
        <v>D</v>
      </c>
      <c r="AA35" s="138" t="str">
        <f>TEXT('Table '!AC33,"jj mmm aa")</f>
        <v>28 janv 18</v>
      </c>
      <c r="AB35" s="48"/>
      <c r="AC35" s="48"/>
      <c r="AD35" s="12">
        <f t="shared" si="14"/>
        <v>0</v>
      </c>
      <c r="AE35" s="13">
        <f t="shared" si="6"/>
        <v>0</v>
      </c>
      <c r="AF35" s="14">
        <f t="shared" si="7"/>
        <v>0</v>
      </c>
    </row>
    <row r="36" spans="2:32" s="7" customFormat="1">
      <c r="B36" s="8" t="str">
        <f t="shared" si="15"/>
        <v>L</v>
      </c>
      <c r="C36" s="138" t="str">
        <f>TEXT('Table '!AC34,"jj mmm aa")</f>
        <v>29 janv 18</v>
      </c>
      <c r="D36" s="48"/>
      <c r="E36" s="48"/>
      <c r="F36" s="12">
        <f t="shared" si="8"/>
        <v>0</v>
      </c>
      <c r="G36" s="13">
        <f t="shared" si="0"/>
        <v>0</v>
      </c>
      <c r="H36" s="14">
        <f t="shared" si="1"/>
        <v>0</v>
      </c>
      <c r="J36" s="8" t="str">
        <f t="shared" si="9"/>
        <v>L</v>
      </c>
      <c r="K36" s="138" t="str">
        <f>TEXT('Table '!AC34,"jj mmm aa")</f>
        <v>29 janv 18</v>
      </c>
      <c r="L36" s="48"/>
      <c r="M36" s="48"/>
      <c r="N36" s="12">
        <f t="shared" si="10"/>
        <v>0</v>
      </c>
      <c r="O36" s="13">
        <f t="shared" si="2"/>
        <v>0</v>
      </c>
      <c r="P36" s="14">
        <f t="shared" si="3"/>
        <v>0</v>
      </c>
      <c r="R36" s="8" t="str">
        <f t="shared" si="11"/>
        <v>L</v>
      </c>
      <c r="S36" s="138" t="str">
        <f>TEXT('Table '!AC34,"jj mmm aa")</f>
        <v>29 janv 18</v>
      </c>
      <c r="T36" s="48"/>
      <c r="U36" s="48"/>
      <c r="V36" s="12">
        <f t="shared" si="12"/>
        <v>0</v>
      </c>
      <c r="W36" s="13">
        <f t="shared" si="4"/>
        <v>0</v>
      </c>
      <c r="X36" s="14">
        <f t="shared" si="5"/>
        <v>0</v>
      </c>
      <c r="Z36" s="8" t="str">
        <f t="shared" si="13"/>
        <v>L</v>
      </c>
      <c r="AA36" s="138" t="str">
        <f>TEXT('Table '!AC34,"jj mmm aa")</f>
        <v>29 janv 18</v>
      </c>
      <c r="AB36" s="48"/>
      <c r="AC36" s="48"/>
      <c r="AD36" s="12">
        <f t="shared" si="14"/>
        <v>0</v>
      </c>
      <c r="AE36" s="13">
        <f t="shared" si="6"/>
        <v>0</v>
      </c>
      <c r="AF36" s="14">
        <f t="shared" si="7"/>
        <v>0</v>
      </c>
    </row>
    <row r="37" spans="2:32" s="7" customFormat="1">
      <c r="B37" s="8" t="str">
        <f t="shared" si="15"/>
        <v>M</v>
      </c>
      <c r="C37" s="138" t="str">
        <f>TEXT('Table '!AC35,"jj mmm aa")</f>
        <v>30 janv 18</v>
      </c>
      <c r="D37" s="48"/>
      <c r="E37" s="48"/>
      <c r="F37" s="12">
        <f t="shared" si="8"/>
        <v>0</v>
      </c>
      <c r="G37" s="13">
        <f t="shared" si="0"/>
        <v>0</v>
      </c>
      <c r="H37" s="14">
        <f t="shared" si="1"/>
        <v>0</v>
      </c>
      <c r="J37" s="8" t="str">
        <f t="shared" si="9"/>
        <v>M</v>
      </c>
      <c r="K37" s="138" t="str">
        <f>TEXT('Table '!AC35,"jj mmm aa")</f>
        <v>30 janv 18</v>
      </c>
      <c r="L37" s="48"/>
      <c r="M37" s="48"/>
      <c r="N37" s="12">
        <f t="shared" si="10"/>
        <v>0</v>
      </c>
      <c r="O37" s="13">
        <f t="shared" si="2"/>
        <v>0</v>
      </c>
      <c r="P37" s="14">
        <f t="shared" si="3"/>
        <v>0</v>
      </c>
      <c r="R37" s="8" t="str">
        <f t="shared" si="11"/>
        <v>M</v>
      </c>
      <c r="S37" s="138" t="str">
        <f>TEXT('Table '!AC35,"jj mmm aa")</f>
        <v>30 janv 18</v>
      </c>
      <c r="T37" s="48"/>
      <c r="U37" s="48"/>
      <c r="V37" s="12">
        <f t="shared" si="12"/>
        <v>0</v>
      </c>
      <c r="W37" s="13">
        <f t="shared" si="4"/>
        <v>0</v>
      </c>
      <c r="X37" s="14">
        <f t="shared" si="5"/>
        <v>0</v>
      </c>
      <c r="Z37" s="8" t="str">
        <f t="shared" si="13"/>
        <v>M</v>
      </c>
      <c r="AA37" s="138" t="str">
        <f>TEXT('Table '!AC35,"jj mmm aa")</f>
        <v>30 janv 18</v>
      </c>
      <c r="AB37" s="48"/>
      <c r="AC37" s="48"/>
      <c r="AD37" s="12">
        <f t="shared" si="14"/>
        <v>0</v>
      </c>
      <c r="AE37" s="13">
        <f t="shared" si="6"/>
        <v>0</v>
      </c>
      <c r="AF37" s="14">
        <f t="shared" si="7"/>
        <v>0</v>
      </c>
    </row>
    <row r="38" spans="2:32" s="7" customFormat="1" ht="15.75" thickBot="1">
      <c r="B38" s="129" t="str">
        <f t="shared" si="15"/>
        <v>M</v>
      </c>
      <c r="C38" s="139" t="str">
        <f>TEXT('Table '!AC36,"jj mmm aa")</f>
        <v>31 janv 18</v>
      </c>
      <c r="D38" s="122"/>
      <c r="E38" s="122"/>
      <c r="F38" s="140">
        <f t="shared" si="8"/>
        <v>0</v>
      </c>
      <c r="G38" s="16">
        <f t="shared" si="0"/>
        <v>0</v>
      </c>
      <c r="H38" s="141">
        <f t="shared" si="1"/>
        <v>0</v>
      </c>
      <c r="J38" s="129" t="str">
        <f t="shared" si="9"/>
        <v>M</v>
      </c>
      <c r="K38" s="139" t="str">
        <f>TEXT('Table '!AC36,"jj mmm aa")</f>
        <v>31 janv 18</v>
      </c>
      <c r="L38" s="122"/>
      <c r="M38" s="122"/>
      <c r="N38" s="140">
        <f t="shared" si="10"/>
        <v>0</v>
      </c>
      <c r="O38" s="16">
        <f t="shared" si="2"/>
        <v>0</v>
      </c>
      <c r="P38" s="141">
        <f t="shared" si="3"/>
        <v>0</v>
      </c>
      <c r="R38" s="129" t="str">
        <f t="shared" si="11"/>
        <v>M</v>
      </c>
      <c r="S38" s="139" t="str">
        <f>TEXT('Table '!AC36,"jj mmm aa")</f>
        <v>31 janv 18</v>
      </c>
      <c r="T38" s="122"/>
      <c r="U38" s="122"/>
      <c r="V38" s="140">
        <f t="shared" si="12"/>
        <v>0</v>
      </c>
      <c r="W38" s="16">
        <f t="shared" si="4"/>
        <v>0</v>
      </c>
      <c r="X38" s="141">
        <f t="shared" si="5"/>
        <v>0</v>
      </c>
      <c r="Z38" s="129" t="str">
        <f t="shared" si="13"/>
        <v>M</v>
      </c>
      <c r="AA38" s="139" t="str">
        <f>TEXT('Table '!AC36,"jj mmm aa")</f>
        <v>31 janv 18</v>
      </c>
      <c r="AB38" s="122"/>
      <c r="AC38" s="122"/>
      <c r="AD38" s="140">
        <f t="shared" si="14"/>
        <v>0</v>
      </c>
      <c r="AE38" s="16">
        <f t="shared" si="6"/>
        <v>0</v>
      </c>
      <c r="AF38" s="141">
        <f t="shared" si="7"/>
        <v>0</v>
      </c>
    </row>
    <row r="39" spans="2:32" s="7" customFormat="1" ht="19.5" thickTop="1">
      <c r="B39" s="127"/>
      <c r="C39" s="62"/>
      <c r="D39" s="62"/>
      <c r="E39" s="63" t="s">
        <v>9</v>
      </c>
      <c r="F39" s="62"/>
      <c r="G39" s="64">
        <f>SUM(G8:G38)</f>
        <v>0</v>
      </c>
      <c r="H39" s="65"/>
      <c r="J39" s="127"/>
      <c r="K39" s="62"/>
      <c r="L39" s="62"/>
      <c r="M39" s="63" t="s">
        <v>9</v>
      </c>
      <c r="N39" s="62"/>
      <c r="O39" s="64">
        <f>SUM(O8:O38)</f>
        <v>0</v>
      </c>
      <c r="P39" s="65"/>
      <c r="R39" s="127"/>
      <c r="S39" s="62"/>
      <c r="T39" s="62"/>
      <c r="U39" s="63" t="s">
        <v>9</v>
      </c>
      <c r="V39" s="62"/>
      <c r="W39" s="64">
        <f>SUM(W8:W38)</f>
        <v>0</v>
      </c>
      <c r="X39" s="65"/>
      <c r="Z39" s="127"/>
      <c r="AA39" s="62"/>
      <c r="AB39" s="62"/>
      <c r="AC39" s="63" t="s">
        <v>9</v>
      </c>
      <c r="AD39" s="62"/>
      <c r="AE39" s="64">
        <f>SUM(AE8:AE23)</f>
        <v>0</v>
      </c>
      <c r="AF39" s="65"/>
    </row>
    <row r="40" spans="2:32" s="36" customFormat="1" ht="18.75">
      <c r="B40" s="128"/>
      <c r="C40" s="33"/>
      <c r="D40" s="33"/>
      <c r="E40" s="34" t="s">
        <v>10</v>
      </c>
      <c r="F40" s="33"/>
      <c r="G40" s="35"/>
      <c r="H40" s="32">
        <f>SUM(H8:H38)*24</f>
        <v>0</v>
      </c>
      <c r="J40" s="128"/>
      <c r="K40" s="33"/>
      <c r="L40" s="33"/>
      <c r="M40" s="34" t="s">
        <v>10</v>
      </c>
      <c r="N40" s="33"/>
      <c r="O40" s="35"/>
      <c r="P40" s="32">
        <f>SUM(P8:P38)*24</f>
        <v>0</v>
      </c>
      <c r="R40" s="128"/>
      <c r="S40" s="33"/>
      <c r="T40" s="33"/>
      <c r="U40" s="34" t="s">
        <v>10</v>
      </c>
      <c r="V40" s="33"/>
      <c r="W40" s="35"/>
      <c r="X40" s="32">
        <f>SUM(X8:X38)*24</f>
        <v>0</v>
      </c>
      <c r="Z40" s="128"/>
      <c r="AA40" s="33"/>
      <c r="AB40" s="33"/>
      <c r="AC40" s="34" t="s">
        <v>10</v>
      </c>
      <c r="AD40" s="33"/>
      <c r="AE40" s="35"/>
      <c r="AF40" s="32">
        <f>SUM(AF8:AF32)</f>
        <v>0</v>
      </c>
    </row>
    <row r="41" spans="2:32" s="7" customFormat="1" ht="15.75" thickBot="1">
      <c r="B41" s="129"/>
      <c r="C41" s="16"/>
      <c r="D41" s="16"/>
      <c r="E41" s="16"/>
      <c r="F41" s="16"/>
      <c r="G41" s="16"/>
      <c r="H41" s="17"/>
      <c r="J41" s="129"/>
      <c r="K41" s="16"/>
      <c r="L41" s="16"/>
      <c r="M41" s="16"/>
      <c r="N41" s="16"/>
      <c r="O41" s="16"/>
      <c r="P41" s="17"/>
      <c r="R41" s="129"/>
      <c r="S41" s="16"/>
      <c r="T41" s="16"/>
      <c r="U41" s="16"/>
      <c r="V41" s="16"/>
      <c r="W41" s="16"/>
      <c r="X41" s="17"/>
      <c r="Z41" s="129"/>
      <c r="AA41" s="16"/>
      <c r="AB41" s="16"/>
      <c r="AC41" s="16"/>
      <c r="AD41" s="16"/>
      <c r="AE41" s="16"/>
      <c r="AF41" s="17"/>
    </row>
    <row r="42" spans="2:32" ht="15.75" thickTop="1"/>
    <row r="43" spans="2:32">
      <c r="P43" s="30"/>
    </row>
    <row r="44" spans="2:32">
      <c r="M44" s="28"/>
      <c r="N44" s="29"/>
    </row>
  </sheetData>
  <mergeCells count="9">
    <mergeCell ref="Z5:AF6"/>
    <mergeCell ref="L3:N3"/>
    <mergeCell ref="L1:N1"/>
    <mergeCell ref="L2:N2"/>
    <mergeCell ref="E2:F2"/>
    <mergeCell ref="C1:E1"/>
    <mergeCell ref="B5:H6"/>
    <mergeCell ref="J5:P6"/>
    <mergeCell ref="R5:X6"/>
  </mergeCells>
  <conditionalFormatting sqref="B9:H38 J9:P38 R9:X38 Z9:AF38">
    <cfRule type="expression" dxfId="42" priority="9">
      <formula>AND($B9="S")</formula>
    </cfRule>
    <cfRule type="expression" dxfId="41" priority="8">
      <formula>AND($B9="D")</formula>
    </cfRule>
  </conditionalFormatting>
  <conditionalFormatting sqref="B8:H38 J8:P38 R8:X38 Z8:AF38">
    <cfRule type="expression" dxfId="40" priority="2">
      <formula>COUNTIF(Feries,$C8)&gt;0</formula>
    </cfRule>
    <cfRule type="expression" dxfId="39" priority="1">
      <formula>COUNTIF(Fete,$C8)&gt;0</formula>
    </cfRule>
  </conditionalFormatting>
  <pageMargins left="0.7" right="0.7" top="0.75" bottom="0.75" header="0.3" footer="0.3"/>
  <pageSetup paperSize="9" orientation="portrait" horizontalDpi="4294967294" verticalDpi="429496729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>
    <tabColor theme="8" tint="0.39997558519241921"/>
  </sheetPr>
  <dimension ref="B1:AF42"/>
  <sheetViews>
    <sheetView showGridLines="0" workbookViewId="0"/>
  </sheetViews>
  <sheetFormatPr baseColWidth="10" defaultRowHeight="15"/>
  <cols>
    <col min="1" max="1" width="1.42578125" style="145" customWidth="1"/>
    <col min="2" max="2" width="3.7109375" style="147" customWidth="1"/>
    <col min="3" max="8" width="9.5703125" style="148" customWidth="1"/>
    <col min="9" max="9" width="1.7109375" style="145" customWidth="1"/>
    <col min="10" max="10" width="3.7109375" style="147" customWidth="1"/>
    <col min="11" max="16" width="9.5703125" style="145" customWidth="1"/>
    <col min="17" max="17" width="1.7109375" style="145" customWidth="1"/>
    <col min="18" max="18" width="3.7109375" style="147" customWidth="1"/>
    <col min="19" max="24" width="9.5703125" style="145" customWidth="1"/>
    <col min="25" max="25" width="1.42578125" style="145" customWidth="1"/>
    <col min="26" max="26" width="3.7109375" style="147" customWidth="1"/>
    <col min="27" max="32" width="9.5703125" style="145" customWidth="1"/>
    <col min="33" max="16384" width="11.42578125" style="145"/>
  </cols>
  <sheetData>
    <row r="1" spans="2:32">
      <c r="C1" s="143" t="s">
        <v>0</v>
      </c>
      <c r="D1" s="143"/>
      <c r="E1" s="143"/>
      <c r="F1" s="144">
        <v>0.33333333333333331</v>
      </c>
      <c r="G1" s="143" t="s">
        <v>1</v>
      </c>
      <c r="H1" s="143"/>
      <c r="L1" s="247"/>
      <c r="M1" s="247"/>
      <c r="N1" s="247"/>
    </row>
    <row r="2" spans="2:32">
      <c r="C2" s="143" t="s">
        <v>2</v>
      </c>
      <c r="D2" s="144">
        <v>0.33333333333333331</v>
      </c>
      <c r="E2" s="143" t="s">
        <v>3</v>
      </c>
      <c r="F2" s="143"/>
      <c r="G2" s="143"/>
      <c r="H2" s="143"/>
      <c r="L2" s="247"/>
      <c r="M2" s="247"/>
      <c r="N2" s="247"/>
    </row>
    <row r="3" spans="2:32">
      <c r="C3" s="143"/>
      <c r="D3" s="143"/>
      <c r="E3" s="143"/>
      <c r="F3" s="143"/>
      <c r="G3" s="143"/>
      <c r="H3" s="143"/>
      <c r="L3" s="247"/>
      <c r="M3" s="247"/>
      <c r="N3" s="247"/>
    </row>
    <row r="4" spans="2:32" ht="15.75" thickBot="1">
      <c r="C4" s="147"/>
    </row>
    <row r="5" spans="2:32" s="149" customFormat="1" ht="15.75" customHeight="1" thickTop="1">
      <c r="B5" s="338">
        <f>'Table '!C3</f>
        <v>1</v>
      </c>
      <c r="C5" s="339"/>
      <c r="D5" s="339"/>
      <c r="E5" s="339"/>
      <c r="F5" s="339"/>
      <c r="G5" s="339"/>
      <c r="H5" s="340"/>
      <c r="J5" s="344">
        <f>'Table '!G3</f>
        <v>2</v>
      </c>
      <c r="K5" s="345"/>
      <c r="L5" s="345"/>
      <c r="M5" s="345"/>
      <c r="N5" s="345"/>
      <c r="O5" s="345"/>
      <c r="P5" s="346"/>
      <c r="R5" s="350">
        <f>'Table '!C6</f>
        <v>3</v>
      </c>
      <c r="S5" s="351"/>
      <c r="T5" s="351"/>
      <c r="U5" s="351"/>
      <c r="V5" s="351"/>
      <c r="W5" s="351"/>
      <c r="X5" s="352"/>
      <c r="Z5" s="356">
        <f>'Table '!G6</f>
        <v>4</v>
      </c>
      <c r="AA5" s="357"/>
      <c r="AB5" s="357"/>
      <c r="AC5" s="357"/>
      <c r="AD5" s="357"/>
      <c r="AE5" s="357"/>
      <c r="AF5" s="358"/>
    </row>
    <row r="6" spans="2:32" s="149" customFormat="1" ht="15" customHeight="1">
      <c r="B6" s="341"/>
      <c r="C6" s="342"/>
      <c r="D6" s="342"/>
      <c r="E6" s="342"/>
      <c r="F6" s="342"/>
      <c r="G6" s="342"/>
      <c r="H6" s="343"/>
      <c r="J6" s="347"/>
      <c r="K6" s="348"/>
      <c r="L6" s="348"/>
      <c r="M6" s="348"/>
      <c r="N6" s="348"/>
      <c r="O6" s="348"/>
      <c r="P6" s="349"/>
      <c r="R6" s="353"/>
      <c r="S6" s="354"/>
      <c r="T6" s="354"/>
      <c r="U6" s="354"/>
      <c r="V6" s="354"/>
      <c r="W6" s="354"/>
      <c r="X6" s="355"/>
      <c r="Z6" s="359"/>
      <c r="AA6" s="360"/>
      <c r="AB6" s="360"/>
      <c r="AC6" s="360"/>
      <c r="AD6" s="360"/>
      <c r="AE6" s="360"/>
      <c r="AF6" s="361"/>
    </row>
    <row r="7" spans="2:32" s="150" customFormat="1" ht="39" customHeight="1">
      <c r="B7" s="8"/>
      <c r="C7" s="15"/>
      <c r="D7" s="9" t="s">
        <v>4</v>
      </c>
      <c r="E7" s="9" t="s">
        <v>5</v>
      </c>
      <c r="F7" s="9" t="s">
        <v>6</v>
      </c>
      <c r="G7" s="9" t="s">
        <v>7</v>
      </c>
      <c r="H7" s="10" t="s">
        <v>8</v>
      </c>
      <c r="J7" s="8"/>
      <c r="K7" s="15"/>
      <c r="L7" s="9" t="s">
        <v>4</v>
      </c>
      <c r="M7" s="9" t="s">
        <v>5</v>
      </c>
      <c r="N7" s="9" t="s">
        <v>6</v>
      </c>
      <c r="O7" s="9" t="s">
        <v>7</v>
      </c>
      <c r="P7" s="10" t="s">
        <v>8</v>
      </c>
      <c r="R7" s="8"/>
      <c r="S7" s="15"/>
      <c r="T7" s="9" t="s">
        <v>4</v>
      </c>
      <c r="U7" s="9" t="s">
        <v>5</v>
      </c>
      <c r="V7" s="9" t="s">
        <v>6</v>
      </c>
      <c r="W7" s="9" t="s">
        <v>7</v>
      </c>
      <c r="X7" s="10" t="s">
        <v>8</v>
      </c>
      <c r="Z7" s="8"/>
      <c r="AA7" s="15"/>
      <c r="AB7" s="9" t="s">
        <v>4</v>
      </c>
      <c r="AC7" s="9" t="s">
        <v>5</v>
      </c>
      <c r="AD7" s="9" t="s">
        <v>6</v>
      </c>
      <c r="AE7" s="9" t="s">
        <v>7</v>
      </c>
      <c r="AF7" s="10" t="s">
        <v>8</v>
      </c>
    </row>
    <row r="8" spans="2:32" s="149" customFormat="1">
      <c r="B8" s="8" t="str">
        <f>CHOOSE(WEEKDAY(C8),"D","L","M","M","J","V","S")</f>
        <v>J</v>
      </c>
      <c r="C8" s="151" t="str">
        <f>TEXT('Table '!AD6,"jj mmm aa")</f>
        <v>01 févr 18</v>
      </c>
      <c r="D8" s="12"/>
      <c r="E8" s="12"/>
      <c r="F8" s="12">
        <f>E8-D8</f>
        <v>0</v>
      </c>
      <c r="G8" s="13">
        <f t="shared" ref="G8:G36" si="0">IF(F8&gt;=$F$1,1,0)</f>
        <v>0</v>
      </c>
      <c r="H8" s="14">
        <f t="shared" ref="H8:H36" si="1">IF(F8&lt;$F$1,F8,0)</f>
        <v>0</v>
      </c>
      <c r="J8" s="8" t="str">
        <f>CHOOSE(WEEKDAY(C8),"D","L","M","M","J","V","S")</f>
        <v>J</v>
      </c>
      <c r="K8" s="151" t="str">
        <f>TEXT('Table '!AD6,"jj mmm aa")</f>
        <v>01 févr 18</v>
      </c>
      <c r="L8" s="12"/>
      <c r="M8" s="12"/>
      <c r="N8" s="12">
        <f>M8-L8</f>
        <v>0</v>
      </c>
      <c r="O8" s="13">
        <f t="shared" ref="O8:O36" si="2">IF(N8&gt;=$F$1,1,0)</f>
        <v>0</v>
      </c>
      <c r="P8" s="14">
        <f t="shared" ref="P8:P36" si="3">IF(N8&lt;$F$1,N8,0)</f>
        <v>0</v>
      </c>
      <c r="R8" s="8" t="str">
        <f>CHOOSE(WEEKDAY(C8),"D","L","M","M","J","V","S")</f>
        <v>J</v>
      </c>
      <c r="S8" s="151" t="str">
        <f>TEXT('Table '!AD6,"jj mmm aa")</f>
        <v>01 févr 18</v>
      </c>
      <c r="T8" s="12"/>
      <c r="U8" s="12"/>
      <c r="V8" s="12">
        <f>U8-T8</f>
        <v>0</v>
      </c>
      <c r="W8" s="13">
        <f t="shared" ref="W8:W36" si="4">IF(V8&gt;=$F$1,1,0)</f>
        <v>0</v>
      </c>
      <c r="X8" s="14">
        <f t="shared" ref="X8:X36" si="5">IF(V8&lt;$F$1,V8,0)</f>
        <v>0</v>
      </c>
      <c r="Y8" s="152"/>
      <c r="Z8" s="131" t="str">
        <f>CHOOSE(WEEKDAY(C8),"D","L","M","M","J","V","S")</f>
        <v>J</v>
      </c>
      <c r="AA8" s="151" t="str">
        <f>TEXT('Table '!AD6,"jj mmm aa")</f>
        <v>01 févr 18</v>
      </c>
      <c r="AB8" s="12"/>
      <c r="AC8" s="12"/>
      <c r="AD8" s="12">
        <f>AC8-AB8</f>
        <v>0</v>
      </c>
      <c r="AE8" s="13">
        <f t="shared" ref="AE8:AE36" si="6">IF(AD8&gt;=$F$1,1,0)</f>
        <v>0</v>
      </c>
      <c r="AF8" s="14">
        <f t="shared" ref="AF8:AF36" si="7">IF(AD8&lt;$F$1,AD8,0)</f>
        <v>0</v>
      </c>
    </row>
    <row r="9" spans="2:32" s="149" customFormat="1">
      <c r="B9" s="8" t="str">
        <f t="shared" ref="B9:B36" si="8">CHOOSE(WEEKDAY(C9),"D","L","M","M","J","V","S")</f>
        <v>V</v>
      </c>
      <c r="C9" s="151" t="str">
        <f>TEXT('Table '!AD7,"jj mmm aa")</f>
        <v>02 févr 18</v>
      </c>
      <c r="D9" s="12"/>
      <c r="E9" s="12"/>
      <c r="F9" s="12">
        <f t="shared" ref="F9:F36" si="9">E9-D9</f>
        <v>0</v>
      </c>
      <c r="G9" s="13">
        <f t="shared" si="0"/>
        <v>0</v>
      </c>
      <c r="H9" s="14">
        <f t="shared" si="1"/>
        <v>0</v>
      </c>
      <c r="J9" s="8" t="str">
        <f t="shared" ref="J9:J36" si="10">CHOOSE(WEEKDAY(C9),"D","L","M","M","J","V","S")</f>
        <v>V</v>
      </c>
      <c r="K9" s="151" t="str">
        <f>TEXT('Table '!AD7,"jj mmm aa")</f>
        <v>02 févr 18</v>
      </c>
      <c r="L9" s="12"/>
      <c r="M9" s="12"/>
      <c r="N9" s="12">
        <f t="shared" ref="N9:N36" si="11">M9-L9</f>
        <v>0</v>
      </c>
      <c r="O9" s="13">
        <f t="shared" si="2"/>
        <v>0</v>
      </c>
      <c r="P9" s="14">
        <f t="shared" si="3"/>
        <v>0</v>
      </c>
      <c r="R9" s="8" t="str">
        <f t="shared" ref="R9:R36" si="12">CHOOSE(WEEKDAY(C9),"D","L","M","M","J","V","S")</f>
        <v>V</v>
      </c>
      <c r="S9" s="151" t="str">
        <f>TEXT('Table '!AD7,"jj mmm aa")</f>
        <v>02 févr 18</v>
      </c>
      <c r="T9" s="12"/>
      <c r="U9" s="12"/>
      <c r="V9" s="12">
        <f t="shared" ref="V9:V36" si="13">U9-T9</f>
        <v>0</v>
      </c>
      <c r="W9" s="13">
        <f t="shared" si="4"/>
        <v>0</v>
      </c>
      <c r="X9" s="14">
        <f t="shared" si="5"/>
        <v>0</v>
      </c>
      <c r="Y9" s="152"/>
      <c r="Z9" s="131" t="str">
        <f t="shared" ref="Z9:Z36" si="14">CHOOSE(WEEKDAY(C9),"D","L","M","M","J","V","S")</f>
        <v>V</v>
      </c>
      <c r="AA9" s="151" t="str">
        <f>TEXT('Table '!AD7,"jj mmm aa")</f>
        <v>02 févr 18</v>
      </c>
      <c r="AB9" s="12"/>
      <c r="AC9" s="12"/>
      <c r="AD9" s="12">
        <f t="shared" ref="AD9:AD36" si="15">AC9-AB9</f>
        <v>0</v>
      </c>
      <c r="AE9" s="13">
        <f t="shared" si="6"/>
        <v>0</v>
      </c>
      <c r="AF9" s="14">
        <f t="shared" si="7"/>
        <v>0</v>
      </c>
    </row>
    <row r="10" spans="2:32" s="149" customFormat="1">
      <c r="B10" s="8" t="str">
        <f t="shared" si="8"/>
        <v>S</v>
      </c>
      <c r="C10" s="151" t="str">
        <f>TEXT('Table '!AD8,"jj mmm aa")</f>
        <v>03 févr 18</v>
      </c>
      <c r="D10" s="12"/>
      <c r="E10" s="12"/>
      <c r="F10" s="12">
        <f t="shared" si="9"/>
        <v>0</v>
      </c>
      <c r="G10" s="13">
        <f t="shared" si="0"/>
        <v>0</v>
      </c>
      <c r="H10" s="14">
        <f t="shared" si="1"/>
        <v>0</v>
      </c>
      <c r="J10" s="8" t="str">
        <f t="shared" si="10"/>
        <v>S</v>
      </c>
      <c r="K10" s="151" t="str">
        <f>TEXT('Table '!AD8,"jj mmm aa")</f>
        <v>03 févr 18</v>
      </c>
      <c r="L10" s="12"/>
      <c r="M10" s="12"/>
      <c r="N10" s="12">
        <f t="shared" si="11"/>
        <v>0</v>
      </c>
      <c r="O10" s="13">
        <f t="shared" si="2"/>
        <v>0</v>
      </c>
      <c r="P10" s="14">
        <f t="shared" si="3"/>
        <v>0</v>
      </c>
      <c r="R10" s="8" t="str">
        <f t="shared" si="12"/>
        <v>S</v>
      </c>
      <c r="S10" s="151" t="str">
        <f>TEXT('Table '!AD8,"jj mmm aa")</f>
        <v>03 févr 18</v>
      </c>
      <c r="T10" s="12"/>
      <c r="U10" s="12"/>
      <c r="V10" s="12">
        <f t="shared" si="13"/>
        <v>0</v>
      </c>
      <c r="W10" s="13">
        <f t="shared" si="4"/>
        <v>0</v>
      </c>
      <c r="X10" s="14">
        <f t="shared" si="5"/>
        <v>0</v>
      </c>
      <c r="Y10" s="152"/>
      <c r="Z10" s="131" t="str">
        <f t="shared" si="14"/>
        <v>S</v>
      </c>
      <c r="AA10" s="151" t="str">
        <f>TEXT('Table '!AD8,"jj mmm aa")</f>
        <v>03 févr 18</v>
      </c>
      <c r="AB10" s="12"/>
      <c r="AC10" s="12"/>
      <c r="AD10" s="12">
        <f t="shared" si="15"/>
        <v>0</v>
      </c>
      <c r="AE10" s="13">
        <f t="shared" si="6"/>
        <v>0</v>
      </c>
      <c r="AF10" s="14">
        <f t="shared" si="7"/>
        <v>0</v>
      </c>
    </row>
    <row r="11" spans="2:32" s="149" customFormat="1">
      <c r="B11" s="8" t="str">
        <f t="shared" si="8"/>
        <v>D</v>
      </c>
      <c r="C11" s="151" t="str">
        <f>TEXT('Table '!AD9,"jj mmm aa")</f>
        <v>04 févr 18</v>
      </c>
      <c r="D11" s="12"/>
      <c r="E11" s="12"/>
      <c r="F11" s="25">
        <f t="shared" si="9"/>
        <v>0</v>
      </c>
      <c r="G11" s="26">
        <f t="shared" si="0"/>
        <v>0</v>
      </c>
      <c r="H11" s="27">
        <f t="shared" si="1"/>
        <v>0</v>
      </c>
      <c r="I11" s="153"/>
      <c r="J11" s="8" t="str">
        <f t="shared" si="10"/>
        <v>D</v>
      </c>
      <c r="K11" s="151" t="str">
        <f>TEXT('Table '!AD9,"jj mmm aa")</f>
        <v>04 févr 18</v>
      </c>
      <c r="L11" s="12"/>
      <c r="M11" s="12"/>
      <c r="N11" s="25">
        <f t="shared" si="11"/>
        <v>0</v>
      </c>
      <c r="O11" s="26">
        <f t="shared" si="2"/>
        <v>0</v>
      </c>
      <c r="P11" s="27">
        <f t="shared" si="3"/>
        <v>0</v>
      </c>
      <c r="R11" s="8" t="str">
        <f t="shared" si="12"/>
        <v>D</v>
      </c>
      <c r="S11" s="151" t="str">
        <f>TEXT('Table '!AD9,"jj mmm aa")</f>
        <v>04 févr 18</v>
      </c>
      <c r="T11" s="12"/>
      <c r="U11" s="12"/>
      <c r="V11" s="25">
        <f t="shared" si="13"/>
        <v>0</v>
      </c>
      <c r="W11" s="26">
        <f t="shared" si="4"/>
        <v>0</v>
      </c>
      <c r="X11" s="27">
        <f t="shared" si="5"/>
        <v>0</v>
      </c>
      <c r="Y11" s="152"/>
      <c r="Z11" s="131" t="str">
        <f t="shared" si="14"/>
        <v>D</v>
      </c>
      <c r="AA11" s="151" t="str">
        <f>TEXT('Table '!AD9,"jj mmm aa")</f>
        <v>04 févr 18</v>
      </c>
      <c r="AB11" s="12"/>
      <c r="AC11" s="12"/>
      <c r="AD11" s="25">
        <f t="shared" si="15"/>
        <v>0</v>
      </c>
      <c r="AE11" s="26">
        <f t="shared" si="6"/>
        <v>0</v>
      </c>
      <c r="AF11" s="27">
        <f t="shared" si="7"/>
        <v>0</v>
      </c>
    </row>
    <row r="12" spans="2:32" s="149" customFormat="1">
      <c r="B12" s="8" t="str">
        <f t="shared" si="8"/>
        <v>L</v>
      </c>
      <c r="C12" s="151" t="str">
        <f>TEXT('Table '!AD10,"jj mmm aa")</f>
        <v>05 févr 18</v>
      </c>
      <c r="D12" s="12"/>
      <c r="E12" s="12"/>
      <c r="F12" s="25">
        <f t="shared" si="9"/>
        <v>0</v>
      </c>
      <c r="G12" s="26">
        <f t="shared" si="0"/>
        <v>0</v>
      </c>
      <c r="H12" s="27">
        <f t="shared" si="1"/>
        <v>0</v>
      </c>
      <c r="I12" s="153"/>
      <c r="J12" s="8" t="str">
        <f t="shared" si="10"/>
        <v>L</v>
      </c>
      <c r="K12" s="151" t="str">
        <f>TEXT('Table '!AD10,"jj mmm aa")</f>
        <v>05 févr 18</v>
      </c>
      <c r="L12" s="12"/>
      <c r="M12" s="12"/>
      <c r="N12" s="25">
        <f t="shared" si="11"/>
        <v>0</v>
      </c>
      <c r="O12" s="26">
        <f t="shared" si="2"/>
        <v>0</v>
      </c>
      <c r="P12" s="27">
        <f t="shared" si="3"/>
        <v>0</v>
      </c>
      <c r="R12" s="8" t="str">
        <f t="shared" si="12"/>
        <v>L</v>
      </c>
      <c r="S12" s="151" t="str">
        <f>TEXT('Table '!AD10,"jj mmm aa")</f>
        <v>05 févr 18</v>
      </c>
      <c r="T12" s="12"/>
      <c r="U12" s="12"/>
      <c r="V12" s="25">
        <f t="shared" si="13"/>
        <v>0</v>
      </c>
      <c r="W12" s="26">
        <f t="shared" si="4"/>
        <v>0</v>
      </c>
      <c r="X12" s="27">
        <f t="shared" si="5"/>
        <v>0</v>
      </c>
      <c r="Y12" s="152"/>
      <c r="Z12" s="131" t="str">
        <f t="shared" si="14"/>
        <v>L</v>
      </c>
      <c r="AA12" s="151" t="str">
        <f>TEXT('Table '!AD10,"jj mmm aa")</f>
        <v>05 févr 18</v>
      </c>
      <c r="AB12" s="12"/>
      <c r="AC12" s="12"/>
      <c r="AD12" s="25">
        <f t="shared" si="15"/>
        <v>0</v>
      </c>
      <c r="AE12" s="26">
        <f t="shared" si="6"/>
        <v>0</v>
      </c>
      <c r="AF12" s="27">
        <f t="shared" si="7"/>
        <v>0</v>
      </c>
    </row>
    <row r="13" spans="2:32" s="149" customFormat="1">
      <c r="B13" s="8" t="str">
        <f t="shared" si="8"/>
        <v>M</v>
      </c>
      <c r="C13" s="151" t="str">
        <f>TEXT('Table '!AD11,"jj mmm aa")</f>
        <v>06 févr 18</v>
      </c>
      <c r="D13" s="25"/>
      <c r="E13" s="25"/>
      <c r="F13" s="25">
        <f t="shared" si="9"/>
        <v>0</v>
      </c>
      <c r="G13" s="26">
        <f t="shared" si="0"/>
        <v>0</v>
      </c>
      <c r="H13" s="27">
        <f t="shared" si="1"/>
        <v>0</v>
      </c>
      <c r="I13" s="153"/>
      <c r="J13" s="8" t="str">
        <f t="shared" si="10"/>
        <v>M</v>
      </c>
      <c r="K13" s="151" t="str">
        <f>TEXT('Table '!AD11,"jj mmm aa")</f>
        <v>06 févr 18</v>
      </c>
      <c r="L13" s="25"/>
      <c r="M13" s="25"/>
      <c r="N13" s="25">
        <f t="shared" si="11"/>
        <v>0</v>
      </c>
      <c r="O13" s="26">
        <f t="shared" si="2"/>
        <v>0</v>
      </c>
      <c r="P13" s="27">
        <f t="shared" si="3"/>
        <v>0</v>
      </c>
      <c r="R13" s="8" t="str">
        <f t="shared" si="12"/>
        <v>M</v>
      </c>
      <c r="S13" s="151" t="str">
        <f>TEXT('Table '!AD11,"jj mmm aa")</f>
        <v>06 févr 18</v>
      </c>
      <c r="T13" s="25"/>
      <c r="U13" s="25"/>
      <c r="V13" s="25">
        <f t="shared" si="13"/>
        <v>0</v>
      </c>
      <c r="W13" s="26">
        <f t="shared" si="4"/>
        <v>0</v>
      </c>
      <c r="X13" s="27">
        <f t="shared" si="5"/>
        <v>0</v>
      </c>
      <c r="Y13" s="152"/>
      <c r="Z13" s="131" t="str">
        <f t="shared" si="14"/>
        <v>M</v>
      </c>
      <c r="AA13" s="151" t="str">
        <f>TEXT('Table '!AD11,"jj mmm aa")</f>
        <v>06 févr 18</v>
      </c>
      <c r="AB13" s="25"/>
      <c r="AC13" s="25"/>
      <c r="AD13" s="25">
        <f t="shared" si="15"/>
        <v>0</v>
      </c>
      <c r="AE13" s="26">
        <f t="shared" si="6"/>
        <v>0</v>
      </c>
      <c r="AF13" s="27">
        <f t="shared" si="7"/>
        <v>0</v>
      </c>
    </row>
    <row r="14" spans="2:32" s="149" customFormat="1">
      <c r="B14" s="8" t="str">
        <f t="shared" si="8"/>
        <v>M</v>
      </c>
      <c r="C14" s="151" t="str">
        <f>TEXT('Table '!AD12,"jj mmm aa")</f>
        <v>07 févr 18</v>
      </c>
      <c r="D14" s="25"/>
      <c r="E14" s="25"/>
      <c r="F14" s="25">
        <f t="shared" si="9"/>
        <v>0</v>
      </c>
      <c r="G14" s="26">
        <f t="shared" si="0"/>
        <v>0</v>
      </c>
      <c r="H14" s="27">
        <f t="shared" si="1"/>
        <v>0</v>
      </c>
      <c r="I14" s="153"/>
      <c r="J14" s="8" t="str">
        <f t="shared" si="10"/>
        <v>M</v>
      </c>
      <c r="K14" s="151" t="str">
        <f>TEXT('Table '!AD12,"jj mmm aa")</f>
        <v>07 févr 18</v>
      </c>
      <c r="L14" s="25"/>
      <c r="M14" s="25"/>
      <c r="N14" s="25">
        <f t="shared" si="11"/>
        <v>0</v>
      </c>
      <c r="O14" s="26">
        <f t="shared" si="2"/>
        <v>0</v>
      </c>
      <c r="P14" s="27">
        <f t="shared" si="3"/>
        <v>0</v>
      </c>
      <c r="R14" s="8" t="str">
        <f t="shared" si="12"/>
        <v>M</v>
      </c>
      <c r="S14" s="151" t="str">
        <f>TEXT('Table '!AD12,"jj mmm aa")</f>
        <v>07 févr 18</v>
      </c>
      <c r="T14" s="25"/>
      <c r="U14" s="25"/>
      <c r="V14" s="25">
        <f t="shared" si="13"/>
        <v>0</v>
      </c>
      <c r="W14" s="26">
        <f t="shared" si="4"/>
        <v>0</v>
      </c>
      <c r="X14" s="27">
        <f t="shared" si="5"/>
        <v>0</v>
      </c>
      <c r="Y14" s="152"/>
      <c r="Z14" s="131" t="str">
        <f t="shared" si="14"/>
        <v>M</v>
      </c>
      <c r="AA14" s="151" t="str">
        <f>TEXT('Table '!AD12,"jj mmm aa")</f>
        <v>07 févr 18</v>
      </c>
      <c r="AB14" s="25"/>
      <c r="AC14" s="25"/>
      <c r="AD14" s="25">
        <f t="shared" si="15"/>
        <v>0</v>
      </c>
      <c r="AE14" s="26">
        <f t="shared" si="6"/>
        <v>0</v>
      </c>
      <c r="AF14" s="27">
        <f t="shared" si="7"/>
        <v>0</v>
      </c>
    </row>
    <row r="15" spans="2:32" s="149" customFormat="1">
      <c r="B15" s="8" t="str">
        <f t="shared" si="8"/>
        <v>J</v>
      </c>
      <c r="C15" s="151" t="str">
        <f>TEXT('Table '!AD13,"jj mmm aa")</f>
        <v>08 févr 18</v>
      </c>
      <c r="D15" s="12"/>
      <c r="E15" s="12"/>
      <c r="F15" s="25">
        <f t="shared" si="9"/>
        <v>0</v>
      </c>
      <c r="G15" s="26">
        <f t="shared" si="0"/>
        <v>0</v>
      </c>
      <c r="H15" s="27">
        <f t="shared" si="1"/>
        <v>0</v>
      </c>
      <c r="I15" s="153"/>
      <c r="J15" s="8" t="str">
        <f t="shared" si="10"/>
        <v>J</v>
      </c>
      <c r="K15" s="151" t="str">
        <f>TEXT('Table '!AD13,"jj mmm aa")</f>
        <v>08 févr 18</v>
      </c>
      <c r="L15" s="12"/>
      <c r="M15" s="12"/>
      <c r="N15" s="25">
        <f t="shared" si="11"/>
        <v>0</v>
      </c>
      <c r="O15" s="26">
        <f t="shared" si="2"/>
        <v>0</v>
      </c>
      <c r="P15" s="27">
        <f t="shared" si="3"/>
        <v>0</v>
      </c>
      <c r="R15" s="8" t="str">
        <f t="shared" si="12"/>
        <v>J</v>
      </c>
      <c r="S15" s="151" t="str">
        <f>TEXT('Table '!AD13,"jj mmm aa")</f>
        <v>08 févr 18</v>
      </c>
      <c r="T15" s="12"/>
      <c r="U15" s="12"/>
      <c r="V15" s="25">
        <f t="shared" si="13"/>
        <v>0</v>
      </c>
      <c r="W15" s="26">
        <f t="shared" si="4"/>
        <v>0</v>
      </c>
      <c r="X15" s="27">
        <f t="shared" si="5"/>
        <v>0</v>
      </c>
      <c r="Y15" s="152"/>
      <c r="Z15" s="131" t="str">
        <f t="shared" si="14"/>
        <v>J</v>
      </c>
      <c r="AA15" s="151" t="str">
        <f>TEXT('Table '!AD13,"jj mmm aa")</f>
        <v>08 févr 18</v>
      </c>
      <c r="AB15" s="12"/>
      <c r="AC15" s="12"/>
      <c r="AD15" s="25">
        <f t="shared" si="15"/>
        <v>0</v>
      </c>
      <c r="AE15" s="26">
        <f t="shared" si="6"/>
        <v>0</v>
      </c>
      <c r="AF15" s="27">
        <f t="shared" si="7"/>
        <v>0</v>
      </c>
    </row>
    <row r="16" spans="2:32" s="149" customFormat="1">
      <c r="B16" s="8" t="str">
        <f t="shared" si="8"/>
        <v>V</v>
      </c>
      <c r="C16" s="151" t="str">
        <f>TEXT('Table '!AD14,"jj mmm aa")</f>
        <v>09 févr 18</v>
      </c>
      <c r="D16" s="12"/>
      <c r="E16" s="12"/>
      <c r="F16" s="25">
        <f t="shared" si="9"/>
        <v>0</v>
      </c>
      <c r="G16" s="26">
        <f t="shared" si="0"/>
        <v>0</v>
      </c>
      <c r="H16" s="27">
        <f t="shared" si="1"/>
        <v>0</v>
      </c>
      <c r="I16" s="153"/>
      <c r="J16" s="8" t="str">
        <f t="shared" si="10"/>
        <v>V</v>
      </c>
      <c r="K16" s="151" t="str">
        <f>TEXT('Table '!AD14,"jj mmm aa")</f>
        <v>09 févr 18</v>
      </c>
      <c r="L16" s="12"/>
      <c r="M16" s="12"/>
      <c r="N16" s="25">
        <f t="shared" si="11"/>
        <v>0</v>
      </c>
      <c r="O16" s="26">
        <f t="shared" si="2"/>
        <v>0</v>
      </c>
      <c r="P16" s="27">
        <f t="shared" si="3"/>
        <v>0</v>
      </c>
      <c r="R16" s="8" t="str">
        <f t="shared" si="12"/>
        <v>V</v>
      </c>
      <c r="S16" s="151" t="str">
        <f>TEXT('Table '!AD14,"jj mmm aa")</f>
        <v>09 févr 18</v>
      </c>
      <c r="T16" s="12"/>
      <c r="U16" s="12"/>
      <c r="V16" s="25">
        <f t="shared" si="13"/>
        <v>0</v>
      </c>
      <c r="W16" s="26">
        <f t="shared" si="4"/>
        <v>0</v>
      </c>
      <c r="X16" s="27">
        <f t="shared" si="5"/>
        <v>0</v>
      </c>
      <c r="Y16" s="152"/>
      <c r="Z16" s="131" t="str">
        <f t="shared" si="14"/>
        <v>V</v>
      </c>
      <c r="AA16" s="151" t="str">
        <f>TEXT('Table '!AD14,"jj mmm aa")</f>
        <v>09 févr 18</v>
      </c>
      <c r="AB16" s="12"/>
      <c r="AC16" s="12"/>
      <c r="AD16" s="25">
        <f t="shared" si="15"/>
        <v>0</v>
      </c>
      <c r="AE16" s="26">
        <f t="shared" si="6"/>
        <v>0</v>
      </c>
      <c r="AF16" s="27">
        <f t="shared" si="7"/>
        <v>0</v>
      </c>
    </row>
    <row r="17" spans="2:32" s="149" customFormat="1">
      <c r="B17" s="8" t="str">
        <f t="shared" si="8"/>
        <v>S</v>
      </c>
      <c r="C17" s="151" t="str">
        <f>TEXT('Table '!AD15,"jj mmm aa")</f>
        <v>10 févr 18</v>
      </c>
      <c r="D17" s="12"/>
      <c r="E17" s="12"/>
      <c r="F17" s="25">
        <f t="shared" si="9"/>
        <v>0</v>
      </c>
      <c r="G17" s="26">
        <f t="shared" si="0"/>
        <v>0</v>
      </c>
      <c r="H17" s="27">
        <f t="shared" si="1"/>
        <v>0</v>
      </c>
      <c r="I17" s="153"/>
      <c r="J17" s="8" t="str">
        <f t="shared" si="10"/>
        <v>S</v>
      </c>
      <c r="K17" s="151" t="str">
        <f>TEXT('Table '!AD15,"jj mmm aa")</f>
        <v>10 févr 18</v>
      </c>
      <c r="L17" s="12"/>
      <c r="M17" s="12"/>
      <c r="N17" s="25">
        <f t="shared" si="11"/>
        <v>0</v>
      </c>
      <c r="O17" s="26">
        <f t="shared" si="2"/>
        <v>0</v>
      </c>
      <c r="P17" s="27">
        <f t="shared" si="3"/>
        <v>0</v>
      </c>
      <c r="R17" s="8" t="str">
        <f t="shared" si="12"/>
        <v>S</v>
      </c>
      <c r="S17" s="151" t="str">
        <f>TEXT('Table '!AD15,"jj mmm aa")</f>
        <v>10 févr 18</v>
      </c>
      <c r="T17" s="12"/>
      <c r="U17" s="12"/>
      <c r="V17" s="25">
        <f t="shared" si="13"/>
        <v>0</v>
      </c>
      <c r="W17" s="26">
        <f t="shared" si="4"/>
        <v>0</v>
      </c>
      <c r="X17" s="27">
        <f t="shared" si="5"/>
        <v>0</v>
      </c>
      <c r="Y17" s="152"/>
      <c r="Z17" s="131" t="str">
        <f t="shared" si="14"/>
        <v>S</v>
      </c>
      <c r="AA17" s="151" t="str">
        <f>TEXT('Table '!AD15,"jj mmm aa")</f>
        <v>10 févr 18</v>
      </c>
      <c r="AB17" s="12"/>
      <c r="AC17" s="12"/>
      <c r="AD17" s="25">
        <f t="shared" si="15"/>
        <v>0</v>
      </c>
      <c r="AE17" s="26">
        <f t="shared" si="6"/>
        <v>0</v>
      </c>
      <c r="AF17" s="27">
        <f t="shared" si="7"/>
        <v>0</v>
      </c>
    </row>
    <row r="18" spans="2:32" s="149" customFormat="1">
      <c r="B18" s="8" t="str">
        <f t="shared" si="8"/>
        <v>D</v>
      </c>
      <c r="C18" s="151" t="str">
        <f>TEXT('Table '!AD16,"jj mmm aa")</f>
        <v>11 févr 18</v>
      </c>
      <c r="D18" s="12"/>
      <c r="E18" s="12"/>
      <c r="F18" s="25">
        <f t="shared" si="9"/>
        <v>0</v>
      </c>
      <c r="G18" s="26">
        <f t="shared" si="0"/>
        <v>0</v>
      </c>
      <c r="H18" s="27">
        <f t="shared" si="1"/>
        <v>0</v>
      </c>
      <c r="I18" s="153"/>
      <c r="J18" s="8" t="str">
        <f t="shared" si="10"/>
        <v>D</v>
      </c>
      <c r="K18" s="151" t="str">
        <f>TEXT('Table '!AD16,"jj mmm aa")</f>
        <v>11 févr 18</v>
      </c>
      <c r="L18" s="12"/>
      <c r="M18" s="12"/>
      <c r="N18" s="25">
        <f t="shared" si="11"/>
        <v>0</v>
      </c>
      <c r="O18" s="26">
        <f t="shared" si="2"/>
        <v>0</v>
      </c>
      <c r="P18" s="27">
        <f t="shared" si="3"/>
        <v>0</v>
      </c>
      <c r="R18" s="8" t="str">
        <f t="shared" si="12"/>
        <v>D</v>
      </c>
      <c r="S18" s="151" t="str">
        <f>TEXT('Table '!AD16,"jj mmm aa")</f>
        <v>11 févr 18</v>
      </c>
      <c r="T18" s="12"/>
      <c r="U18" s="12"/>
      <c r="V18" s="25">
        <f t="shared" si="13"/>
        <v>0</v>
      </c>
      <c r="W18" s="26">
        <f t="shared" si="4"/>
        <v>0</v>
      </c>
      <c r="X18" s="27">
        <f t="shared" si="5"/>
        <v>0</v>
      </c>
      <c r="Y18" s="152"/>
      <c r="Z18" s="131" t="str">
        <f t="shared" si="14"/>
        <v>D</v>
      </c>
      <c r="AA18" s="151" t="str">
        <f>TEXT('Table '!AD16,"jj mmm aa")</f>
        <v>11 févr 18</v>
      </c>
      <c r="AB18" s="12"/>
      <c r="AC18" s="12"/>
      <c r="AD18" s="25">
        <f t="shared" si="15"/>
        <v>0</v>
      </c>
      <c r="AE18" s="26">
        <f t="shared" si="6"/>
        <v>0</v>
      </c>
      <c r="AF18" s="27">
        <f t="shared" si="7"/>
        <v>0</v>
      </c>
    </row>
    <row r="19" spans="2:32" s="149" customFormat="1">
      <c r="B19" s="8" t="str">
        <f t="shared" si="8"/>
        <v>L</v>
      </c>
      <c r="C19" s="151" t="str">
        <f>TEXT('Table '!AD17,"jj mmm aa")</f>
        <v>12 févr 18</v>
      </c>
      <c r="D19" s="12"/>
      <c r="E19" s="12"/>
      <c r="F19" s="25">
        <f t="shared" si="9"/>
        <v>0</v>
      </c>
      <c r="G19" s="26">
        <f t="shared" si="0"/>
        <v>0</v>
      </c>
      <c r="H19" s="27">
        <f t="shared" si="1"/>
        <v>0</v>
      </c>
      <c r="I19" s="153"/>
      <c r="J19" s="8" t="str">
        <f t="shared" si="10"/>
        <v>L</v>
      </c>
      <c r="K19" s="151" t="str">
        <f>TEXT('Table '!AD17,"jj mmm aa")</f>
        <v>12 févr 18</v>
      </c>
      <c r="L19" s="12"/>
      <c r="M19" s="12"/>
      <c r="N19" s="25">
        <f t="shared" si="11"/>
        <v>0</v>
      </c>
      <c r="O19" s="26">
        <f t="shared" si="2"/>
        <v>0</v>
      </c>
      <c r="P19" s="27">
        <f t="shared" si="3"/>
        <v>0</v>
      </c>
      <c r="R19" s="8" t="str">
        <f t="shared" si="12"/>
        <v>L</v>
      </c>
      <c r="S19" s="151" t="str">
        <f>TEXT('Table '!AD17,"jj mmm aa")</f>
        <v>12 févr 18</v>
      </c>
      <c r="T19" s="12"/>
      <c r="U19" s="12"/>
      <c r="V19" s="25">
        <f t="shared" si="13"/>
        <v>0</v>
      </c>
      <c r="W19" s="26">
        <f t="shared" si="4"/>
        <v>0</v>
      </c>
      <c r="X19" s="27">
        <f t="shared" si="5"/>
        <v>0</v>
      </c>
      <c r="Y19" s="152"/>
      <c r="Z19" s="131" t="str">
        <f t="shared" si="14"/>
        <v>L</v>
      </c>
      <c r="AA19" s="151" t="str">
        <f>TEXT('Table '!AD17,"jj mmm aa")</f>
        <v>12 févr 18</v>
      </c>
      <c r="AB19" s="12"/>
      <c r="AC19" s="12"/>
      <c r="AD19" s="25">
        <f t="shared" si="15"/>
        <v>0</v>
      </c>
      <c r="AE19" s="26">
        <f t="shared" si="6"/>
        <v>0</v>
      </c>
      <c r="AF19" s="27">
        <f t="shared" si="7"/>
        <v>0</v>
      </c>
    </row>
    <row r="20" spans="2:32" s="149" customFormat="1">
      <c r="B20" s="8" t="str">
        <f t="shared" si="8"/>
        <v>M</v>
      </c>
      <c r="C20" s="151" t="str">
        <f>TEXT('Table '!AD18,"jj mmm aa")</f>
        <v>13 févr 18</v>
      </c>
      <c r="D20" s="25"/>
      <c r="E20" s="25"/>
      <c r="F20" s="25">
        <f t="shared" si="9"/>
        <v>0</v>
      </c>
      <c r="G20" s="26">
        <f t="shared" si="0"/>
        <v>0</v>
      </c>
      <c r="H20" s="27">
        <f t="shared" si="1"/>
        <v>0</v>
      </c>
      <c r="I20" s="153"/>
      <c r="J20" s="8" t="str">
        <f t="shared" si="10"/>
        <v>M</v>
      </c>
      <c r="K20" s="151" t="str">
        <f>TEXT('Table '!AD18,"jj mmm aa")</f>
        <v>13 févr 18</v>
      </c>
      <c r="L20" s="25"/>
      <c r="M20" s="25"/>
      <c r="N20" s="25">
        <f t="shared" si="11"/>
        <v>0</v>
      </c>
      <c r="O20" s="26">
        <f t="shared" si="2"/>
        <v>0</v>
      </c>
      <c r="P20" s="27">
        <f t="shared" si="3"/>
        <v>0</v>
      </c>
      <c r="R20" s="8" t="str">
        <f t="shared" si="12"/>
        <v>M</v>
      </c>
      <c r="S20" s="151" t="str">
        <f>TEXT('Table '!AD18,"jj mmm aa")</f>
        <v>13 févr 18</v>
      </c>
      <c r="T20" s="25"/>
      <c r="U20" s="25"/>
      <c r="V20" s="25">
        <f t="shared" si="13"/>
        <v>0</v>
      </c>
      <c r="W20" s="26">
        <f t="shared" si="4"/>
        <v>0</v>
      </c>
      <c r="X20" s="27">
        <f t="shared" si="5"/>
        <v>0</v>
      </c>
      <c r="Y20" s="152"/>
      <c r="Z20" s="131" t="str">
        <f t="shared" si="14"/>
        <v>M</v>
      </c>
      <c r="AA20" s="151" t="str">
        <f>TEXT('Table '!AD18,"jj mmm aa")</f>
        <v>13 févr 18</v>
      </c>
      <c r="AB20" s="25"/>
      <c r="AC20" s="25"/>
      <c r="AD20" s="25">
        <f t="shared" si="15"/>
        <v>0</v>
      </c>
      <c r="AE20" s="26">
        <f t="shared" si="6"/>
        <v>0</v>
      </c>
      <c r="AF20" s="27">
        <f t="shared" si="7"/>
        <v>0</v>
      </c>
    </row>
    <row r="21" spans="2:32" s="149" customFormat="1">
      <c r="B21" s="8" t="str">
        <f t="shared" si="8"/>
        <v>M</v>
      </c>
      <c r="C21" s="151" t="str">
        <f>TEXT('Table '!AD19,"jj mmm aa")</f>
        <v>14 févr 18</v>
      </c>
      <c r="D21" s="25"/>
      <c r="E21" s="25"/>
      <c r="F21" s="25">
        <f t="shared" si="9"/>
        <v>0</v>
      </c>
      <c r="G21" s="26">
        <f t="shared" si="0"/>
        <v>0</v>
      </c>
      <c r="H21" s="27">
        <f t="shared" si="1"/>
        <v>0</v>
      </c>
      <c r="I21" s="153"/>
      <c r="J21" s="8" t="str">
        <f t="shared" si="10"/>
        <v>M</v>
      </c>
      <c r="K21" s="151" t="str">
        <f>TEXT('Table '!AD19,"jj mmm aa")</f>
        <v>14 févr 18</v>
      </c>
      <c r="L21" s="25"/>
      <c r="M21" s="25"/>
      <c r="N21" s="25">
        <f t="shared" si="11"/>
        <v>0</v>
      </c>
      <c r="O21" s="26">
        <f t="shared" si="2"/>
        <v>0</v>
      </c>
      <c r="P21" s="27">
        <f t="shared" si="3"/>
        <v>0</v>
      </c>
      <c r="R21" s="8" t="str">
        <f t="shared" si="12"/>
        <v>M</v>
      </c>
      <c r="S21" s="151" t="str">
        <f>TEXT('Table '!AD19,"jj mmm aa")</f>
        <v>14 févr 18</v>
      </c>
      <c r="T21" s="25"/>
      <c r="U21" s="25"/>
      <c r="V21" s="25">
        <f t="shared" si="13"/>
        <v>0</v>
      </c>
      <c r="W21" s="26">
        <f t="shared" si="4"/>
        <v>0</v>
      </c>
      <c r="X21" s="27">
        <f t="shared" si="5"/>
        <v>0</v>
      </c>
      <c r="Y21" s="152"/>
      <c r="Z21" s="131" t="str">
        <f t="shared" si="14"/>
        <v>M</v>
      </c>
      <c r="AA21" s="151" t="str">
        <f>TEXT('Table '!AD19,"jj mmm aa")</f>
        <v>14 févr 18</v>
      </c>
      <c r="AB21" s="25"/>
      <c r="AC21" s="25"/>
      <c r="AD21" s="25">
        <f t="shared" si="15"/>
        <v>0</v>
      </c>
      <c r="AE21" s="26">
        <f t="shared" si="6"/>
        <v>0</v>
      </c>
      <c r="AF21" s="27">
        <f t="shared" si="7"/>
        <v>0</v>
      </c>
    </row>
    <row r="22" spans="2:32" s="149" customFormat="1">
      <c r="B22" s="8" t="str">
        <f t="shared" si="8"/>
        <v>J</v>
      </c>
      <c r="C22" s="151" t="str">
        <f>TEXT('Table '!AD20,"jj mmm aa")</f>
        <v>15 févr 18</v>
      </c>
      <c r="D22" s="25"/>
      <c r="E22" s="25"/>
      <c r="F22" s="25">
        <f t="shared" si="9"/>
        <v>0</v>
      </c>
      <c r="G22" s="26">
        <f t="shared" si="0"/>
        <v>0</v>
      </c>
      <c r="H22" s="27">
        <f t="shared" si="1"/>
        <v>0</v>
      </c>
      <c r="I22" s="153"/>
      <c r="J22" s="8" t="str">
        <f t="shared" si="10"/>
        <v>J</v>
      </c>
      <c r="K22" s="151" t="str">
        <f>TEXT('Table '!AD20,"jj mmm aa")</f>
        <v>15 févr 18</v>
      </c>
      <c r="L22" s="25"/>
      <c r="M22" s="25"/>
      <c r="N22" s="25">
        <f t="shared" si="11"/>
        <v>0</v>
      </c>
      <c r="O22" s="26">
        <f t="shared" si="2"/>
        <v>0</v>
      </c>
      <c r="P22" s="27">
        <f t="shared" si="3"/>
        <v>0</v>
      </c>
      <c r="R22" s="8" t="str">
        <f t="shared" si="12"/>
        <v>J</v>
      </c>
      <c r="S22" s="151" t="str">
        <f>TEXT('Table '!AD20,"jj mmm aa")</f>
        <v>15 févr 18</v>
      </c>
      <c r="T22" s="25"/>
      <c r="U22" s="25"/>
      <c r="V22" s="25">
        <f t="shared" si="13"/>
        <v>0</v>
      </c>
      <c r="W22" s="26">
        <f t="shared" si="4"/>
        <v>0</v>
      </c>
      <c r="X22" s="27">
        <f t="shared" si="5"/>
        <v>0</v>
      </c>
      <c r="Y22" s="152"/>
      <c r="Z22" s="131" t="str">
        <f t="shared" si="14"/>
        <v>J</v>
      </c>
      <c r="AA22" s="151" t="str">
        <f>TEXT('Table '!AD20,"jj mmm aa")</f>
        <v>15 févr 18</v>
      </c>
      <c r="AB22" s="25"/>
      <c r="AC22" s="25"/>
      <c r="AD22" s="25">
        <f t="shared" si="15"/>
        <v>0</v>
      </c>
      <c r="AE22" s="26">
        <f t="shared" si="6"/>
        <v>0</v>
      </c>
      <c r="AF22" s="27">
        <f t="shared" si="7"/>
        <v>0</v>
      </c>
    </row>
    <row r="23" spans="2:32" s="149" customFormat="1">
      <c r="B23" s="8" t="str">
        <f t="shared" si="8"/>
        <v>V</v>
      </c>
      <c r="C23" s="151" t="str">
        <f>TEXT('Table '!AD21,"jj mmm aa")</f>
        <v>16 févr 18</v>
      </c>
      <c r="D23" s="25"/>
      <c r="E23" s="25"/>
      <c r="F23" s="25">
        <f t="shared" si="9"/>
        <v>0</v>
      </c>
      <c r="G23" s="26">
        <f t="shared" si="0"/>
        <v>0</v>
      </c>
      <c r="H23" s="27">
        <f t="shared" si="1"/>
        <v>0</v>
      </c>
      <c r="I23" s="153"/>
      <c r="J23" s="8" t="str">
        <f t="shared" si="10"/>
        <v>V</v>
      </c>
      <c r="K23" s="151" t="str">
        <f>TEXT('Table '!AD21,"jj mmm aa")</f>
        <v>16 févr 18</v>
      </c>
      <c r="L23" s="25"/>
      <c r="M23" s="25"/>
      <c r="N23" s="25">
        <f t="shared" si="11"/>
        <v>0</v>
      </c>
      <c r="O23" s="26">
        <f t="shared" si="2"/>
        <v>0</v>
      </c>
      <c r="P23" s="27">
        <f t="shared" si="3"/>
        <v>0</v>
      </c>
      <c r="R23" s="8" t="str">
        <f t="shared" si="12"/>
        <v>V</v>
      </c>
      <c r="S23" s="151" t="str">
        <f>TEXT('Table '!AD21,"jj mmm aa")</f>
        <v>16 févr 18</v>
      </c>
      <c r="T23" s="25"/>
      <c r="U23" s="25"/>
      <c r="V23" s="25">
        <f t="shared" si="13"/>
        <v>0</v>
      </c>
      <c r="W23" s="26">
        <f t="shared" si="4"/>
        <v>0</v>
      </c>
      <c r="X23" s="27">
        <f t="shared" si="5"/>
        <v>0</v>
      </c>
      <c r="Y23" s="152"/>
      <c r="Z23" s="131" t="str">
        <f t="shared" si="14"/>
        <v>V</v>
      </c>
      <c r="AA23" s="151" t="str">
        <f>TEXT('Table '!AD21,"jj mmm aa")</f>
        <v>16 févr 18</v>
      </c>
      <c r="AB23" s="25"/>
      <c r="AC23" s="25"/>
      <c r="AD23" s="25">
        <f t="shared" si="15"/>
        <v>0</v>
      </c>
      <c r="AE23" s="26">
        <f t="shared" si="6"/>
        <v>0</v>
      </c>
      <c r="AF23" s="27">
        <f t="shared" si="7"/>
        <v>0</v>
      </c>
    </row>
    <row r="24" spans="2:32" s="149" customFormat="1">
      <c r="B24" s="8" t="str">
        <f t="shared" si="8"/>
        <v>S</v>
      </c>
      <c r="C24" s="151" t="str">
        <f>TEXT('Table '!AD22,"jj mmm aa")</f>
        <v>17 févr 18</v>
      </c>
      <c r="D24" s="25"/>
      <c r="E24" s="25"/>
      <c r="F24" s="25">
        <f t="shared" si="9"/>
        <v>0</v>
      </c>
      <c r="G24" s="26">
        <f t="shared" si="0"/>
        <v>0</v>
      </c>
      <c r="H24" s="27">
        <f t="shared" si="1"/>
        <v>0</v>
      </c>
      <c r="I24" s="153"/>
      <c r="J24" s="8" t="str">
        <f t="shared" si="10"/>
        <v>S</v>
      </c>
      <c r="K24" s="151" t="str">
        <f>TEXT('Table '!AD22,"jj mmm aa")</f>
        <v>17 févr 18</v>
      </c>
      <c r="L24" s="25"/>
      <c r="M24" s="25"/>
      <c r="N24" s="25">
        <f t="shared" si="11"/>
        <v>0</v>
      </c>
      <c r="O24" s="26">
        <f t="shared" si="2"/>
        <v>0</v>
      </c>
      <c r="P24" s="27">
        <f t="shared" si="3"/>
        <v>0</v>
      </c>
      <c r="R24" s="8" t="str">
        <f t="shared" si="12"/>
        <v>S</v>
      </c>
      <c r="S24" s="151" t="str">
        <f>TEXT('Table '!AD22,"jj mmm aa")</f>
        <v>17 févr 18</v>
      </c>
      <c r="T24" s="25"/>
      <c r="U24" s="25"/>
      <c r="V24" s="25">
        <f t="shared" si="13"/>
        <v>0</v>
      </c>
      <c r="W24" s="26">
        <f t="shared" si="4"/>
        <v>0</v>
      </c>
      <c r="X24" s="27">
        <f t="shared" si="5"/>
        <v>0</v>
      </c>
      <c r="Y24" s="152"/>
      <c r="Z24" s="131" t="str">
        <f t="shared" si="14"/>
        <v>S</v>
      </c>
      <c r="AA24" s="151" t="str">
        <f>TEXT('Table '!AD22,"jj mmm aa")</f>
        <v>17 févr 18</v>
      </c>
      <c r="AB24" s="25"/>
      <c r="AC24" s="25"/>
      <c r="AD24" s="25">
        <f t="shared" si="15"/>
        <v>0</v>
      </c>
      <c r="AE24" s="26">
        <f t="shared" si="6"/>
        <v>0</v>
      </c>
      <c r="AF24" s="27">
        <f t="shared" si="7"/>
        <v>0</v>
      </c>
    </row>
    <row r="25" spans="2:32" s="149" customFormat="1">
      <c r="B25" s="8" t="str">
        <f t="shared" si="8"/>
        <v>D</v>
      </c>
      <c r="C25" s="151" t="str">
        <f>TEXT('Table '!AD23,"jj mmm aa")</f>
        <v>18 févr 18</v>
      </c>
      <c r="D25" s="25"/>
      <c r="E25" s="25"/>
      <c r="F25" s="25">
        <f t="shared" si="9"/>
        <v>0</v>
      </c>
      <c r="G25" s="26">
        <f t="shared" si="0"/>
        <v>0</v>
      </c>
      <c r="H25" s="27">
        <f t="shared" si="1"/>
        <v>0</v>
      </c>
      <c r="I25" s="153"/>
      <c r="J25" s="8" t="str">
        <f t="shared" si="10"/>
        <v>D</v>
      </c>
      <c r="K25" s="151" t="str">
        <f>TEXT('Table '!AD23,"jj mmm aa")</f>
        <v>18 févr 18</v>
      </c>
      <c r="L25" s="25"/>
      <c r="M25" s="25"/>
      <c r="N25" s="25">
        <f t="shared" si="11"/>
        <v>0</v>
      </c>
      <c r="O25" s="26">
        <f t="shared" si="2"/>
        <v>0</v>
      </c>
      <c r="P25" s="27">
        <f t="shared" si="3"/>
        <v>0</v>
      </c>
      <c r="R25" s="8" t="str">
        <f t="shared" si="12"/>
        <v>D</v>
      </c>
      <c r="S25" s="151" t="str">
        <f>TEXT('Table '!AD23,"jj mmm aa")</f>
        <v>18 févr 18</v>
      </c>
      <c r="T25" s="25"/>
      <c r="U25" s="25"/>
      <c r="V25" s="25">
        <f t="shared" si="13"/>
        <v>0</v>
      </c>
      <c r="W25" s="26">
        <f t="shared" si="4"/>
        <v>0</v>
      </c>
      <c r="X25" s="27">
        <f t="shared" si="5"/>
        <v>0</v>
      </c>
      <c r="Y25" s="152"/>
      <c r="Z25" s="131" t="str">
        <f t="shared" si="14"/>
        <v>D</v>
      </c>
      <c r="AA25" s="151" t="str">
        <f>TEXT('Table '!AD23,"jj mmm aa")</f>
        <v>18 févr 18</v>
      </c>
      <c r="AB25" s="25"/>
      <c r="AC25" s="25"/>
      <c r="AD25" s="25">
        <f t="shared" si="15"/>
        <v>0</v>
      </c>
      <c r="AE25" s="26">
        <f t="shared" si="6"/>
        <v>0</v>
      </c>
      <c r="AF25" s="27">
        <f t="shared" si="7"/>
        <v>0</v>
      </c>
    </row>
    <row r="26" spans="2:32" s="149" customFormat="1">
      <c r="B26" s="8" t="str">
        <f t="shared" si="8"/>
        <v>L</v>
      </c>
      <c r="C26" s="151" t="str">
        <f>TEXT('Table '!AD24,"jj mmm aa")</f>
        <v>19 févr 18</v>
      </c>
      <c r="D26" s="25"/>
      <c r="E26" s="25"/>
      <c r="F26" s="25">
        <f t="shared" si="9"/>
        <v>0</v>
      </c>
      <c r="G26" s="26">
        <f t="shared" si="0"/>
        <v>0</v>
      </c>
      <c r="H26" s="27">
        <f t="shared" si="1"/>
        <v>0</v>
      </c>
      <c r="I26" s="153"/>
      <c r="J26" s="8" t="str">
        <f t="shared" si="10"/>
        <v>L</v>
      </c>
      <c r="K26" s="151" t="str">
        <f>TEXT('Table '!AD24,"jj mmm aa")</f>
        <v>19 févr 18</v>
      </c>
      <c r="L26" s="25"/>
      <c r="M26" s="25"/>
      <c r="N26" s="25">
        <f t="shared" si="11"/>
        <v>0</v>
      </c>
      <c r="O26" s="26">
        <f t="shared" si="2"/>
        <v>0</v>
      </c>
      <c r="P26" s="27">
        <f t="shared" si="3"/>
        <v>0</v>
      </c>
      <c r="R26" s="8" t="str">
        <f t="shared" si="12"/>
        <v>L</v>
      </c>
      <c r="S26" s="151" t="str">
        <f>TEXT('Table '!AD24,"jj mmm aa")</f>
        <v>19 févr 18</v>
      </c>
      <c r="T26" s="25"/>
      <c r="U26" s="25"/>
      <c r="V26" s="25">
        <f t="shared" si="13"/>
        <v>0</v>
      </c>
      <c r="W26" s="26">
        <f t="shared" si="4"/>
        <v>0</v>
      </c>
      <c r="X26" s="27">
        <f t="shared" si="5"/>
        <v>0</v>
      </c>
      <c r="Y26" s="152"/>
      <c r="Z26" s="131" t="str">
        <f t="shared" si="14"/>
        <v>L</v>
      </c>
      <c r="AA26" s="151" t="str">
        <f>TEXT('Table '!AD24,"jj mmm aa")</f>
        <v>19 févr 18</v>
      </c>
      <c r="AB26" s="25"/>
      <c r="AC26" s="25"/>
      <c r="AD26" s="25">
        <f t="shared" si="15"/>
        <v>0</v>
      </c>
      <c r="AE26" s="26">
        <f t="shared" si="6"/>
        <v>0</v>
      </c>
      <c r="AF26" s="27">
        <f t="shared" si="7"/>
        <v>0</v>
      </c>
    </row>
    <row r="27" spans="2:32" s="149" customFormat="1">
      <c r="B27" s="8" t="str">
        <f t="shared" si="8"/>
        <v>M</v>
      </c>
      <c r="C27" s="151" t="str">
        <f>TEXT('Table '!AD25,"jj mmm aa")</f>
        <v>20 févr 18</v>
      </c>
      <c r="D27" s="25"/>
      <c r="E27" s="25"/>
      <c r="F27" s="25">
        <f t="shared" si="9"/>
        <v>0</v>
      </c>
      <c r="G27" s="26">
        <f t="shared" si="0"/>
        <v>0</v>
      </c>
      <c r="H27" s="27">
        <f t="shared" si="1"/>
        <v>0</v>
      </c>
      <c r="I27" s="153"/>
      <c r="J27" s="8" t="str">
        <f t="shared" si="10"/>
        <v>M</v>
      </c>
      <c r="K27" s="151" t="str">
        <f>TEXT('Table '!AD25,"jj mmm aa")</f>
        <v>20 févr 18</v>
      </c>
      <c r="L27" s="25"/>
      <c r="M27" s="25"/>
      <c r="N27" s="25">
        <f t="shared" si="11"/>
        <v>0</v>
      </c>
      <c r="O27" s="26">
        <f t="shared" si="2"/>
        <v>0</v>
      </c>
      <c r="P27" s="27">
        <f t="shared" si="3"/>
        <v>0</v>
      </c>
      <c r="R27" s="8" t="str">
        <f t="shared" si="12"/>
        <v>M</v>
      </c>
      <c r="S27" s="151" t="str">
        <f>TEXT('Table '!AD25,"jj mmm aa")</f>
        <v>20 févr 18</v>
      </c>
      <c r="T27" s="25"/>
      <c r="U27" s="25"/>
      <c r="V27" s="25">
        <f t="shared" si="13"/>
        <v>0</v>
      </c>
      <c r="W27" s="26">
        <f t="shared" si="4"/>
        <v>0</v>
      </c>
      <c r="X27" s="27">
        <f t="shared" si="5"/>
        <v>0</v>
      </c>
      <c r="Y27" s="152"/>
      <c r="Z27" s="131" t="str">
        <f t="shared" si="14"/>
        <v>M</v>
      </c>
      <c r="AA27" s="151" t="str">
        <f>TEXT('Table '!AD25,"jj mmm aa")</f>
        <v>20 févr 18</v>
      </c>
      <c r="AB27" s="25"/>
      <c r="AC27" s="25"/>
      <c r="AD27" s="25">
        <f t="shared" si="15"/>
        <v>0</v>
      </c>
      <c r="AE27" s="26">
        <f t="shared" si="6"/>
        <v>0</v>
      </c>
      <c r="AF27" s="27">
        <f t="shared" si="7"/>
        <v>0</v>
      </c>
    </row>
    <row r="28" spans="2:32" s="149" customFormat="1">
      <c r="B28" s="8" t="str">
        <f t="shared" si="8"/>
        <v>M</v>
      </c>
      <c r="C28" s="151" t="str">
        <f>TEXT('Table '!AD26,"jj mmm aa")</f>
        <v>21 févr 18</v>
      </c>
      <c r="D28" s="25"/>
      <c r="E28" s="25"/>
      <c r="F28" s="25">
        <f t="shared" si="9"/>
        <v>0</v>
      </c>
      <c r="G28" s="26">
        <f t="shared" si="0"/>
        <v>0</v>
      </c>
      <c r="H28" s="27">
        <f t="shared" si="1"/>
        <v>0</v>
      </c>
      <c r="I28" s="153"/>
      <c r="J28" s="8" t="str">
        <f t="shared" si="10"/>
        <v>M</v>
      </c>
      <c r="K28" s="151" t="str">
        <f>TEXT('Table '!AD26,"jj mmm aa")</f>
        <v>21 févr 18</v>
      </c>
      <c r="L28" s="25"/>
      <c r="M28" s="25"/>
      <c r="N28" s="25">
        <f t="shared" si="11"/>
        <v>0</v>
      </c>
      <c r="O28" s="26">
        <f t="shared" si="2"/>
        <v>0</v>
      </c>
      <c r="P28" s="27">
        <f t="shared" si="3"/>
        <v>0</v>
      </c>
      <c r="R28" s="8" t="str">
        <f t="shared" si="12"/>
        <v>M</v>
      </c>
      <c r="S28" s="151" t="str">
        <f>TEXT('Table '!AD26,"jj mmm aa")</f>
        <v>21 févr 18</v>
      </c>
      <c r="T28" s="25"/>
      <c r="U28" s="25"/>
      <c r="V28" s="25">
        <f t="shared" si="13"/>
        <v>0</v>
      </c>
      <c r="W28" s="26">
        <f t="shared" si="4"/>
        <v>0</v>
      </c>
      <c r="X28" s="27">
        <f t="shared" si="5"/>
        <v>0</v>
      </c>
      <c r="Y28" s="152"/>
      <c r="Z28" s="131" t="str">
        <f t="shared" si="14"/>
        <v>M</v>
      </c>
      <c r="AA28" s="151" t="str">
        <f>TEXT('Table '!AD26,"jj mmm aa")</f>
        <v>21 févr 18</v>
      </c>
      <c r="AB28" s="25"/>
      <c r="AC28" s="25"/>
      <c r="AD28" s="25">
        <f t="shared" si="15"/>
        <v>0</v>
      </c>
      <c r="AE28" s="26">
        <f t="shared" si="6"/>
        <v>0</v>
      </c>
      <c r="AF28" s="27">
        <f t="shared" si="7"/>
        <v>0</v>
      </c>
    </row>
    <row r="29" spans="2:32" s="149" customFormat="1">
      <c r="B29" s="8" t="str">
        <f t="shared" si="8"/>
        <v>J</v>
      </c>
      <c r="C29" s="151" t="str">
        <f>TEXT('Table '!AD27,"jj mmm aa")</f>
        <v>22 févr 18</v>
      </c>
      <c r="D29" s="12"/>
      <c r="E29" s="12"/>
      <c r="F29" s="25">
        <f t="shared" si="9"/>
        <v>0</v>
      </c>
      <c r="G29" s="26">
        <f t="shared" si="0"/>
        <v>0</v>
      </c>
      <c r="H29" s="27">
        <f t="shared" si="1"/>
        <v>0</v>
      </c>
      <c r="I29" s="153"/>
      <c r="J29" s="8" t="str">
        <f t="shared" si="10"/>
        <v>J</v>
      </c>
      <c r="K29" s="151" t="str">
        <f>TEXT('Table '!AD27,"jj mmm aa")</f>
        <v>22 févr 18</v>
      </c>
      <c r="L29" s="12"/>
      <c r="M29" s="12"/>
      <c r="N29" s="25">
        <f t="shared" si="11"/>
        <v>0</v>
      </c>
      <c r="O29" s="26">
        <f t="shared" si="2"/>
        <v>0</v>
      </c>
      <c r="P29" s="27">
        <f t="shared" si="3"/>
        <v>0</v>
      </c>
      <c r="R29" s="8" t="str">
        <f t="shared" si="12"/>
        <v>J</v>
      </c>
      <c r="S29" s="151" t="str">
        <f>TEXT('Table '!AD27,"jj mmm aa")</f>
        <v>22 févr 18</v>
      </c>
      <c r="T29" s="12"/>
      <c r="U29" s="12"/>
      <c r="V29" s="25">
        <f t="shared" si="13"/>
        <v>0</v>
      </c>
      <c r="W29" s="26">
        <f t="shared" si="4"/>
        <v>0</v>
      </c>
      <c r="X29" s="27">
        <f t="shared" si="5"/>
        <v>0</v>
      </c>
      <c r="Y29" s="152"/>
      <c r="Z29" s="131" t="str">
        <f t="shared" si="14"/>
        <v>J</v>
      </c>
      <c r="AA29" s="151" t="str">
        <f>TEXT('Table '!AD27,"jj mmm aa")</f>
        <v>22 févr 18</v>
      </c>
      <c r="AB29" s="12"/>
      <c r="AC29" s="12"/>
      <c r="AD29" s="25">
        <f t="shared" si="15"/>
        <v>0</v>
      </c>
      <c r="AE29" s="26">
        <f t="shared" si="6"/>
        <v>0</v>
      </c>
      <c r="AF29" s="27">
        <f t="shared" si="7"/>
        <v>0</v>
      </c>
    </row>
    <row r="30" spans="2:32" s="149" customFormat="1">
      <c r="B30" s="8" t="str">
        <f t="shared" si="8"/>
        <v>V</v>
      </c>
      <c r="C30" s="151" t="str">
        <f>TEXT('Table '!AD28,"jj mmm aa")</f>
        <v>23 févr 18</v>
      </c>
      <c r="D30" s="12"/>
      <c r="E30" s="12"/>
      <c r="F30" s="25">
        <f t="shared" si="9"/>
        <v>0</v>
      </c>
      <c r="G30" s="26">
        <f t="shared" si="0"/>
        <v>0</v>
      </c>
      <c r="H30" s="27">
        <f t="shared" si="1"/>
        <v>0</v>
      </c>
      <c r="I30" s="153"/>
      <c r="J30" s="8" t="str">
        <f t="shared" si="10"/>
        <v>V</v>
      </c>
      <c r="K30" s="151" t="str">
        <f>TEXT('Table '!AD28,"jj mmm aa")</f>
        <v>23 févr 18</v>
      </c>
      <c r="L30" s="12"/>
      <c r="M30" s="12"/>
      <c r="N30" s="25">
        <f t="shared" si="11"/>
        <v>0</v>
      </c>
      <c r="O30" s="26">
        <f t="shared" si="2"/>
        <v>0</v>
      </c>
      <c r="P30" s="27">
        <f t="shared" si="3"/>
        <v>0</v>
      </c>
      <c r="R30" s="8" t="str">
        <f t="shared" si="12"/>
        <v>V</v>
      </c>
      <c r="S30" s="151" t="str">
        <f>TEXT('Table '!AD28,"jj mmm aa")</f>
        <v>23 févr 18</v>
      </c>
      <c r="T30" s="12"/>
      <c r="U30" s="12"/>
      <c r="V30" s="25">
        <f t="shared" si="13"/>
        <v>0</v>
      </c>
      <c r="W30" s="26">
        <f t="shared" si="4"/>
        <v>0</v>
      </c>
      <c r="X30" s="27">
        <f t="shared" si="5"/>
        <v>0</v>
      </c>
      <c r="Y30" s="152"/>
      <c r="Z30" s="131" t="str">
        <f t="shared" si="14"/>
        <v>V</v>
      </c>
      <c r="AA30" s="151" t="str">
        <f>TEXT('Table '!AD28,"jj mmm aa")</f>
        <v>23 févr 18</v>
      </c>
      <c r="AB30" s="12"/>
      <c r="AC30" s="12"/>
      <c r="AD30" s="25">
        <f t="shared" si="15"/>
        <v>0</v>
      </c>
      <c r="AE30" s="26">
        <f t="shared" si="6"/>
        <v>0</v>
      </c>
      <c r="AF30" s="27">
        <f t="shared" si="7"/>
        <v>0</v>
      </c>
    </row>
    <row r="31" spans="2:32" s="149" customFormat="1">
      <c r="B31" s="8" t="str">
        <f t="shared" si="8"/>
        <v>S</v>
      </c>
      <c r="C31" s="151" t="str">
        <f>TEXT('Table '!AD29,"jj mmm aa")</f>
        <v>24 févr 18</v>
      </c>
      <c r="D31" s="12"/>
      <c r="E31" s="12"/>
      <c r="F31" s="25">
        <f t="shared" si="9"/>
        <v>0</v>
      </c>
      <c r="G31" s="26">
        <f t="shared" si="0"/>
        <v>0</v>
      </c>
      <c r="H31" s="27">
        <f t="shared" si="1"/>
        <v>0</v>
      </c>
      <c r="I31" s="153"/>
      <c r="J31" s="8" t="str">
        <f t="shared" si="10"/>
        <v>S</v>
      </c>
      <c r="K31" s="151" t="str">
        <f>TEXT('Table '!AD29,"jj mmm aa")</f>
        <v>24 févr 18</v>
      </c>
      <c r="L31" s="12"/>
      <c r="M31" s="12"/>
      <c r="N31" s="25">
        <f t="shared" si="11"/>
        <v>0</v>
      </c>
      <c r="O31" s="26">
        <f t="shared" si="2"/>
        <v>0</v>
      </c>
      <c r="P31" s="27">
        <f t="shared" si="3"/>
        <v>0</v>
      </c>
      <c r="R31" s="8" t="str">
        <f t="shared" si="12"/>
        <v>S</v>
      </c>
      <c r="S31" s="151" t="str">
        <f>TEXT('Table '!AD29,"jj mmm aa")</f>
        <v>24 févr 18</v>
      </c>
      <c r="T31" s="12"/>
      <c r="U31" s="12"/>
      <c r="V31" s="25">
        <f t="shared" si="13"/>
        <v>0</v>
      </c>
      <c r="W31" s="26">
        <f t="shared" si="4"/>
        <v>0</v>
      </c>
      <c r="X31" s="27">
        <f t="shared" si="5"/>
        <v>0</v>
      </c>
      <c r="Y31" s="152"/>
      <c r="Z31" s="131" t="str">
        <f t="shared" si="14"/>
        <v>S</v>
      </c>
      <c r="AA31" s="151" t="str">
        <f>TEXT('Table '!AD29,"jj mmm aa")</f>
        <v>24 févr 18</v>
      </c>
      <c r="AB31" s="12"/>
      <c r="AC31" s="12"/>
      <c r="AD31" s="25">
        <f t="shared" si="15"/>
        <v>0</v>
      </c>
      <c r="AE31" s="26">
        <f t="shared" si="6"/>
        <v>0</v>
      </c>
      <c r="AF31" s="27">
        <f t="shared" si="7"/>
        <v>0</v>
      </c>
    </row>
    <row r="32" spans="2:32" s="149" customFormat="1">
      <c r="B32" s="8" t="str">
        <f t="shared" si="8"/>
        <v>D</v>
      </c>
      <c r="C32" s="151" t="str">
        <f>TEXT('Table '!AD30,"jj mmm aa")</f>
        <v>25 févr 18</v>
      </c>
      <c r="D32" s="12"/>
      <c r="E32" s="12"/>
      <c r="F32" s="25">
        <f t="shared" si="9"/>
        <v>0</v>
      </c>
      <c r="G32" s="26">
        <f t="shared" si="0"/>
        <v>0</v>
      </c>
      <c r="H32" s="27">
        <f t="shared" si="1"/>
        <v>0</v>
      </c>
      <c r="I32" s="153"/>
      <c r="J32" s="8" t="str">
        <f t="shared" si="10"/>
        <v>D</v>
      </c>
      <c r="K32" s="151" t="str">
        <f>TEXT('Table '!AD30,"jj mmm aa")</f>
        <v>25 févr 18</v>
      </c>
      <c r="L32" s="12"/>
      <c r="M32" s="12"/>
      <c r="N32" s="25">
        <f t="shared" si="11"/>
        <v>0</v>
      </c>
      <c r="O32" s="26">
        <f t="shared" si="2"/>
        <v>0</v>
      </c>
      <c r="P32" s="27">
        <f t="shared" si="3"/>
        <v>0</v>
      </c>
      <c r="R32" s="8" t="str">
        <f t="shared" si="12"/>
        <v>D</v>
      </c>
      <c r="S32" s="151" t="str">
        <f>TEXT('Table '!AD30,"jj mmm aa")</f>
        <v>25 févr 18</v>
      </c>
      <c r="T32" s="12"/>
      <c r="U32" s="12"/>
      <c r="V32" s="25">
        <f t="shared" si="13"/>
        <v>0</v>
      </c>
      <c r="W32" s="26">
        <f t="shared" si="4"/>
        <v>0</v>
      </c>
      <c r="X32" s="27">
        <f t="shared" si="5"/>
        <v>0</v>
      </c>
      <c r="Y32" s="152"/>
      <c r="Z32" s="131" t="str">
        <f t="shared" si="14"/>
        <v>D</v>
      </c>
      <c r="AA32" s="151" t="str">
        <f>TEXT('Table '!AD30,"jj mmm aa")</f>
        <v>25 févr 18</v>
      </c>
      <c r="AB32" s="12"/>
      <c r="AC32" s="12"/>
      <c r="AD32" s="25">
        <f t="shared" si="15"/>
        <v>0</v>
      </c>
      <c r="AE32" s="26">
        <f t="shared" si="6"/>
        <v>0</v>
      </c>
      <c r="AF32" s="27">
        <f t="shared" si="7"/>
        <v>0</v>
      </c>
    </row>
    <row r="33" spans="2:32" s="149" customFormat="1">
      <c r="B33" s="8" t="str">
        <f t="shared" si="8"/>
        <v>L</v>
      </c>
      <c r="C33" s="151" t="str">
        <f>TEXT('Table '!AD31,"jj mmm aa")</f>
        <v>26 févr 18</v>
      </c>
      <c r="D33" s="12"/>
      <c r="E33" s="12"/>
      <c r="F33" s="25">
        <f t="shared" si="9"/>
        <v>0</v>
      </c>
      <c r="G33" s="26">
        <f t="shared" si="0"/>
        <v>0</v>
      </c>
      <c r="H33" s="27">
        <f t="shared" si="1"/>
        <v>0</v>
      </c>
      <c r="I33" s="153"/>
      <c r="J33" s="8" t="str">
        <f t="shared" si="10"/>
        <v>L</v>
      </c>
      <c r="K33" s="151" t="str">
        <f>TEXT('Table '!AD31,"jj mmm aa")</f>
        <v>26 févr 18</v>
      </c>
      <c r="L33" s="12"/>
      <c r="M33" s="12"/>
      <c r="N33" s="25">
        <f t="shared" si="11"/>
        <v>0</v>
      </c>
      <c r="O33" s="26">
        <f t="shared" si="2"/>
        <v>0</v>
      </c>
      <c r="P33" s="27">
        <f t="shared" si="3"/>
        <v>0</v>
      </c>
      <c r="R33" s="8" t="str">
        <f t="shared" si="12"/>
        <v>L</v>
      </c>
      <c r="S33" s="151" t="str">
        <f>TEXT('Table '!AD31,"jj mmm aa")</f>
        <v>26 févr 18</v>
      </c>
      <c r="T33" s="12"/>
      <c r="U33" s="12"/>
      <c r="V33" s="25">
        <f t="shared" si="13"/>
        <v>0</v>
      </c>
      <c r="W33" s="26">
        <f t="shared" si="4"/>
        <v>0</v>
      </c>
      <c r="X33" s="27">
        <f t="shared" si="5"/>
        <v>0</v>
      </c>
      <c r="Y33" s="152"/>
      <c r="Z33" s="131" t="str">
        <f t="shared" si="14"/>
        <v>L</v>
      </c>
      <c r="AA33" s="151" t="str">
        <f>TEXT('Table '!AD31,"jj mmm aa")</f>
        <v>26 févr 18</v>
      </c>
      <c r="AB33" s="12"/>
      <c r="AC33" s="12"/>
      <c r="AD33" s="25">
        <f t="shared" si="15"/>
        <v>0</v>
      </c>
      <c r="AE33" s="26">
        <f t="shared" si="6"/>
        <v>0</v>
      </c>
      <c r="AF33" s="27">
        <f t="shared" si="7"/>
        <v>0</v>
      </c>
    </row>
    <row r="34" spans="2:32" s="149" customFormat="1">
      <c r="B34" s="8" t="str">
        <f t="shared" si="8"/>
        <v>M</v>
      </c>
      <c r="C34" s="151" t="str">
        <f>TEXT('Table '!AD32,"jj mmm aa")</f>
        <v>27 févr 18</v>
      </c>
      <c r="D34" s="25"/>
      <c r="E34" s="25"/>
      <c r="F34" s="25">
        <f t="shared" si="9"/>
        <v>0</v>
      </c>
      <c r="G34" s="26">
        <f t="shared" si="0"/>
        <v>0</v>
      </c>
      <c r="H34" s="27">
        <f t="shared" si="1"/>
        <v>0</v>
      </c>
      <c r="I34" s="153"/>
      <c r="J34" s="8" t="str">
        <f t="shared" si="10"/>
        <v>M</v>
      </c>
      <c r="K34" s="151" t="str">
        <f>TEXT('Table '!AD32,"jj mmm aa")</f>
        <v>27 févr 18</v>
      </c>
      <c r="L34" s="25"/>
      <c r="M34" s="25"/>
      <c r="N34" s="25">
        <f t="shared" si="11"/>
        <v>0</v>
      </c>
      <c r="O34" s="26">
        <f t="shared" si="2"/>
        <v>0</v>
      </c>
      <c r="P34" s="27">
        <f t="shared" si="3"/>
        <v>0</v>
      </c>
      <c r="R34" s="8" t="str">
        <f t="shared" si="12"/>
        <v>M</v>
      </c>
      <c r="S34" s="151" t="str">
        <f>TEXT('Table '!AD32,"jj mmm aa")</f>
        <v>27 févr 18</v>
      </c>
      <c r="T34" s="25"/>
      <c r="U34" s="25"/>
      <c r="V34" s="25">
        <f t="shared" si="13"/>
        <v>0</v>
      </c>
      <c r="W34" s="26">
        <f t="shared" si="4"/>
        <v>0</v>
      </c>
      <c r="X34" s="27">
        <f t="shared" si="5"/>
        <v>0</v>
      </c>
      <c r="Y34" s="152"/>
      <c r="Z34" s="131" t="str">
        <f t="shared" si="14"/>
        <v>M</v>
      </c>
      <c r="AA34" s="151" t="str">
        <f>TEXT('Table '!AD32,"jj mmm aa")</f>
        <v>27 févr 18</v>
      </c>
      <c r="AB34" s="25"/>
      <c r="AC34" s="25"/>
      <c r="AD34" s="25">
        <f t="shared" si="15"/>
        <v>0</v>
      </c>
      <c r="AE34" s="26">
        <f t="shared" si="6"/>
        <v>0</v>
      </c>
      <c r="AF34" s="27">
        <f t="shared" si="7"/>
        <v>0</v>
      </c>
    </row>
    <row r="35" spans="2:32" s="149" customFormat="1">
      <c r="B35" s="8" t="str">
        <f t="shared" si="8"/>
        <v>M</v>
      </c>
      <c r="C35" s="151" t="str">
        <f>TEXT('Table '!AD33,"jj mmm aa")</f>
        <v>28 févr 18</v>
      </c>
      <c r="D35" s="25"/>
      <c r="E35" s="25"/>
      <c r="F35" s="25">
        <f t="shared" si="9"/>
        <v>0</v>
      </c>
      <c r="G35" s="26">
        <f t="shared" si="0"/>
        <v>0</v>
      </c>
      <c r="H35" s="27">
        <f t="shared" si="1"/>
        <v>0</v>
      </c>
      <c r="I35" s="153"/>
      <c r="J35" s="8" t="str">
        <f t="shared" si="10"/>
        <v>M</v>
      </c>
      <c r="K35" s="151" t="str">
        <f>TEXT('Table '!AD33,"jj mmm aa")</f>
        <v>28 févr 18</v>
      </c>
      <c r="L35" s="25"/>
      <c r="M35" s="25"/>
      <c r="N35" s="25">
        <f t="shared" si="11"/>
        <v>0</v>
      </c>
      <c r="O35" s="26">
        <f t="shared" si="2"/>
        <v>0</v>
      </c>
      <c r="P35" s="27">
        <f t="shared" si="3"/>
        <v>0</v>
      </c>
      <c r="R35" s="8" t="str">
        <f t="shared" si="12"/>
        <v>M</v>
      </c>
      <c r="S35" s="151" t="str">
        <f>TEXT('Table '!AD33,"jj mmm aa")</f>
        <v>28 févr 18</v>
      </c>
      <c r="T35" s="25"/>
      <c r="U35" s="25"/>
      <c r="V35" s="25">
        <f t="shared" si="13"/>
        <v>0</v>
      </c>
      <c r="W35" s="26">
        <f t="shared" si="4"/>
        <v>0</v>
      </c>
      <c r="X35" s="27">
        <f t="shared" si="5"/>
        <v>0</v>
      </c>
      <c r="Y35" s="152"/>
      <c r="Z35" s="131" t="str">
        <f t="shared" si="14"/>
        <v>M</v>
      </c>
      <c r="AA35" s="151" t="str">
        <f>TEXT('Table '!AD33,"jj mmm aa")</f>
        <v>28 févr 18</v>
      </c>
      <c r="AB35" s="25"/>
      <c r="AC35" s="25"/>
      <c r="AD35" s="25">
        <f t="shared" si="15"/>
        <v>0</v>
      </c>
      <c r="AE35" s="26">
        <f t="shared" si="6"/>
        <v>0</v>
      </c>
      <c r="AF35" s="27">
        <f t="shared" si="7"/>
        <v>0</v>
      </c>
    </row>
    <row r="36" spans="2:32" s="149" customFormat="1">
      <c r="B36" s="8" t="str">
        <f t="shared" si="8"/>
        <v>J</v>
      </c>
      <c r="C36" s="151" t="str">
        <f>TEXT('Table '!AD34,"jj mmm aa")</f>
        <v>01 mars 18</v>
      </c>
      <c r="D36" s="12"/>
      <c r="E36" s="12"/>
      <c r="F36" s="25">
        <f t="shared" si="9"/>
        <v>0</v>
      </c>
      <c r="G36" s="26">
        <f t="shared" si="0"/>
        <v>0</v>
      </c>
      <c r="H36" s="27">
        <f t="shared" si="1"/>
        <v>0</v>
      </c>
      <c r="I36" s="153"/>
      <c r="J36" s="8" t="str">
        <f t="shared" si="10"/>
        <v>J</v>
      </c>
      <c r="K36" s="151" t="str">
        <f>TEXT('Table '!AD34,"jj mmm aa")</f>
        <v>01 mars 18</v>
      </c>
      <c r="L36" s="12"/>
      <c r="M36" s="12"/>
      <c r="N36" s="25">
        <f t="shared" si="11"/>
        <v>0</v>
      </c>
      <c r="O36" s="26">
        <f t="shared" si="2"/>
        <v>0</v>
      </c>
      <c r="P36" s="27">
        <f t="shared" si="3"/>
        <v>0</v>
      </c>
      <c r="R36" s="8" t="str">
        <f t="shared" si="12"/>
        <v>J</v>
      </c>
      <c r="S36" s="151" t="str">
        <f>TEXT('Table '!AD34,"jj mmm aa")</f>
        <v>01 mars 18</v>
      </c>
      <c r="T36" s="12"/>
      <c r="U36" s="12"/>
      <c r="V36" s="25">
        <f t="shared" si="13"/>
        <v>0</v>
      </c>
      <c r="W36" s="26">
        <f t="shared" si="4"/>
        <v>0</v>
      </c>
      <c r="X36" s="27">
        <f t="shared" si="5"/>
        <v>0</v>
      </c>
      <c r="Y36" s="152"/>
      <c r="Z36" s="131" t="str">
        <f t="shared" si="14"/>
        <v>J</v>
      </c>
      <c r="AA36" s="151" t="str">
        <f>TEXT('Table '!AD34,"jj mmm aa")</f>
        <v>01 mars 18</v>
      </c>
      <c r="AB36" s="12"/>
      <c r="AC36" s="12"/>
      <c r="AD36" s="25">
        <f t="shared" si="15"/>
        <v>0</v>
      </c>
      <c r="AE36" s="26">
        <f t="shared" si="6"/>
        <v>0</v>
      </c>
      <c r="AF36" s="27">
        <f t="shared" si="7"/>
        <v>0</v>
      </c>
    </row>
    <row r="37" spans="2:32" s="149" customFormat="1">
      <c r="B37" s="8"/>
      <c r="C37" s="138"/>
      <c r="D37" s="22"/>
      <c r="E37" s="22"/>
      <c r="F37" s="22"/>
      <c r="G37" s="23"/>
      <c r="H37" s="24"/>
      <c r="I37" s="154"/>
      <c r="J37" s="159"/>
      <c r="K37" s="142"/>
      <c r="L37" s="22"/>
      <c r="M37" s="22"/>
      <c r="N37" s="22"/>
      <c r="O37" s="23"/>
      <c r="P37" s="24"/>
      <c r="Q37" s="152"/>
      <c r="R37" s="131"/>
      <c r="S37" s="138"/>
      <c r="T37" s="18"/>
      <c r="U37" s="18"/>
      <c r="V37" s="18"/>
      <c r="W37" s="19"/>
      <c r="X37" s="20"/>
      <c r="Y37" s="152"/>
      <c r="Z37" s="131"/>
      <c r="AA37" s="138"/>
      <c r="AB37" s="18"/>
      <c r="AC37" s="18"/>
      <c r="AD37" s="18"/>
      <c r="AE37" s="146"/>
      <c r="AF37" s="20"/>
    </row>
    <row r="38" spans="2:32" s="149" customFormat="1" ht="15.75" thickBot="1">
      <c r="B38" s="129"/>
      <c r="C38" s="139"/>
      <c r="D38" s="156"/>
      <c r="E38" s="156"/>
      <c r="F38" s="156"/>
      <c r="G38" s="157"/>
      <c r="H38" s="158"/>
      <c r="I38" s="152"/>
      <c r="J38" s="160"/>
      <c r="K38" s="139"/>
      <c r="L38" s="156"/>
      <c r="M38" s="156"/>
      <c r="N38" s="156"/>
      <c r="O38" s="157"/>
      <c r="P38" s="158"/>
      <c r="Q38" s="152"/>
      <c r="R38" s="160"/>
      <c r="S38" s="139"/>
      <c r="T38" s="156"/>
      <c r="U38" s="156"/>
      <c r="V38" s="156"/>
      <c r="W38" s="157"/>
      <c r="X38" s="158"/>
      <c r="Y38" s="152"/>
      <c r="Z38" s="160"/>
      <c r="AA38" s="139"/>
      <c r="AB38" s="156"/>
      <c r="AC38" s="156"/>
      <c r="AD38" s="156"/>
      <c r="AE38" s="157"/>
      <c r="AF38" s="158"/>
    </row>
    <row r="39" spans="2:32" s="149" customFormat="1" ht="19.5" thickTop="1">
      <c r="B39" s="127"/>
      <c r="C39" s="62"/>
      <c r="D39" s="62"/>
      <c r="E39" s="63" t="s">
        <v>9</v>
      </c>
      <c r="F39" s="62"/>
      <c r="G39" s="64">
        <f>SUM(G8:G38)</f>
        <v>0</v>
      </c>
      <c r="H39" s="65"/>
      <c r="J39" s="127"/>
      <c r="K39" s="62"/>
      <c r="L39" s="62"/>
      <c r="M39" s="63" t="s">
        <v>9</v>
      </c>
      <c r="N39" s="62"/>
      <c r="O39" s="64">
        <f>SUM(O8:O38)</f>
        <v>0</v>
      </c>
      <c r="P39" s="65"/>
      <c r="R39" s="127"/>
      <c r="S39" s="62"/>
      <c r="T39" s="62"/>
      <c r="U39" s="63" t="s">
        <v>9</v>
      </c>
      <c r="V39" s="62"/>
      <c r="W39" s="64">
        <f>SUM(W8:W38)</f>
        <v>0</v>
      </c>
      <c r="X39" s="65"/>
      <c r="Z39" s="127"/>
      <c r="AA39" s="62"/>
      <c r="AB39" s="62"/>
      <c r="AC39" s="63" t="s">
        <v>9</v>
      </c>
      <c r="AD39" s="62"/>
      <c r="AE39" s="64">
        <f>SUM(AE8:AE23)</f>
        <v>0</v>
      </c>
      <c r="AF39" s="65"/>
    </row>
    <row r="40" spans="2:32" s="155" customFormat="1" ht="18.75">
      <c r="B40" s="128"/>
      <c r="C40" s="33"/>
      <c r="D40" s="33"/>
      <c r="E40" s="34" t="s">
        <v>10</v>
      </c>
      <c r="F40" s="33"/>
      <c r="G40" s="35"/>
      <c r="H40" s="32">
        <f>SUM(H8:H38)*24</f>
        <v>0</v>
      </c>
      <c r="J40" s="128"/>
      <c r="K40" s="33"/>
      <c r="L40" s="33"/>
      <c r="M40" s="34" t="s">
        <v>10</v>
      </c>
      <c r="N40" s="33"/>
      <c r="O40" s="35"/>
      <c r="P40" s="32">
        <f>SUM(P8:P32)*24</f>
        <v>0</v>
      </c>
      <c r="R40" s="128"/>
      <c r="S40" s="33"/>
      <c r="T40" s="33"/>
      <c r="U40" s="34" t="s">
        <v>10</v>
      </c>
      <c r="V40" s="33"/>
      <c r="W40" s="35"/>
      <c r="X40" s="32">
        <f>SUM(X8:X36)*24</f>
        <v>0</v>
      </c>
      <c r="Z40" s="128"/>
      <c r="AA40" s="33"/>
      <c r="AB40" s="33"/>
      <c r="AC40" s="34" t="s">
        <v>10</v>
      </c>
      <c r="AD40" s="33"/>
      <c r="AE40" s="35"/>
      <c r="AF40" s="32">
        <f>SUM(AF8:AF32)*24</f>
        <v>0</v>
      </c>
    </row>
    <row r="41" spans="2:32" s="149" customFormat="1" ht="8.25" customHeight="1" thickBot="1">
      <c r="B41" s="129"/>
      <c r="C41" s="16"/>
      <c r="D41" s="16"/>
      <c r="E41" s="16"/>
      <c r="F41" s="16"/>
      <c r="G41" s="16"/>
      <c r="H41" s="17"/>
      <c r="J41" s="129"/>
      <c r="K41" s="16"/>
      <c r="L41" s="16"/>
      <c r="M41" s="16"/>
      <c r="N41" s="16"/>
      <c r="O41" s="16"/>
      <c r="P41" s="31"/>
      <c r="R41" s="129"/>
      <c r="S41" s="16"/>
      <c r="T41" s="16"/>
      <c r="U41" s="16"/>
      <c r="V41" s="16"/>
      <c r="W41" s="16"/>
      <c r="X41" s="17"/>
      <c r="Z41" s="129"/>
      <c r="AA41" s="16"/>
      <c r="AB41" s="16"/>
      <c r="AC41" s="16"/>
      <c r="AD41" s="16"/>
      <c r="AE41" s="16"/>
      <c r="AF41" s="17"/>
    </row>
    <row r="42" spans="2:32" ht="15.75" thickTop="1"/>
  </sheetData>
  <mergeCells count="4">
    <mergeCell ref="Z5:AF6"/>
    <mergeCell ref="B5:H6"/>
    <mergeCell ref="J5:P6"/>
    <mergeCell ref="R5:X6"/>
  </mergeCells>
  <conditionalFormatting sqref="B8:H38 J8:P38 R8:X38 Z8:AF38">
    <cfRule type="expression" dxfId="38" priority="3" stopIfTrue="1">
      <formula>AND($B8="S")</formula>
    </cfRule>
    <cfRule type="expression" dxfId="37" priority="4" stopIfTrue="1">
      <formula>AND($B8="D")</formula>
    </cfRule>
    <cfRule type="expression" dxfId="36" priority="2" stopIfTrue="1">
      <formula>COUNTIF(Feries,$C8)&gt;0</formula>
    </cfRule>
    <cfRule type="expression" dxfId="35" priority="1" stopIfTrue="1">
      <formula>COUNTIF(Fete,$C8)&gt;0</formula>
    </cfRule>
  </conditionalFormatting>
  <pageMargins left="0.7" right="0.7" top="0.75" bottom="0.75" header="0.3" footer="0.3"/>
  <pageSetup paperSize="9" orientation="portrait" horizontalDpi="4294967294" verticalDpi="429496729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4">
    <tabColor theme="7" tint="0.39997558519241921"/>
  </sheetPr>
  <dimension ref="B1:AF42"/>
  <sheetViews>
    <sheetView showGridLines="0" workbookViewId="0">
      <selection activeCell="L3" sqref="L3:N3"/>
    </sheetView>
  </sheetViews>
  <sheetFormatPr baseColWidth="10" defaultRowHeight="15"/>
  <cols>
    <col min="1" max="1" width="1.28515625" style="145" customWidth="1"/>
    <col min="2" max="2" width="3.7109375" style="163" customWidth="1"/>
    <col min="3" max="8" width="9.5703125" style="148" customWidth="1"/>
    <col min="9" max="9" width="1.7109375" style="145" customWidth="1"/>
    <col min="10" max="10" width="3.7109375" style="147" customWidth="1"/>
    <col min="11" max="16" width="9.5703125" style="145" customWidth="1"/>
    <col min="17" max="17" width="1.7109375" style="145" customWidth="1"/>
    <col min="18" max="18" width="3.7109375" style="147" customWidth="1"/>
    <col min="19" max="24" width="9.5703125" style="145" customWidth="1"/>
    <col min="25" max="25" width="1.7109375" style="145" customWidth="1"/>
    <col min="26" max="26" width="3.7109375" style="147" customWidth="1"/>
    <col min="27" max="32" width="9.5703125" style="145" customWidth="1"/>
    <col min="33" max="16384" width="11.42578125" style="145"/>
  </cols>
  <sheetData>
    <row r="1" spans="2:32">
      <c r="C1" s="143" t="s">
        <v>0</v>
      </c>
      <c r="D1" s="143"/>
      <c r="E1" s="143"/>
      <c r="F1" s="144">
        <v>0.33333333333333331</v>
      </c>
      <c r="G1" s="143" t="s">
        <v>1</v>
      </c>
      <c r="H1" s="143"/>
      <c r="L1" s="366"/>
      <c r="M1" s="366"/>
      <c r="N1" s="366"/>
    </row>
    <row r="2" spans="2:32">
      <c r="C2" s="143" t="s">
        <v>2</v>
      </c>
      <c r="D2" s="144">
        <v>0.33333333333333331</v>
      </c>
      <c r="E2" s="143" t="s">
        <v>3</v>
      </c>
      <c r="F2" s="143"/>
      <c r="G2" s="143"/>
      <c r="H2" s="143"/>
      <c r="L2" s="366"/>
      <c r="M2" s="366"/>
      <c r="N2" s="366"/>
    </row>
    <row r="3" spans="2:32">
      <c r="C3" s="143"/>
      <c r="D3" s="143"/>
      <c r="E3" s="143"/>
      <c r="F3" s="143"/>
      <c r="G3" s="143"/>
      <c r="H3" s="143"/>
      <c r="L3" s="366"/>
      <c r="M3" s="366"/>
      <c r="N3" s="366"/>
    </row>
    <row r="4" spans="2:32" ht="15.75" thickBot="1">
      <c r="C4" s="147"/>
    </row>
    <row r="5" spans="2:32" s="149" customFormat="1" ht="15.75" customHeight="1" thickTop="1">
      <c r="B5" s="338">
        <f>'Table '!C3</f>
        <v>1</v>
      </c>
      <c r="C5" s="339"/>
      <c r="D5" s="339"/>
      <c r="E5" s="339"/>
      <c r="F5" s="339"/>
      <c r="G5" s="339"/>
      <c r="H5" s="340"/>
      <c r="J5" s="344">
        <f>'Table '!G3</f>
        <v>2</v>
      </c>
      <c r="K5" s="345"/>
      <c r="L5" s="345"/>
      <c r="M5" s="345"/>
      <c r="N5" s="345"/>
      <c r="O5" s="345"/>
      <c r="P5" s="346"/>
      <c r="R5" s="350">
        <f>'Table '!C6</f>
        <v>3</v>
      </c>
      <c r="S5" s="351"/>
      <c r="T5" s="351"/>
      <c r="U5" s="351"/>
      <c r="V5" s="351"/>
      <c r="W5" s="351"/>
      <c r="X5" s="352"/>
      <c r="Z5" s="356">
        <f>'Table '!G6</f>
        <v>4</v>
      </c>
      <c r="AA5" s="357"/>
      <c r="AB5" s="357"/>
      <c r="AC5" s="357"/>
      <c r="AD5" s="357"/>
      <c r="AE5" s="357"/>
      <c r="AF5" s="358"/>
    </row>
    <row r="6" spans="2:32" s="149" customFormat="1" ht="15" customHeight="1">
      <c r="B6" s="341"/>
      <c r="C6" s="342"/>
      <c r="D6" s="342"/>
      <c r="E6" s="342"/>
      <c r="F6" s="342"/>
      <c r="G6" s="342"/>
      <c r="H6" s="343"/>
      <c r="J6" s="347"/>
      <c r="K6" s="348"/>
      <c r="L6" s="348"/>
      <c r="M6" s="348"/>
      <c r="N6" s="348"/>
      <c r="O6" s="348"/>
      <c r="P6" s="349"/>
      <c r="R6" s="353"/>
      <c r="S6" s="354"/>
      <c r="T6" s="354"/>
      <c r="U6" s="354"/>
      <c r="V6" s="354"/>
      <c r="W6" s="354"/>
      <c r="X6" s="355"/>
      <c r="Z6" s="359"/>
      <c r="AA6" s="360"/>
      <c r="AB6" s="360"/>
      <c r="AC6" s="360"/>
      <c r="AD6" s="360"/>
      <c r="AE6" s="360"/>
      <c r="AF6" s="361"/>
    </row>
    <row r="7" spans="2:32" s="150" customFormat="1" ht="39" customHeight="1">
      <c r="B7" s="133"/>
      <c r="C7" s="15"/>
      <c r="D7" s="9" t="s">
        <v>4</v>
      </c>
      <c r="E7" s="9" t="s">
        <v>5</v>
      </c>
      <c r="F7" s="9" t="s">
        <v>6</v>
      </c>
      <c r="G7" s="9" t="s">
        <v>7</v>
      </c>
      <c r="H7" s="10" t="s">
        <v>8</v>
      </c>
      <c r="J7" s="8"/>
      <c r="K7" s="15"/>
      <c r="L7" s="9" t="s">
        <v>4</v>
      </c>
      <c r="M7" s="9" t="s">
        <v>5</v>
      </c>
      <c r="N7" s="9" t="s">
        <v>6</v>
      </c>
      <c r="O7" s="9" t="s">
        <v>7</v>
      </c>
      <c r="P7" s="10" t="s">
        <v>8</v>
      </c>
      <c r="R7" s="8"/>
      <c r="S7" s="15"/>
      <c r="T7" s="9" t="s">
        <v>4</v>
      </c>
      <c r="U7" s="9" t="s">
        <v>5</v>
      </c>
      <c r="V7" s="9" t="s">
        <v>6</v>
      </c>
      <c r="W7" s="9" t="s">
        <v>7</v>
      </c>
      <c r="X7" s="10" t="s">
        <v>8</v>
      </c>
      <c r="Z7" s="8"/>
      <c r="AA7" s="15"/>
      <c r="AB7" s="9" t="s">
        <v>4</v>
      </c>
      <c r="AC7" s="9" t="s">
        <v>5</v>
      </c>
      <c r="AD7" s="9" t="s">
        <v>6</v>
      </c>
      <c r="AE7" s="9" t="s">
        <v>7</v>
      </c>
      <c r="AF7" s="10" t="s">
        <v>8</v>
      </c>
    </row>
    <row r="8" spans="2:32" s="149" customFormat="1">
      <c r="B8" s="133" t="str">
        <f>CHOOSE(WEEKDAY(C8),"D","L","M","M","J","V","S")</f>
        <v>J</v>
      </c>
      <c r="C8" s="151" t="str">
        <f>TEXT('Table '!AE6,"jj mmm aa")</f>
        <v>01 mars 18</v>
      </c>
      <c r="D8" s="12"/>
      <c r="E8" s="12"/>
      <c r="F8" s="12">
        <f>E8-D8</f>
        <v>0</v>
      </c>
      <c r="G8" s="13">
        <f t="shared" ref="G8:G36" si="0">IF(F8&gt;=$F$1,1,0)</f>
        <v>0</v>
      </c>
      <c r="H8" s="14">
        <f t="shared" ref="H8:H36" si="1">IF(F8&lt;$F$1,F8,0)</f>
        <v>0</v>
      </c>
      <c r="J8" s="8" t="str">
        <f>CHOOSE(WEEKDAY(C8),"D","L","M","M","J","V","S")</f>
        <v>J</v>
      </c>
      <c r="K8" s="151" t="str">
        <f>TEXT('Table '!AE6,"jj mmm aa")</f>
        <v>01 mars 18</v>
      </c>
      <c r="L8" s="12"/>
      <c r="M8" s="12"/>
      <c r="N8" s="12">
        <f>M8-L8</f>
        <v>0</v>
      </c>
      <c r="O8" s="13">
        <f t="shared" ref="O8:O38" si="2">IF(N8&gt;=$F$1,1,0)</f>
        <v>0</v>
      </c>
      <c r="P8" s="14">
        <f t="shared" ref="P8:P38" si="3">IF(N8&lt;$F$1,N8,0)</f>
        <v>0</v>
      </c>
      <c r="R8" s="8" t="str">
        <f>CHOOSE(WEEKDAY(C8),"D","L","M","M","J","V","S")</f>
        <v>J</v>
      </c>
      <c r="S8" s="151" t="str">
        <f>TEXT('Table '!AE6,"jj mmm aa")</f>
        <v>01 mars 18</v>
      </c>
      <c r="T8" s="12"/>
      <c r="U8" s="12"/>
      <c r="V8" s="12">
        <f>U8-T8</f>
        <v>0</v>
      </c>
      <c r="W8" s="13">
        <f t="shared" ref="W8:W38" si="4">IF(V8&gt;=$F$1,1,0)</f>
        <v>0</v>
      </c>
      <c r="X8" s="14">
        <f t="shared" ref="X8:X38" si="5">IF(V8&lt;$F$1,V8,0)</f>
        <v>0</v>
      </c>
      <c r="Y8" s="152"/>
      <c r="Z8" s="131" t="str">
        <f>CHOOSE(WEEKDAY(C8),"D","L","M","M","J","V","S")</f>
        <v>J</v>
      </c>
      <c r="AA8" s="138" t="str">
        <f>TEXT('Table '!AE6,"jj mmm aa")</f>
        <v>01 mars 18</v>
      </c>
      <c r="AB8" s="18"/>
      <c r="AC8" s="18"/>
      <c r="AD8" s="18">
        <f>AC8-AB8</f>
        <v>0</v>
      </c>
      <c r="AE8" s="146">
        <f t="shared" ref="AE8:AE38" si="6">IF(AD8&gt;=$F$1,1,0)</f>
        <v>0</v>
      </c>
      <c r="AF8" s="20">
        <f t="shared" ref="AF8:AF38" si="7">IF(AD8&lt;$F$1,AD8,0)</f>
        <v>0</v>
      </c>
    </row>
    <row r="9" spans="2:32" s="149" customFormat="1">
      <c r="B9" s="133" t="str">
        <f t="shared" ref="B9:B38" si="8">CHOOSE(WEEKDAY(C9),"D","L","M","M","J","V","S")</f>
        <v>V</v>
      </c>
      <c r="C9" s="151" t="str">
        <f>TEXT('Table '!AE7,"jj mmm aa")</f>
        <v>02 mars 18</v>
      </c>
      <c r="D9" s="12"/>
      <c r="E9" s="12"/>
      <c r="F9" s="12">
        <f t="shared" ref="F9:F38" si="9">E9-D9</f>
        <v>0</v>
      </c>
      <c r="G9" s="13">
        <f t="shared" si="0"/>
        <v>0</v>
      </c>
      <c r="H9" s="14">
        <f t="shared" si="1"/>
        <v>0</v>
      </c>
      <c r="J9" s="8" t="str">
        <f t="shared" ref="J9:J38" si="10">CHOOSE(WEEKDAY(C9),"D","L","M","M","J","V","S")</f>
        <v>V</v>
      </c>
      <c r="K9" s="151" t="str">
        <f>TEXT('Table '!AE7,"jj mmm aa")</f>
        <v>02 mars 18</v>
      </c>
      <c r="L9" s="12"/>
      <c r="M9" s="12"/>
      <c r="N9" s="12">
        <f t="shared" ref="N9:N38" si="11">M9-L9</f>
        <v>0</v>
      </c>
      <c r="O9" s="13">
        <f t="shared" si="2"/>
        <v>0</v>
      </c>
      <c r="P9" s="14">
        <f t="shared" si="3"/>
        <v>0</v>
      </c>
      <c r="R9" s="8" t="str">
        <f t="shared" ref="R9:R38" si="12">CHOOSE(WEEKDAY(C9),"D","L","M","M","J","V","S")</f>
        <v>V</v>
      </c>
      <c r="S9" s="151" t="str">
        <f>TEXT('Table '!AE7,"jj mmm aa")</f>
        <v>02 mars 18</v>
      </c>
      <c r="T9" s="12"/>
      <c r="U9" s="12"/>
      <c r="V9" s="12">
        <f t="shared" ref="V9:V38" si="13">U9-T9</f>
        <v>0</v>
      </c>
      <c r="W9" s="13">
        <f t="shared" si="4"/>
        <v>0</v>
      </c>
      <c r="X9" s="14">
        <f t="shared" si="5"/>
        <v>0</v>
      </c>
      <c r="Y9" s="152"/>
      <c r="Z9" s="131" t="str">
        <f t="shared" ref="Z9:Z38" si="14">CHOOSE(WEEKDAY(C9),"D","L","M","M","J","V","S")</f>
        <v>V</v>
      </c>
      <c r="AA9" s="138" t="str">
        <f>TEXT('Table '!AE7,"jj mmm aa")</f>
        <v>02 mars 18</v>
      </c>
      <c r="AB9" s="18"/>
      <c r="AC9" s="18"/>
      <c r="AD9" s="18">
        <f t="shared" ref="AD9:AD38" si="15">AC9-AB9</f>
        <v>0</v>
      </c>
      <c r="AE9" s="146">
        <f t="shared" si="6"/>
        <v>0</v>
      </c>
      <c r="AF9" s="20">
        <f t="shared" si="7"/>
        <v>0</v>
      </c>
    </row>
    <row r="10" spans="2:32" s="149" customFormat="1">
      <c r="B10" s="133" t="str">
        <f t="shared" si="8"/>
        <v>S</v>
      </c>
      <c r="C10" s="151" t="str">
        <f>TEXT('Table '!AE8,"jj mmm aa")</f>
        <v>03 mars 18</v>
      </c>
      <c r="D10" s="12"/>
      <c r="E10" s="12"/>
      <c r="F10" s="12">
        <f t="shared" si="9"/>
        <v>0</v>
      </c>
      <c r="G10" s="13">
        <f t="shared" si="0"/>
        <v>0</v>
      </c>
      <c r="H10" s="14">
        <f t="shared" si="1"/>
        <v>0</v>
      </c>
      <c r="J10" s="8" t="str">
        <f t="shared" si="10"/>
        <v>S</v>
      </c>
      <c r="K10" s="151" t="str">
        <f>TEXT('Table '!AE8,"jj mmm aa")</f>
        <v>03 mars 18</v>
      </c>
      <c r="L10" s="12"/>
      <c r="M10" s="12"/>
      <c r="N10" s="12">
        <f t="shared" si="11"/>
        <v>0</v>
      </c>
      <c r="O10" s="13">
        <f t="shared" si="2"/>
        <v>0</v>
      </c>
      <c r="P10" s="14">
        <f t="shared" si="3"/>
        <v>0</v>
      </c>
      <c r="R10" s="8" t="str">
        <f t="shared" si="12"/>
        <v>S</v>
      </c>
      <c r="S10" s="151" t="str">
        <f>TEXT('Table '!AE8,"jj mmm aa")</f>
        <v>03 mars 18</v>
      </c>
      <c r="T10" s="12"/>
      <c r="U10" s="12"/>
      <c r="V10" s="12">
        <f t="shared" si="13"/>
        <v>0</v>
      </c>
      <c r="W10" s="13">
        <f t="shared" si="4"/>
        <v>0</v>
      </c>
      <c r="X10" s="14">
        <f t="shared" si="5"/>
        <v>0</v>
      </c>
      <c r="Y10" s="152"/>
      <c r="Z10" s="131" t="str">
        <f t="shared" si="14"/>
        <v>S</v>
      </c>
      <c r="AA10" s="138" t="str">
        <f>TEXT('Table '!AE8,"jj mmm aa")</f>
        <v>03 mars 18</v>
      </c>
      <c r="AB10" s="18"/>
      <c r="AC10" s="18"/>
      <c r="AD10" s="18">
        <f t="shared" si="15"/>
        <v>0</v>
      </c>
      <c r="AE10" s="146">
        <f t="shared" si="6"/>
        <v>0</v>
      </c>
      <c r="AF10" s="20">
        <f t="shared" si="7"/>
        <v>0</v>
      </c>
    </row>
    <row r="11" spans="2:32" s="149" customFormat="1">
      <c r="B11" s="133" t="str">
        <f t="shared" si="8"/>
        <v>D</v>
      </c>
      <c r="C11" s="151" t="str">
        <f>TEXT('Table '!AE9,"jj mmm aa")</f>
        <v>04 mars 18</v>
      </c>
      <c r="D11" s="12"/>
      <c r="E11" s="12"/>
      <c r="F11" s="25">
        <f t="shared" si="9"/>
        <v>0</v>
      </c>
      <c r="G11" s="26">
        <f t="shared" si="0"/>
        <v>0</v>
      </c>
      <c r="H11" s="27">
        <f t="shared" si="1"/>
        <v>0</v>
      </c>
      <c r="I11" s="153"/>
      <c r="J11" s="8" t="str">
        <f t="shared" si="10"/>
        <v>D</v>
      </c>
      <c r="K11" s="151" t="str">
        <f>TEXT('Table '!AE9,"jj mmm aa")</f>
        <v>04 mars 18</v>
      </c>
      <c r="L11" s="12"/>
      <c r="M11" s="12"/>
      <c r="N11" s="25">
        <f>M11-L11</f>
        <v>0</v>
      </c>
      <c r="O11" s="26">
        <f t="shared" si="2"/>
        <v>0</v>
      </c>
      <c r="P11" s="27">
        <f t="shared" si="3"/>
        <v>0</v>
      </c>
      <c r="R11" s="8" t="str">
        <f t="shared" si="12"/>
        <v>D</v>
      </c>
      <c r="S11" s="151" t="str">
        <f>TEXT('Table '!AE9,"jj mmm aa")</f>
        <v>04 mars 18</v>
      </c>
      <c r="T11" s="12"/>
      <c r="U11" s="12"/>
      <c r="V11" s="12">
        <f t="shared" si="13"/>
        <v>0</v>
      </c>
      <c r="W11" s="13">
        <f t="shared" si="4"/>
        <v>0</v>
      </c>
      <c r="X11" s="14">
        <f t="shared" si="5"/>
        <v>0</v>
      </c>
      <c r="Y11" s="152"/>
      <c r="Z11" s="131" t="str">
        <f t="shared" si="14"/>
        <v>D</v>
      </c>
      <c r="AA11" s="138" t="str">
        <f>TEXT('Table '!AE9,"jj mmm aa")</f>
        <v>04 mars 18</v>
      </c>
      <c r="AB11" s="18"/>
      <c r="AC11" s="18"/>
      <c r="AD11" s="18">
        <f t="shared" si="15"/>
        <v>0</v>
      </c>
      <c r="AE11" s="146">
        <f t="shared" si="6"/>
        <v>0</v>
      </c>
      <c r="AF11" s="20">
        <f t="shared" si="7"/>
        <v>0</v>
      </c>
    </row>
    <row r="12" spans="2:32" s="149" customFormat="1">
      <c r="B12" s="133" t="str">
        <f t="shared" si="8"/>
        <v>L</v>
      </c>
      <c r="C12" s="151" t="str">
        <f>TEXT('Table '!AE10,"jj mmm aa")</f>
        <v>05 mars 18</v>
      </c>
      <c r="D12" s="25"/>
      <c r="E12" s="25"/>
      <c r="F12" s="25">
        <f t="shared" si="9"/>
        <v>0</v>
      </c>
      <c r="G12" s="26">
        <f t="shared" si="0"/>
        <v>0</v>
      </c>
      <c r="H12" s="27">
        <f t="shared" si="1"/>
        <v>0</v>
      </c>
      <c r="I12" s="153"/>
      <c r="J12" s="8" t="str">
        <f t="shared" si="10"/>
        <v>L</v>
      </c>
      <c r="K12" s="151" t="str">
        <f>TEXT('Table '!AE10,"jj mmm aa")</f>
        <v>05 mars 18</v>
      </c>
      <c r="L12" s="25"/>
      <c r="M12" s="25"/>
      <c r="N12" s="25">
        <f>M12-L12</f>
        <v>0</v>
      </c>
      <c r="O12" s="26">
        <f t="shared" si="2"/>
        <v>0</v>
      </c>
      <c r="P12" s="27">
        <f t="shared" si="3"/>
        <v>0</v>
      </c>
      <c r="R12" s="8" t="str">
        <f t="shared" si="12"/>
        <v>L</v>
      </c>
      <c r="S12" s="151" t="str">
        <f>TEXT('Table '!AE10,"jj mmm aa")</f>
        <v>05 mars 18</v>
      </c>
      <c r="T12" s="12"/>
      <c r="U12" s="12"/>
      <c r="V12" s="12">
        <f t="shared" si="13"/>
        <v>0</v>
      </c>
      <c r="W12" s="13">
        <f t="shared" si="4"/>
        <v>0</v>
      </c>
      <c r="X12" s="14">
        <f t="shared" si="5"/>
        <v>0</v>
      </c>
      <c r="Y12" s="152"/>
      <c r="Z12" s="131" t="str">
        <f t="shared" si="14"/>
        <v>L</v>
      </c>
      <c r="AA12" s="138" t="str">
        <f>TEXT('Table '!AE10,"jj mmm aa")</f>
        <v>05 mars 18</v>
      </c>
      <c r="AB12" s="18"/>
      <c r="AC12" s="18"/>
      <c r="AD12" s="18">
        <f t="shared" si="15"/>
        <v>0</v>
      </c>
      <c r="AE12" s="146">
        <f t="shared" si="6"/>
        <v>0</v>
      </c>
      <c r="AF12" s="20">
        <f t="shared" si="7"/>
        <v>0</v>
      </c>
    </row>
    <row r="13" spans="2:32" s="149" customFormat="1">
      <c r="B13" s="133" t="str">
        <f t="shared" si="8"/>
        <v>M</v>
      </c>
      <c r="C13" s="151" t="str">
        <f>TEXT('Table '!AE11,"jj mmm aa")</f>
        <v>06 mars 18</v>
      </c>
      <c r="D13" s="25"/>
      <c r="E13" s="25"/>
      <c r="F13" s="25">
        <f t="shared" si="9"/>
        <v>0</v>
      </c>
      <c r="G13" s="26">
        <f t="shared" si="0"/>
        <v>0</v>
      </c>
      <c r="H13" s="27">
        <f t="shared" si="1"/>
        <v>0</v>
      </c>
      <c r="I13" s="153"/>
      <c r="J13" s="8" t="str">
        <f t="shared" si="10"/>
        <v>M</v>
      </c>
      <c r="K13" s="151" t="str">
        <f>TEXT('Table '!AE11,"jj mmm aa")</f>
        <v>06 mars 18</v>
      </c>
      <c r="L13" s="25"/>
      <c r="M13" s="25"/>
      <c r="N13" s="25">
        <f t="shared" si="11"/>
        <v>0</v>
      </c>
      <c r="O13" s="26">
        <f t="shared" si="2"/>
        <v>0</v>
      </c>
      <c r="P13" s="27">
        <f t="shared" si="3"/>
        <v>0</v>
      </c>
      <c r="R13" s="8" t="str">
        <f t="shared" si="12"/>
        <v>M</v>
      </c>
      <c r="S13" s="151" t="str">
        <f>TEXT('Table '!AE11,"jj mmm aa")</f>
        <v>06 mars 18</v>
      </c>
      <c r="T13" s="12"/>
      <c r="U13" s="12"/>
      <c r="V13" s="12">
        <f t="shared" si="13"/>
        <v>0</v>
      </c>
      <c r="W13" s="13">
        <f t="shared" si="4"/>
        <v>0</v>
      </c>
      <c r="X13" s="14">
        <f t="shared" si="5"/>
        <v>0</v>
      </c>
      <c r="Y13" s="152"/>
      <c r="Z13" s="131" t="str">
        <f t="shared" si="14"/>
        <v>M</v>
      </c>
      <c r="AA13" s="138" t="str">
        <f>TEXT('Table '!AE11,"jj mmm aa")</f>
        <v>06 mars 18</v>
      </c>
      <c r="AB13" s="18"/>
      <c r="AC13" s="18"/>
      <c r="AD13" s="18">
        <f t="shared" si="15"/>
        <v>0</v>
      </c>
      <c r="AE13" s="146">
        <f t="shared" si="6"/>
        <v>0</v>
      </c>
      <c r="AF13" s="20">
        <f t="shared" si="7"/>
        <v>0</v>
      </c>
    </row>
    <row r="14" spans="2:32" s="149" customFormat="1">
      <c r="B14" s="133" t="str">
        <f t="shared" si="8"/>
        <v>M</v>
      </c>
      <c r="C14" s="151" t="str">
        <f>TEXT('Table '!AE12,"jj mmm aa")</f>
        <v>07 mars 18</v>
      </c>
      <c r="D14" s="12"/>
      <c r="E14" s="12"/>
      <c r="F14" s="25">
        <f t="shared" si="9"/>
        <v>0</v>
      </c>
      <c r="G14" s="26">
        <f t="shared" si="0"/>
        <v>0</v>
      </c>
      <c r="H14" s="27">
        <f t="shared" si="1"/>
        <v>0</v>
      </c>
      <c r="I14" s="153"/>
      <c r="J14" s="8" t="str">
        <f t="shared" si="10"/>
        <v>M</v>
      </c>
      <c r="K14" s="151" t="str">
        <f>TEXT('Table '!AE12,"jj mmm aa")</f>
        <v>07 mars 18</v>
      </c>
      <c r="L14" s="25"/>
      <c r="M14" s="25"/>
      <c r="N14" s="25">
        <f t="shared" si="11"/>
        <v>0</v>
      </c>
      <c r="O14" s="26">
        <f t="shared" si="2"/>
        <v>0</v>
      </c>
      <c r="P14" s="27">
        <f t="shared" si="3"/>
        <v>0</v>
      </c>
      <c r="R14" s="8" t="str">
        <f t="shared" si="12"/>
        <v>M</v>
      </c>
      <c r="S14" s="151" t="str">
        <f>TEXT('Table '!AE12,"jj mmm aa")</f>
        <v>07 mars 18</v>
      </c>
      <c r="T14" s="12"/>
      <c r="U14" s="12"/>
      <c r="V14" s="12">
        <f t="shared" si="13"/>
        <v>0</v>
      </c>
      <c r="W14" s="13">
        <f t="shared" si="4"/>
        <v>0</v>
      </c>
      <c r="X14" s="14">
        <f t="shared" si="5"/>
        <v>0</v>
      </c>
      <c r="Y14" s="152"/>
      <c r="Z14" s="131" t="str">
        <f t="shared" si="14"/>
        <v>M</v>
      </c>
      <c r="AA14" s="138" t="str">
        <f>TEXT('Table '!AE12,"jj mmm aa")</f>
        <v>07 mars 18</v>
      </c>
      <c r="AB14" s="18"/>
      <c r="AC14" s="18"/>
      <c r="AD14" s="18">
        <f t="shared" si="15"/>
        <v>0</v>
      </c>
      <c r="AE14" s="146">
        <f t="shared" si="6"/>
        <v>0</v>
      </c>
      <c r="AF14" s="20">
        <f t="shared" si="7"/>
        <v>0</v>
      </c>
    </row>
    <row r="15" spans="2:32" s="149" customFormat="1">
      <c r="B15" s="133" t="str">
        <f t="shared" si="8"/>
        <v>J</v>
      </c>
      <c r="C15" s="151" t="str">
        <f>TEXT('Table '!AE13,"jj mmm aa")</f>
        <v>08 mars 18</v>
      </c>
      <c r="D15" s="12"/>
      <c r="E15" s="12"/>
      <c r="F15" s="25">
        <f t="shared" si="9"/>
        <v>0</v>
      </c>
      <c r="G15" s="26">
        <f t="shared" si="0"/>
        <v>0</v>
      </c>
      <c r="H15" s="27">
        <f t="shared" si="1"/>
        <v>0</v>
      </c>
      <c r="I15" s="153"/>
      <c r="J15" s="8" t="str">
        <f t="shared" si="10"/>
        <v>J</v>
      </c>
      <c r="K15" s="151" t="str">
        <f>TEXT('Table '!AE13,"jj mmm aa")</f>
        <v>08 mars 18</v>
      </c>
      <c r="L15" s="12"/>
      <c r="M15" s="12"/>
      <c r="N15" s="25">
        <f t="shared" si="11"/>
        <v>0</v>
      </c>
      <c r="O15" s="26">
        <f t="shared" si="2"/>
        <v>0</v>
      </c>
      <c r="P15" s="27">
        <f t="shared" si="3"/>
        <v>0</v>
      </c>
      <c r="R15" s="8" t="str">
        <f t="shared" si="12"/>
        <v>J</v>
      </c>
      <c r="S15" s="151" t="str">
        <f>TEXT('Table '!AE13,"jj mmm aa")</f>
        <v>08 mars 18</v>
      </c>
      <c r="T15" s="12"/>
      <c r="U15" s="12"/>
      <c r="V15" s="12">
        <f t="shared" si="13"/>
        <v>0</v>
      </c>
      <c r="W15" s="13">
        <f t="shared" si="4"/>
        <v>0</v>
      </c>
      <c r="X15" s="14">
        <f t="shared" si="5"/>
        <v>0</v>
      </c>
      <c r="Y15" s="152"/>
      <c r="Z15" s="131" t="str">
        <f t="shared" si="14"/>
        <v>J</v>
      </c>
      <c r="AA15" s="138" t="str">
        <f>TEXT('Table '!AE13,"jj mmm aa")</f>
        <v>08 mars 18</v>
      </c>
      <c r="AB15" s="18"/>
      <c r="AC15" s="18"/>
      <c r="AD15" s="18">
        <f t="shared" si="15"/>
        <v>0</v>
      </c>
      <c r="AE15" s="146">
        <f t="shared" si="6"/>
        <v>0</v>
      </c>
      <c r="AF15" s="20">
        <f t="shared" si="7"/>
        <v>0</v>
      </c>
    </row>
    <row r="16" spans="2:32" s="149" customFormat="1">
      <c r="B16" s="133" t="str">
        <f t="shared" si="8"/>
        <v>V</v>
      </c>
      <c r="C16" s="151" t="str">
        <f>TEXT('Table '!AE14,"jj mmm aa")</f>
        <v>09 mars 18</v>
      </c>
      <c r="D16" s="12"/>
      <c r="E16" s="12"/>
      <c r="F16" s="25">
        <f t="shared" si="9"/>
        <v>0</v>
      </c>
      <c r="G16" s="26">
        <f t="shared" si="0"/>
        <v>0</v>
      </c>
      <c r="H16" s="27">
        <f t="shared" si="1"/>
        <v>0</v>
      </c>
      <c r="I16" s="153"/>
      <c r="J16" s="8" t="str">
        <f t="shared" si="10"/>
        <v>V</v>
      </c>
      <c r="K16" s="151" t="str">
        <f>TEXT('Table '!AE14,"jj mmm aa")</f>
        <v>09 mars 18</v>
      </c>
      <c r="L16" s="12"/>
      <c r="M16" s="12"/>
      <c r="N16" s="25">
        <f t="shared" si="11"/>
        <v>0</v>
      </c>
      <c r="O16" s="26">
        <f t="shared" si="2"/>
        <v>0</v>
      </c>
      <c r="P16" s="27">
        <f t="shared" si="3"/>
        <v>0</v>
      </c>
      <c r="R16" s="8" t="str">
        <f t="shared" si="12"/>
        <v>V</v>
      </c>
      <c r="S16" s="151" t="str">
        <f>TEXT('Table '!AE14,"jj mmm aa")</f>
        <v>09 mars 18</v>
      </c>
      <c r="T16" s="12"/>
      <c r="U16" s="12"/>
      <c r="V16" s="12">
        <f t="shared" si="13"/>
        <v>0</v>
      </c>
      <c r="W16" s="13">
        <f t="shared" si="4"/>
        <v>0</v>
      </c>
      <c r="X16" s="14">
        <f t="shared" si="5"/>
        <v>0</v>
      </c>
      <c r="Y16" s="152"/>
      <c r="Z16" s="131" t="str">
        <f t="shared" si="14"/>
        <v>V</v>
      </c>
      <c r="AA16" s="138" t="str">
        <f>TEXT('Table '!AE14,"jj mmm aa")</f>
        <v>09 mars 18</v>
      </c>
      <c r="AB16" s="18"/>
      <c r="AC16" s="18"/>
      <c r="AD16" s="18">
        <f t="shared" si="15"/>
        <v>0</v>
      </c>
      <c r="AE16" s="146">
        <f t="shared" si="6"/>
        <v>0</v>
      </c>
      <c r="AF16" s="20">
        <f t="shared" si="7"/>
        <v>0</v>
      </c>
    </row>
    <row r="17" spans="2:32" s="149" customFormat="1">
      <c r="B17" s="133" t="str">
        <f t="shared" si="8"/>
        <v>S</v>
      </c>
      <c r="C17" s="151" t="str">
        <f>TEXT('Table '!AE15,"jj mmm aa")</f>
        <v>10 mars 18</v>
      </c>
      <c r="D17" s="12"/>
      <c r="E17" s="12"/>
      <c r="F17" s="25">
        <f t="shared" si="9"/>
        <v>0</v>
      </c>
      <c r="G17" s="26">
        <f t="shared" si="0"/>
        <v>0</v>
      </c>
      <c r="H17" s="27">
        <f t="shared" si="1"/>
        <v>0</v>
      </c>
      <c r="I17" s="153"/>
      <c r="J17" s="8" t="str">
        <f t="shared" si="10"/>
        <v>S</v>
      </c>
      <c r="K17" s="151" t="str">
        <f>TEXT('Table '!AE15,"jj mmm aa")</f>
        <v>10 mars 18</v>
      </c>
      <c r="L17" s="12"/>
      <c r="M17" s="12"/>
      <c r="N17" s="25">
        <f>M17-L17</f>
        <v>0</v>
      </c>
      <c r="O17" s="26">
        <f t="shared" si="2"/>
        <v>0</v>
      </c>
      <c r="P17" s="27">
        <f t="shared" si="3"/>
        <v>0</v>
      </c>
      <c r="R17" s="8" t="str">
        <f t="shared" si="12"/>
        <v>S</v>
      </c>
      <c r="S17" s="151" t="str">
        <f>TEXT('Table '!AE15,"jj mmm aa")</f>
        <v>10 mars 18</v>
      </c>
      <c r="T17" s="44"/>
      <c r="U17" s="12"/>
      <c r="V17" s="12">
        <f t="shared" si="13"/>
        <v>0</v>
      </c>
      <c r="W17" s="13">
        <f t="shared" si="4"/>
        <v>0</v>
      </c>
      <c r="X17" s="14">
        <f t="shared" si="5"/>
        <v>0</v>
      </c>
      <c r="Y17" s="152"/>
      <c r="Z17" s="131" t="str">
        <f t="shared" si="14"/>
        <v>S</v>
      </c>
      <c r="AA17" s="138" t="str">
        <f>TEXT('Table '!AE15,"jj mmm aa")</f>
        <v>10 mars 18</v>
      </c>
      <c r="AB17" s="18"/>
      <c r="AC17" s="18"/>
      <c r="AD17" s="18">
        <f t="shared" si="15"/>
        <v>0</v>
      </c>
      <c r="AE17" s="146">
        <f t="shared" si="6"/>
        <v>0</v>
      </c>
      <c r="AF17" s="20">
        <f t="shared" si="7"/>
        <v>0</v>
      </c>
    </row>
    <row r="18" spans="2:32" s="149" customFormat="1">
      <c r="B18" s="133" t="str">
        <f t="shared" si="8"/>
        <v>D</v>
      </c>
      <c r="C18" s="151" t="str">
        <f>TEXT('Table '!AE16,"jj mmm aa")</f>
        <v>11 mars 18</v>
      </c>
      <c r="D18" s="12"/>
      <c r="E18" s="12"/>
      <c r="F18" s="25">
        <f t="shared" si="9"/>
        <v>0</v>
      </c>
      <c r="G18" s="26">
        <f t="shared" si="0"/>
        <v>0</v>
      </c>
      <c r="H18" s="27">
        <f t="shared" si="1"/>
        <v>0</v>
      </c>
      <c r="I18" s="153"/>
      <c r="J18" s="8" t="str">
        <f t="shared" si="10"/>
        <v>D</v>
      </c>
      <c r="K18" s="151" t="str">
        <f>TEXT('Table '!AE16,"jj mmm aa")</f>
        <v>11 mars 18</v>
      </c>
      <c r="L18" s="12"/>
      <c r="M18" s="12"/>
      <c r="N18" s="25">
        <f>M18-L18</f>
        <v>0</v>
      </c>
      <c r="O18" s="26">
        <f t="shared" si="2"/>
        <v>0</v>
      </c>
      <c r="P18" s="27">
        <f t="shared" si="3"/>
        <v>0</v>
      </c>
      <c r="R18" s="8" t="str">
        <f t="shared" si="12"/>
        <v>D</v>
      </c>
      <c r="S18" s="151" t="str">
        <f>TEXT('Table '!AE16,"jj mmm aa")</f>
        <v>11 mars 18</v>
      </c>
      <c r="T18" s="12"/>
      <c r="U18" s="12"/>
      <c r="V18" s="12">
        <f t="shared" si="13"/>
        <v>0</v>
      </c>
      <c r="W18" s="13">
        <f t="shared" si="4"/>
        <v>0</v>
      </c>
      <c r="X18" s="14">
        <f t="shared" si="5"/>
        <v>0</v>
      </c>
      <c r="Y18" s="152"/>
      <c r="Z18" s="131" t="str">
        <f t="shared" si="14"/>
        <v>D</v>
      </c>
      <c r="AA18" s="138" t="str">
        <f>TEXT('Table '!AE16,"jj mmm aa")</f>
        <v>11 mars 18</v>
      </c>
      <c r="AB18" s="18"/>
      <c r="AC18" s="18"/>
      <c r="AD18" s="18">
        <f t="shared" si="15"/>
        <v>0</v>
      </c>
      <c r="AE18" s="146">
        <f t="shared" si="6"/>
        <v>0</v>
      </c>
      <c r="AF18" s="20">
        <f t="shared" si="7"/>
        <v>0</v>
      </c>
    </row>
    <row r="19" spans="2:32" s="149" customFormat="1">
      <c r="B19" s="133" t="str">
        <f t="shared" si="8"/>
        <v>L</v>
      </c>
      <c r="C19" s="151" t="str">
        <f>TEXT('Table '!AE17,"jj mmm aa")</f>
        <v>12 mars 18</v>
      </c>
      <c r="D19" s="25"/>
      <c r="E19" s="25"/>
      <c r="F19" s="25">
        <f t="shared" si="9"/>
        <v>0</v>
      </c>
      <c r="G19" s="26">
        <f t="shared" si="0"/>
        <v>0</v>
      </c>
      <c r="H19" s="27">
        <f t="shared" si="1"/>
        <v>0</v>
      </c>
      <c r="I19" s="153"/>
      <c r="J19" s="8" t="str">
        <f t="shared" si="10"/>
        <v>L</v>
      </c>
      <c r="K19" s="151" t="str">
        <f>TEXT('Table '!AE17,"jj mmm aa")</f>
        <v>12 mars 18</v>
      </c>
      <c r="L19" s="25"/>
      <c r="M19" s="25"/>
      <c r="N19" s="25">
        <f t="shared" si="11"/>
        <v>0</v>
      </c>
      <c r="O19" s="26">
        <f t="shared" si="2"/>
        <v>0</v>
      </c>
      <c r="P19" s="27">
        <f t="shared" si="3"/>
        <v>0</v>
      </c>
      <c r="R19" s="8" t="str">
        <f t="shared" si="12"/>
        <v>L</v>
      </c>
      <c r="S19" s="151" t="str">
        <f>TEXT('Table '!AE17,"jj mmm aa")</f>
        <v>12 mars 18</v>
      </c>
      <c r="T19" s="12"/>
      <c r="U19" s="12"/>
      <c r="V19" s="12">
        <f t="shared" si="13"/>
        <v>0</v>
      </c>
      <c r="W19" s="13">
        <f t="shared" si="4"/>
        <v>0</v>
      </c>
      <c r="X19" s="14">
        <f t="shared" si="5"/>
        <v>0</v>
      </c>
      <c r="Y19" s="152"/>
      <c r="Z19" s="131" t="str">
        <f t="shared" si="14"/>
        <v>L</v>
      </c>
      <c r="AA19" s="138" t="str">
        <f>TEXT('Table '!AE17,"jj mmm aa")</f>
        <v>12 mars 18</v>
      </c>
      <c r="AB19" s="18"/>
      <c r="AC19" s="18"/>
      <c r="AD19" s="18">
        <f t="shared" si="15"/>
        <v>0</v>
      </c>
      <c r="AE19" s="146">
        <f t="shared" si="6"/>
        <v>0</v>
      </c>
      <c r="AF19" s="20">
        <f t="shared" si="7"/>
        <v>0</v>
      </c>
    </row>
    <row r="20" spans="2:32" s="149" customFormat="1">
      <c r="B20" s="133" t="str">
        <f t="shared" si="8"/>
        <v>M</v>
      </c>
      <c r="C20" s="151" t="str">
        <f>TEXT('Table '!AE18,"jj mmm aa")</f>
        <v>13 mars 18</v>
      </c>
      <c r="D20" s="25"/>
      <c r="E20" s="25"/>
      <c r="F20" s="25">
        <f t="shared" si="9"/>
        <v>0</v>
      </c>
      <c r="G20" s="26">
        <f t="shared" si="0"/>
        <v>0</v>
      </c>
      <c r="H20" s="27">
        <f t="shared" si="1"/>
        <v>0</v>
      </c>
      <c r="I20" s="153"/>
      <c r="J20" s="8" t="str">
        <f t="shared" si="10"/>
        <v>M</v>
      </c>
      <c r="K20" s="151" t="str">
        <f>TEXT('Table '!AE18,"jj mmm aa")</f>
        <v>13 mars 18</v>
      </c>
      <c r="L20" s="25"/>
      <c r="M20" s="25"/>
      <c r="N20" s="25">
        <f t="shared" si="11"/>
        <v>0</v>
      </c>
      <c r="O20" s="26">
        <f t="shared" si="2"/>
        <v>0</v>
      </c>
      <c r="P20" s="27">
        <f t="shared" si="3"/>
        <v>0</v>
      </c>
      <c r="R20" s="8" t="str">
        <f t="shared" si="12"/>
        <v>M</v>
      </c>
      <c r="S20" s="151" t="str">
        <f>TEXT('Table '!AE18,"jj mmm aa")</f>
        <v>13 mars 18</v>
      </c>
      <c r="T20" s="12"/>
      <c r="U20" s="12"/>
      <c r="V20" s="12">
        <f t="shared" si="13"/>
        <v>0</v>
      </c>
      <c r="W20" s="13">
        <f t="shared" si="4"/>
        <v>0</v>
      </c>
      <c r="X20" s="14">
        <f t="shared" si="5"/>
        <v>0</v>
      </c>
      <c r="Y20" s="152"/>
      <c r="Z20" s="131" t="str">
        <f t="shared" si="14"/>
        <v>M</v>
      </c>
      <c r="AA20" s="138" t="str">
        <f>TEXT('Table '!AE18,"jj mmm aa")</f>
        <v>13 mars 18</v>
      </c>
      <c r="AB20" s="18"/>
      <c r="AC20" s="18"/>
      <c r="AD20" s="18">
        <f t="shared" si="15"/>
        <v>0</v>
      </c>
      <c r="AE20" s="146">
        <f t="shared" si="6"/>
        <v>0</v>
      </c>
      <c r="AF20" s="20">
        <f t="shared" si="7"/>
        <v>0</v>
      </c>
    </row>
    <row r="21" spans="2:32" s="149" customFormat="1">
      <c r="B21" s="133" t="str">
        <f t="shared" si="8"/>
        <v>M</v>
      </c>
      <c r="C21" s="151" t="str">
        <f>TEXT('Table '!AE19,"jj mmm aa")</f>
        <v>14 mars 18</v>
      </c>
      <c r="D21" s="12"/>
      <c r="E21" s="12"/>
      <c r="F21" s="25">
        <f t="shared" si="9"/>
        <v>0</v>
      </c>
      <c r="G21" s="26">
        <f t="shared" si="0"/>
        <v>0</v>
      </c>
      <c r="H21" s="27">
        <f t="shared" si="1"/>
        <v>0</v>
      </c>
      <c r="I21" s="153"/>
      <c r="J21" s="8" t="str">
        <f t="shared" si="10"/>
        <v>M</v>
      </c>
      <c r="K21" s="151" t="str">
        <f>TEXT('Table '!AE19,"jj mmm aa")</f>
        <v>14 mars 18</v>
      </c>
      <c r="L21" s="25"/>
      <c r="M21" s="25"/>
      <c r="N21" s="25">
        <f t="shared" si="11"/>
        <v>0</v>
      </c>
      <c r="O21" s="26">
        <f t="shared" si="2"/>
        <v>0</v>
      </c>
      <c r="P21" s="27">
        <f t="shared" si="3"/>
        <v>0</v>
      </c>
      <c r="R21" s="8" t="str">
        <f t="shared" si="12"/>
        <v>M</v>
      </c>
      <c r="S21" s="151" t="str">
        <f>TEXT('Table '!AE19,"jj mmm aa")</f>
        <v>14 mars 18</v>
      </c>
      <c r="T21" s="12"/>
      <c r="U21" s="12"/>
      <c r="V21" s="12">
        <f t="shared" si="13"/>
        <v>0</v>
      </c>
      <c r="W21" s="13">
        <f t="shared" si="4"/>
        <v>0</v>
      </c>
      <c r="X21" s="14">
        <f t="shared" si="5"/>
        <v>0</v>
      </c>
      <c r="Y21" s="152"/>
      <c r="Z21" s="131" t="str">
        <f t="shared" si="14"/>
        <v>M</v>
      </c>
      <c r="AA21" s="138" t="str">
        <f>TEXT('Table '!AE19,"jj mmm aa")</f>
        <v>14 mars 18</v>
      </c>
      <c r="AB21" s="18"/>
      <c r="AC21" s="18"/>
      <c r="AD21" s="18">
        <f t="shared" si="15"/>
        <v>0</v>
      </c>
      <c r="AE21" s="146">
        <f t="shared" si="6"/>
        <v>0</v>
      </c>
      <c r="AF21" s="20">
        <f t="shared" si="7"/>
        <v>0</v>
      </c>
    </row>
    <row r="22" spans="2:32" s="149" customFormat="1">
      <c r="B22" s="133" t="str">
        <f t="shared" si="8"/>
        <v>J</v>
      </c>
      <c r="C22" s="151" t="str">
        <f>TEXT('Table '!AE20,"jj mmm aa")</f>
        <v>15 mars 18</v>
      </c>
      <c r="D22" s="12"/>
      <c r="E22" s="12"/>
      <c r="F22" s="25">
        <f t="shared" si="9"/>
        <v>0</v>
      </c>
      <c r="G22" s="26">
        <f t="shared" si="0"/>
        <v>0</v>
      </c>
      <c r="H22" s="27">
        <f t="shared" si="1"/>
        <v>0</v>
      </c>
      <c r="I22" s="153"/>
      <c r="J22" s="8" t="str">
        <f t="shared" si="10"/>
        <v>J</v>
      </c>
      <c r="K22" s="151" t="str">
        <f>TEXT('Table '!AE20,"jj mmm aa")</f>
        <v>15 mars 18</v>
      </c>
      <c r="L22" s="12"/>
      <c r="M22" s="12"/>
      <c r="N22" s="25">
        <f t="shared" si="11"/>
        <v>0</v>
      </c>
      <c r="O22" s="26">
        <f t="shared" si="2"/>
        <v>0</v>
      </c>
      <c r="P22" s="27">
        <f t="shared" si="3"/>
        <v>0</v>
      </c>
      <c r="R22" s="8" t="str">
        <f t="shared" si="12"/>
        <v>J</v>
      </c>
      <c r="S22" s="151" t="str">
        <f>TEXT('Table '!AE20,"jj mmm aa")</f>
        <v>15 mars 18</v>
      </c>
      <c r="T22" s="12"/>
      <c r="U22" s="12"/>
      <c r="V22" s="12">
        <f t="shared" si="13"/>
        <v>0</v>
      </c>
      <c r="W22" s="13">
        <f t="shared" si="4"/>
        <v>0</v>
      </c>
      <c r="X22" s="14">
        <f t="shared" si="5"/>
        <v>0</v>
      </c>
      <c r="Y22" s="152"/>
      <c r="Z22" s="131" t="str">
        <f t="shared" si="14"/>
        <v>J</v>
      </c>
      <c r="AA22" s="138" t="str">
        <f>TEXT('Table '!AE20,"jj mmm aa")</f>
        <v>15 mars 18</v>
      </c>
      <c r="AB22" s="18"/>
      <c r="AC22" s="18"/>
      <c r="AD22" s="18">
        <f t="shared" si="15"/>
        <v>0</v>
      </c>
      <c r="AE22" s="146">
        <f t="shared" si="6"/>
        <v>0</v>
      </c>
      <c r="AF22" s="20">
        <f t="shared" si="7"/>
        <v>0</v>
      </c>
    </row>
    <row r="23" spans="2:32" s="149" customFormat="1">
      <c r="B23" s="133" t="str">
        <f t="shared" si="8"/>
        <v>V</v>
      </c>
      <c r="C23" s="151" t="str">
        <f>TEXT('Table '!AE21,"jj mmm aa")</f>
        <v>16 mars 18</v>
      </c>
      <c r="D23" s="12"/>
      <c r="E23" s="12"/>
      <c r="F23" s="25">
        <f t="shared" si="9"/>
        <v>0</v>
      </c>
      <c r="G23" s="26">
        <f t="shared" si="0"/>
        <v>0</v>
      </c>
      <c r="H23" s="27">
        <f t="shared" si="1"/>
        <v>0</v>
      </c>
      <c r="I23" s="153"/>
      <c r="J23" s="8" t="str">
        <f t="shared" si="10"/>
        <v>V</v>
      </c>
      <c r="K23" s="151" t="str">
        <f>TEXT('Table '!AE21,"jj mmm aa")</f>
        <v>16 mars 18</v>
      </c>
      <c r="L23" s="12"/>
      <c r="M23" s="12"/>
      <c r="N23" s="25">
        <f t="shared" si="11"/>
        <v>0</v>
      </c>
      <c r="O23" s="26">
        <f t="shared" si="2"/>
        <v>0</v>
      </c>
      <c r="P23" s="27">
        <f t="shared" si="3"/>
        <v>0</v>
      </c>
      <c r="R23" s="8" t="str">
        <f t="shared" si="12"/>
        <v>V</v>
      </c>
      <c r="S23" s="151" t="str">
        <f>TEXT('Table '!AE21,"jj mmm aa")</f>
        <v>16 mars 18</v>
      </c>
      <c r="T23" s="12"/>
      <c r="U23" s="12"/>
      <c r="V23" s="12">
        <f t="shared" si="13"/>
        <v>0</v>
      </c>
      <c r="W23" s="13">
        <f t="shared" si="4"/>
        <v>0</v>
      </c>
      <c r="X23" s="14">
        <f t="shared" si="5"/>
        <v>0</v>
      </c>
      <c r="Y23" s="152"/>
      <c r="Z23" s="131" t="str">
        <f t="shared" si="14"/>
        <v>V</v>
      </c>
      <c r="AA23" s="138" t="str">
        <f>TEXT('Table '!AE21,"jj mmm aa")</f>
        <v>16 mars 18</v>
      </c>
      <c r="AB23" s="18"/>
      <c r="AC23" s="18"/>
      <c r="AD23" s="18">
        <f t="shared" si="15"/>
        <v>0</v>
      </c>
      <c r="AE23" s="146">
        <f t="shared" si="6"/>
        <v>0</v>
      </c>
      <c r="AF23" s="20">
        <f t="shared" si="7"/>
        <v>0</v>
      </c>
    </row>
    <row r="24" spans="2:32" s="149" customFormat="1">
      <c r="B24" s="133" t="str">
        <f t="shared" si="8"/>
        <v>S</v>
      </c>
      <c r="C24" s="151" t="str">
        <f>TEXT('Table '!AE22,"jj mmm aa")</f>
        <v>17 mars 18</v>
      </c>
      <c r="D24" s="12"/>
      <c r="E24" s="12"/>
      <c r="F24" s="25">
        <f t="shared" si="9"/>
        <v>0</v>
      </c>
      <c r="G24" s="26">
        <f t="shared" si="0"/>
        <v>0</v>
      </c>
      <c r="H24" s="27">
        <f t="shared" si="1"/>
        <v>0</v>
      </c>
      <c r="I24" s="153"/>
      <c r="J24" s="8" t="str">
        <f t="shared" si="10"/>
        <v>S</v>
      </c>
      <c r="K24" s="151" t="str">
        <f>TEXT('Table '!AE22,"jj mmm aa")</f>
        <v>17 mars 18</v>
      </c>
      <c r="L24" s="12"/>
      <c r="M24" s="12"/>
      <c r="N24" s="25">
        <f t="shared" si="11"/>
        <v>0</v>
      </c>
      <c r="O24" s="26">
        <f t="shared" si="2"/>
        <v>0</v>
      </c>
      <c r="P24" s="27">
        <f t="shared" si="3"/>
        <v>0</v>
      </c>
      <c r="R24" s="8" t="str">
        <f t="shared" si="12"/>
        <v>S</v>
      </c>
      <c r="S24" s="151" t="str">
        <f>TEXT('Table '!AE22,"jj mmm aa")</f>
        <v>17 mars 18</v>
      </c>
      <c r="T24" s="12"/>
      <c r="U24" s="12"/>
      <c r="V24" s="12">
        <f t="shared" si="13"/>
        <v>0</v>
      </c>
      <c r="W24" s="13">
        <f t="shared" si="4"/>
        <v>0</v>
      </c>
      <c r="X24" s="14">
        <f t="shared" si="5"/>
        <v>0</v>
      </c>
      <c r="Y24" s="152"/>
      <c r="Z24" s="131" t="str">
        <f t="shared" si="14"/>
        <v>S</v>
      </c>
      <c r="AA24" s="138" t="str">
        <f>TEXT('Table '!AE22,"jj mmm aa")</f>
        <v>17 mars 18</v>
      </c>
      <c r="AB24" s="18"/>
      <c r="AC24" s="18"/>
      <c r="AD24" s="18">
        <f t="shared" si="15"/>
        <v>0</v>
      </c>
      <c r="AE24" s="146">
        <f t="shared" si="6"/>
        <v>0</v>
      </c>
      <c r="AF24" s="20">
        <f t="shared" si="7"/>
        <v>0</v>
      </c>
    </row>
    <row r="25" spans="2:32" s="149" customFormat="1">
      <c r="B25" s="133" t="str">
        <f t="shared" si="8"/>
        <v>D</v>
      </c>
      <c r="C25" s="151" t="str">
        <f>TEXT('Table '!AE23,"jj mmm aa")</f>
        <v>18 mars 18</v>
      </c>
      <c r="D25" s="12"/>
      <c r="E25" s="12"/>
      <c r="F25" s="25">
        <f t="shared" si="9"/>
        <v>0</v>
      </c>
      <c r="G25" s="26">
        <f t="shared" si="0"/>
        <v>0</v>
      </c>
      <c r="H25" s="27">
        <f t="shared" si="1"/>
        <v>0</v>
      </c>
      <c r="I25" s="153"/>
      <c r="J25" s="8" t="str">
        <f t="shared" si="10"/>
        <v>D</v>
      </c>
      <c r="K25" s="151" t="str">
        <f>TEXT('Table '!AE23,"jj mmm aa")</f>
        <v>18 mars 18</v>
      </c>
      <c r="L25" s="12"/>
      <c r="M25" s="12"/>
      <c r="N25" s="25">
        <f t="shared" si="11"/>
        <v>0</v>
      </c>
      <c r="O25" s="26">
        <f t="shared" si="2"/>
        <v>0</v>
      </c>
      <c r="P25" s="27">
        <f t="shared" si="3"/>
        <v>0</v>
      </c>
      <c r="R25" s="8" t="str">
        <f t="shared" si="12"/>
        <v>D</v>
      </c>
      <c r="S25" s="151" t="str">
        <f>TEXT('Table '!AE23,"jj mmm aa")</f>
        <v>18 mars 18</v>
      </c>
      <c r="T25" s="12"/>
      <c r="U25" s="12"/>
      <c r="V25" s="12">
        <f t="shared" si="13"/>
        <v>0</v>
      </c>
      <c r="W25" s="13">
        <f t="shared" si="4"/>
        <v>0</v>
      </c>
      <c r="X25" s="14">
        <f t="shared" si="5"/>
        <v>0</v>
      </c>
      <c r="Y25" s="152"/>
      <c r="Z25" s="131" t="str">
        <f t="shared" si="14"/>
        <v>D</v>
      </c>
      <c r="AA25" s="138" t="str">
        <f>TEXT('Table '!AE23,"jj mmm aa")</f>
        <v>18 mars 18</v>
      </c>
      <c r="AB25" s="18"/>
      <c r="AC25" s="18"/>
      <c r="AD25" s="18">
        <f t="shared" si="15"/>
        <v>0</v>
      </c>
      <c r="AE25" s="146">
        <f t="shared" si="6"/>
        <v>0</v>
      </c>
      <c r="AF25" s="20">
        <f t="shared" si="7"/>
        <v>0</v>
      </c>
    </row>
    <row r="26" spans="2:32" s="149" customFormat="1">
      <c r="B26" s="133" t="str">
        <f t="shared" si="8"/>
        <v>L</v>
      </c>
      <c r="C26" s="151" t="str">
        <f>TEXT('Table '!AE24,"jj mmm aa")</f>
        <v>19 mars 18</v>
      </c>
      <c r="D26" s="25"/>
      <c r="E26" s="25"/>
      <c r="F26" s="25">
        <f t="shared" si="9"/>
        <v>0</v>
      </c>
      <c r="G26" s="26">
        <f t="shared" si="0"/>
        <v>0</v>
      </c>
      <c r="H26" s="27">
        <f t="shared" si="1"/>
        <v>0</v>
      </c>
      <c r="I26" s="153"/>
      <c r="J26" s="8" t="str">
        <f t="shared" si="10"/>
        <v>L</v>
      </c>
      <c r="K26" s="151" t="str">
        <f>TEXT('Table '!AE24,"jj mmm aa")</f>
        <v>19 mars 18</v>
      </c>
      <c r="L26" s="25"/>
      <c r="M26" s="25"/>
      <c r="N26" s="25">
        <f t="shared" si="11"/>
        <v>0</v>
      </c>
      <c r="O26" s="26">
        <f t="shared" si="2"/>
        <v>0</v>
      </c>
      <c r="P26" s="27">
        <f t="shared" si="3"/>
        <v>0</v>
      </c>
      <c r="R26" s="8" t="str">
        <f t="shared" si="12"/>
        <v>L</v>
      </c>
      <c r="S26" s="151" t="str">
        <f>TEXT('Table '!AE24,"jj mmm aa")</f>
        <v>19 mars 18</v>
      </c>
      <c r="T26" s="12"/>
      <c r="U26" s="12"/>
      <c r="V26" s="12">
        <f t="shared" si="13"/>
        <v>0</v>
      </c>
      <c r="W26" s="13">
        <f t="shared" si="4"/>
        <v>0</v>
      </c>
      <c r="X26" s="14">
        <f t="shared" si="5"/>
        <v>0</v>
      </c>
      <c r="Y26" s="152"/>
      <c r="Z26" s="131" t="str">
        <f t="shared" si="14"/>
        <v>L</v>
      </c>
      <c r="AA26" s="138" t="str">
        <f>TEXT('Table '!AE24,"jj mmm aa")</f>
        <v>19 mars 18</v>
      </c>
      <c r="AB26" s="18"/>
      <c r="AC26" s="18"/>
      <c r="AD26" s="18">
        <f t="shared" si="15"/>
        <v>0</v>
      </c>
      <c r="AE26" s="146">
        <f t="shared" si="6"/>
        <v>0</v>
      </c>
      <c r="AF26" s="20">
        <f t="shared" si="7"/>
        <v>0</v>
      </c>
    </row>
    <row r="27" spans="2:32" s="149" customFormat="1">
      <c r="B27" s="133" t="str">
        <f t="shared" si="8"/>
        <v>M</v>
      </c>
      <c r="C27" s="151" t="str">
        <f>TEXT('Table '!AE25,"jj mmm aa")</f>
        <v>20 mars 18</v>
      </c>
      <c r="D27" s="25"/>
      <c r="E27" s="25"/>
      <c r="F27" s="25">
        <f t="shared" si="9"/>
        <v>0</v>
      </c>
      <c r="G27" s="26">
        <f t="shared" si="0"/>
        <v>0</v>
      </c>
      <c r="H27" s="27">
        <f t="shared" si="1"/>
        <v>0</v>
      </c>
      <c r="I27" s="153"/>
      <c r="J27" s="8" t="str">
        <f t="shared" si="10"/>
        <v>M</v>
      </c>
      <c r="K27" s="151" t="str">
        <f>TEXT('Table '!AE25,"jj mmm aa")</f>
        <v>20 mars 18</v>
      </c>
      <c r="L27" s="25"/>
      <c r="M27" s="25"/>
      <c r="N27" s="25">
        <f t="shared" si="11"/>
        <v>0</v>
      </c>
      <c r="O27" s="26">
        <f t="shared" si="2"/>
        <v>0</v>
      </c>
      <c r="P27" s="27">
        <f t="shared" si="3"/>
        <v>0</v>
      </c>
      <c r="R27" s="8" t="str">
        <f t="shared" si="12"/>
        <v>M</v>
      </c>
      <c r="S27" s="151" t="str">
        <f>TEXT('Table '!AE25,"jj mmm aa")</f>
        <v>20 mars 18</v>
      </c>
      <c r="T27" s="12"/>
      <c r="U27" s="12"/>
      <c r="V27" s="12">
        <f t="shared" si="13"/>
        <v>0</v>
      </c>
      <c r="W27" s="13">
        <f t="shared" si="4"/>
        <v>0</v>
      </c>
      <c r="X27" s="14">
        <f t="shared" si="5"/>
        <v>0</v>
      </c>
      <c r="Y27" s="152"/>
      <c r="Z27" s="131" t="str">
        <f t="shared" si="14"/>
        <v>M</v>
      </c>
      <c r="AA27" s="138" t="str">
        <f>TEXT('Table '!AE25,"jj mmm aa")</f>
        <v>20 mars 18</v>
      </c>
      <c r="AB27" s="18"/>
      <c r="AC27" s="18"/>
      <c r="AD27" s="18">
        <f t="shared" si="15"/>
        <v>0</v>
      </c>
      <c r="AE27" s="146">
        <f t="shared" si="6"/>
        <v>0</v>
      </c>
      <c r="AF27" s="20">
        <f t="shared" si="7"/>
        <v>0</v>
      </c>
    </row>
    <row r="28" spans="2:32" s="149" customFormat="1">
      <c r="B28" s="133" t="str">
        <f t="shared" si="8"/>
        <v>M</v>
      </c>
      <c r="C28" s="151" t="str">
        <f>TEXT('Table '!AE26,"jj mmm aa")</f>
        <v>21 mars 18</v>
      </c>
      <c r="D28" s="12"/>
      <c r="E28" s="12"/>
      <c r="F28" s="25">
        <f t="shared" si="9"/>
        <v>0</v>
      </c>
      <c r="G28" s="26">
        <f t="shared" si="0"/>
        <v>0</v>
      </c>
      <c r="H28" s="27">
        <f t="shared" si="1"/>
        <v>0</v>
      </c>
      <c r="I28" s="153"/>
      <c r="J28" s="8" t="str">
        <f t="shared" si="10"/>
        <v>M</v>
      </c>
      <c r="K28" s="151" t="str">
        <f>TEXT('Table '!AE26,"jj mmm aa")</f>
        <v>21 mars 18</v>
      </c>
      <c r="L28" s="25"/>
      <c r="M28" s="25"/>
      <c r="N28" s="25">
        <f t="shared" si="11"/>
        <v>0</v>
      </c>
      <c r="O28" s="26">
        <f t="shared" si="2"/>
        <v>0</v>
      </c>
      <c r="P28" s="27">
        <f t="shared" si="3"/>
        <v>0</v>
      </c>
      <c r="R28" s="8" t="str">
        <f t="shared" si="12"/>
        <v>M</v>
      </c>
      <c r="S28" s="151" t="str">
        <f>TEXT('Table '!AE26,"jj mmm aa")</f>
        <v>21 mars 18</v>
      </c>
      <c r="T28" s="12"/>
      <c r="U28" s="12"/>
      <c r="V28" s="12">
        <f t="shared" si="13"/>
        <v>0</v>
      </c>
      <c r="W28" s="13">
        <f t="shared" si="4"/>
        <v>0</v>
      </c>
      <c r="X28" s="14">
        <f t="shared" si="5"/>
        <v>0</v>
      </c>
      <c r="Y28" s="152"/>
      <c r="Z28" s="131" t="str">
        <f t="shared" si="14"/>
        <v>M</v>
      </c>
      <c r="AA28" s="138" t="str">
        <f>TEXT('Table '!AE26,"jj mmm aa")</f>
        <v>21 mars 18</v>
      </c>
      <c r="AB28" s="18"/>
      <c r="AC28" s="18"/>
      <c r="AD28" s="18">
        <f t="shared" si="15"/>
        <v>0</v>
      </c>
      <c r="AE28" s="146">
        <f t="shared" si="6"/>
        <v>0</v>
      </c>
      <c r="AF28" s="20">
        <f t="shared" si="7"/>
        <v>0</v>
      </c>
    </row>
    <row r="29" spans="2:32" s="149" customFormat="1">
      <c r="B29" s="133" t="str">
        <f t="shared" si="8"/>
        <v>J</v>
      </c>
      <c r="C29" s="151" t="str">
        <f>TEXT('Table '!AE27,"jj mmm aa")</f>
        <v>22 mars 18</v>
      </c>
      <c r="D29" s="12"/>
      <c r="E29" s="12"/>
      <c r="F29" s="25">
        <f t="shared" si="9"/>
        <v>0</v>
      </c>
      <c r="G29" s="26">
        <f t="shared" si="0"/>
        <v>0</v>
      </c>
      <c r="H29" s="27">
        <f t="shared" si="1"/>
        <v>0</v>
      </c>
      <c r="I29" s="153"/>
      <c r="J29" s="8" t="str">
        <f t="shared" si="10"/>
        <v>J</v>
      </c>
      <c r="K29" s="151" t="str">
        <f>TEXT('Table '!AE27,"jj mmm aa")</f>
        <v>22 mars 18</v>
      </c>
      <c r="L29" s="12"/>
      <c r="M29" s="12"/>
      <c r="N29" s="25">
        <f t="shared" si="11"/>
        <v>0</v>
      </c>
      <c r="O29" s="26">
        <f t="shared" si="2"/>
        <v>0</v>
      </c>
      <c r="P29" s="27">
        <f t="shared" si="3"/>
        <v>0</v>
      </c>
      <c r="R29" s="8" t="str">
        <f t="shared" si="12"/>
        <v>J</v>
      </c>
      <c r="S29" s="151" t="str">
        <f>TEXT('Table '!AE27,"jj mmm aa")</f>
        <v>22 mars 18</v>
      </c>
      <c r="T29" s="12"/>
      <c r="U29" s="12"/>
      <c r="V29" s="12">
        <f t="shared" si="13"/>
        <v>0</v>
      </c>
      <c r="W29" s="13">
        <f t="shared" si="4"/>
        <v>0</v>
      </c>
      <c r="X29" s="14">
        <f t="shared" si="5"/>
        <v>0</v>
      </c>
      <c r="Y29" s="152"/>
      <c r="Z29" s="131" t="str">
        <f t="shared" si="14"/>
        <v>J</v>
      </c>
      <c r="AA29" s="138" t="str">
        <f>TEXT('Table '!AE27,"jj mmm aa")</f>
        <v>22 mars 18</v>
      </c>
      <c r="AB29" s="18"/>
      <c r="AC29" s="18"/>
      <c r="AD29" s="18">
        <f t="shared" si="15"/>
        <v>0</v>
      </c>
      <c r="AE29" s="146">
        <f t="shared" si="6"/>
        <v>0</v>
      </c>
      <c r="AF29" s="20">
        <f t="shared" si="7"/>
        <v>0</v>
      </c>
    </row>
    <row r="30" spans="2:32" s="149" customFormat="1">
      <c r="B30" s="133" t="str">
        <f t="shared" si="8"/>
        <v>V</v>
      </c>
      <c r="C30" s="151" t="str">
        <f>TEXT('Table '!AE28,"jj mmm aa")</f>
        <v>23 mars 18</v>
      </c>
      <c r="D30" s="12"/>
      <c r="E30" s="12"/>
      <c r="F30" s="25">
        <f t="shared" si="9"/>
        <v>0</v>
      </c>
      <c r="G30" s="26">
        <f t="shared" si="0"/>
        <v>0</v>
      </c>
      <c r="H30" s="27">
        <f t="shared" si="1"/>
        <v>0</v>
      </c>
      <c r="I30" s="153"/>
      <c r="J30" s="8" t="str">
        <f t="shared" si="10"/>
        <v>V</v>
      </c>
      <c r="K30" s="151" t="str">
        <f>TEXT('Table '!AE28,"jj mmm aa")</f>
        <v>23 mars 18</v>
      </c>
      <c r="L30" s="12"/>
      <c r="M30" s="12"/>
      <c r="N30" s="25">
        <f t="shared" si="11"/>
        <v>0</v>
      </c>
      <c r="O30" s="26">
        <f t="shared" si="2"/>
        <v>0</v>
      </c>
      <c r="P30" s="27">
        <f t="shared" si="3"/>
        <v>0</v>
      </c>
      <c r="R30" s="8" t="str">
        <f t="shared" si="12"/>
        <v>V</v>
      </c>
      <c r="S30" s="151" t="str">
        <f>TEXT('Table '!AE28,"jj mmm aa")</f>
        <v>23 mars 18</v>
      </c>
      <c r="T30" s="12"/>
      <c r="U30" s="12"/>
      <c r="V30" s="12">
        <f t="shared" si="13"/>
        <v>0</v>
      </c>
      <c r="W30" s="13">
        <f t="shared" si="4"/>
        <v>0</v>
      </c>
      <c r="X30" s="14">
        <f t="shared" si="5"/>
        <v>0</v>
      </c>
      <c r="Y30" s="152"/>
      <c r="Z30" s="131" t="str">
        <f t="shared" si="14"/>
        <v>V</v>
      </c>
      <c r="AA30" s="138" t="str">
        <f>TEXT('Table '!AE28,"jj mmm aa")</f>
        <v>23 mars 18</v>
      </c>
      <c r="AB30" s="18"/>
      <c r="AC30" s="18"/>
      <c r="AD30" s="18">
        <f t="shared" si="15"/>
        <v>0</v>
      </c>
      <c r="AE30" s="146">
        <f t="shared" si="6"/>
        <v>0</v>
      </c>
      <c r="AF30" s="20">
        <f t="shared" si="7"/>
        <v>0</v>
      </c>
    </row>
    <row r="31" spans="2:32" s="149" customFormat="1">
      <c r="B31" s="133" t="str">
        <f t="shared" si="8"/>
        <v>S</v>
      </c>
      <c r="C31" s="151" t="str">
        <f>TEXT('Table '!AE29,"jj mmm aa")</f>
        <v>24 mars 18</v>
      </c>
      <c r="D31" s="12"/>
      <c r="E31" s="12"/>
      <c r="F31" s="25">
        <f t="shared" si="9"/>
        <v>0</v>
      </c>
      <c r="G31" s="26">
        <f t="shared" si="0"/>
        <v>0</v>
      </c>
      <c r="H31" s="27">
        <f t="shared" si="1"/>
        <v>0</v>
      </c>
      <c r="I31" s="153"/>
      <c r="J31" s="8" t="str">
        <f t="shared" si="10"/>
        <v>S</v>
      </c>
      <c r="K31" s="151" t="str">
        <f>TEXT('Table '!AE29,"jj mmm aa")</f>
        <v>24 mars 18</v>
      </c>
      <c r="L31" s="12"/>
      <c r="M31" s="12"/>
      <c r="N31" s="25">
        <f t="shared" si="11"/>
        <v>0</v>
      </c>
      <c r="O31" s="26">
        <f t="shared" si="2"/>
        <v>0</v>
      </c>
      <c r="P31" s="27">
        <f t="shared" si="3"/>
        <v>0</v>
      </c>
      <c r="R31" s="8" t="str">
        <f t="shared" si="12"/>
        <v>S</v>
      </c>
      <c r="S31" s="151" t="str">
        <f>TEXT('Table '!AE29,"jj mmm aa")</f>
        <v>24 mars 18</v>
      </c>
      <c r="T31" s="12"/>
      <c r="U31" s="12"/>
      <c r="V31" s="12">
        <f t="shared" si="13"/>
        <v>0</v>
      </c>
      <c r="W31" s="13">
        <f t="shared" si="4"/>
        <v>0</v>
      </c>
      <c r="X31" s="14">
        <f t="shared" si="5"/>
        <v>0</v>
      </c>
      <c r="Y31" s="152"/>
      <c r="Z31" s="131" t="str">
        <f t="shared" si="14"/>
        <v>S</v>
      </c>
      <c r="AA31" s="138" t="str">
        <f>TEXT('Table '!AE29,"jj mmm aa")</f>
        <v>24 mars 18</v>
      </c>
      <c r="AB31" s="18"/>
      <c r="AC31" s="18"/>
      <c r="AD31" s="18">
        <f t="shared" si="15"/>
        <v>0</v>
      </c>
      <c r="AE31" s="146">
        <f t="shared" si="6"/>
        <v>0</v>
      </c>
      <c r="AF31" s="20">
        <f t="shared" si="7"/>
        <v>0</v>
      </c>
    </row>
    <row r="32" spans="2:32" s="149" customFormat="1">
      <c r="B32" s="133" t="str">
        <f t="shared" si="8"/>
        <v>D</v>
      </c>
      <c r="C32" s="151" t="str">
        <f>TEXT('Table '!AE30,"jj mmm aa")</f>
        <v>25 mars 18</v>
      </c>
      <c r="D32" s="12"/>
      <c r="E32" s="12"/>
      <c r="F32" s="25">
        <f t="shared" si="9"/>
        <v>0</v>
      </c>
      <c r="G32" s="26">
        <f t="shared" si="0"/>
        <v>0</v>
      </c>
      <c r="H32" s="27">
        <f t="shared" si="1"/>
        <v>0</v>
      </c>
      <c r="I32" s="153"/>
      <c r="J32" s="8" t="str">
        <f t="shared" si="10"/>
        <v>D</v>
      </c>
      <c r="K32" s="151" t="str">
        <f>TEXT('Table '!AE30,"jj mmm aa")</f>
        <v>25 mars 18</v>
      </c>
      <c r="L32" s="12"/>
      <c r="M32" s="12"/>
      <c r="N32" s="25">
        <f t="shared" si="11"/>
        <v>0</v>
      </c>
      <c r="O32" s="26">
        <f t="shared" si="2"/>
        <v>0</v>
      </c>
      <c r="P32" s="27">
        <f t="shared" si="3"/>
        <v>0</v>
      </c>
      <c r="R32" s="8" t="str">
        <f t="shared" si="12"/>
        <v>D</v>
      </c>
      <c r="S32" s="151" t="str">
        <f>TEXT('Table '!AE30,"jj mmm aa")</f>
        <v>25 mars 18</v>
      </c>
      <c r="T32" s="12"/>
      <c r="U32" s="12"/>
      <c r="V32" s="12">
        <f t="shared" si="13"/>
        <v>0</v>
      </c>
      <c r="W32" s="13">
        <f t="shared" si="4"/>
        <v>0</v>
      </c>
      <c r="X32" s="14">
        <f t="shared" si="5"/>
        <v>0</v>
      </c>
      <c r="Y32" s="152"/>
      <c r="Z32" s="131" t="str">
        <f t="shared" si="14"/>
        <v>D</v>
      </c>
      <c r="AA32" s="138" t="str">
        <f>TEXT('Table '!AE30,"jj mmm aa")</f>
        <v>25 mars 18</v>
      </c>
      <c r="AB32" s="18"/>
      <c r="AC32" s="18"/>
      <c r="AD32" s="18">
        <f t="shared" si="15"/>
        <v>0</v>
      </c>
      <c r="AE32" s="146">
        <f t="shared" si="6"/>
        <v>0</v>
      </c>
      <c r="AF32" s="20">
        <f t="shared" si="7"/>
        <v>0</v>
      </c>
    </row>
    <row r="33" spans="2:32" s="149" customFormat="1">
      <c r="B33" s="133" t="str">
        <f t="shared" si="8"/>
        <v>L</v>
      </c>
      <c r="C33" s="151" t="str">
        <f>TEXT('Table '!AE31,"jj mmm aa")</f>
        <v>26 mars 18</v>
      </c>
      <c r="D33" s="25"/>
      <c r="E33" s="25"/>
      <c r="F33" s="25">
        <f t="shared" si="9"/>
        <v>0</v>
      </c>
      <c r="G33" s="26">
        <f t="shared" si="0"/>
        <v>0</v>
      </c>
      <c r="H33" s="27">
        <f t="shared" si="1"/>
        <v>0</v>
      </c>
      <c r="I33" s="153"/>
      <c r="J33" s="8" t="str">
        <f t="shared" si="10"/>
        <v>L</v>
      </c>
      <c r="K33" s="151" t="str">
        <f>TEXT('Table '!AE31,"jj mmm aa")</f>
        <v>26 mars 18</v>
      </c>
      <c r="L33" s="25"/>
      <c r="M33" s="25"/>
      <c r="N33" s="25">
        <f t="shared" si="11"/>
        <v>0</v>
      </c>
      <c r="O33" s="26">
        <f t="shared" si="2"/>
        <v>0</v>
      </c>
      <c r="P33" s="27">
        <f t="shared" si="3"/>
        <v>0</v>
      </c>
      <c r="R33" s="8" t="str">
        <f t="shared" si="12"/>
        <v>L</v>
      </c>
      <c r="S33" s="151" t="str">
        <f>TEXT('Table '!AE31,"jj mmm aa")</f>
        <v>26 mars 18</v>
      </c>
      <c r="T33" s="12"/>
      <c r="U33" s="12"/>
      <c r="V33" s="12">
        <f t="shared" si="13"/>
        <v>0</v>
      </c>
      <c r="W33" s="13">
        <f t="shared" si="4"/>
        <v>0</v>
      </c>
      <c r="X33" s="14">
        <f t="shared" si="5"/>
        <v>0</v>
      </c>
      <c r="Y33" s="152"/>
      <c r="Z33" s="131" t="str">
        <f t="shared" si="14"/>
        <v>L</v>
      </c>
      <c r="AA33" s="138" t="str">
        <f>TEXT('Table '!AE31,"jj mmm aa")</f>
        <v>26 mars 18</v>
      </c>
      <c r="AB33" s="18"/>
      <c r="AC33" s="18"/>
      <c r="AD33" s="18">
        <f t="shared" si="15"/>
        <v>0</v>
      </c>
      <c r="AE33" s="146">
        <f t="shared" si="6"/>
        <v>0</v>
      </c>
      <c r="AF33" s="20">
        <f t="shared" si="7"/>
        <v>0</v>
      </c>
    </row>
    <row r="34" spans="2:32" s="149" customFormat="1">
      <c r="B34" s="133" t="str">
        <f t="shared" si="8"/>
        <v>M</v>
      </c>
      <c r="C34" s="151" t="str">
        <f>TEXT('Table '!AE32,"jj mmm aa")</f>
        <v>27 mars 18</v>
      </c>
      <c r="D34" s="25"/>
      <c r="E34" s="25"/>
      <c r="F34" s="25">
        <f t="shared" si="9"/>
        <v>0</v>
      </c>
      <c r="G34" s="26">
        <f t="shared" si="0"/>
        <v>0</v>
      </c>
      <c r="H34" s="27">
        <f t="shared" si="1"/>
        <v>0</v>
      </c>
      <c r="I34" s="153"/>
      <c r="J34" s="8" t="str">
        <f t="shared" si="10"/>
        <v>M</v>
      </c>
      <c r="K34" s="151" t="str">
        <f>TEXT('Table '!AE32,"jj mmm aa")</f>
        <v>27 mars 18</v>
      </c>
      <c r="L34" s="25"/>
      <c r="M34" s="25"/>
      <c r="N34" s="25">
        <f t="shared" si="11"/>
        <v>0</v>
      </c>
      <c r="O34" s="26">
        <f t="shared" si="2"/>
        <v>0</v>
      </c>
      <c r="P34" s="27">
        <f t="shared" si="3"/>
        <v>0</v>
      </c>
      <c r="R34" s="8" t="str">
        <f t="shared" si="12"/>
        <v>M</v>
      </c>
      <c r="S34" s="151" t="str">
        <f>TEXT('Table '!AE32,"jj mmm aa")</f>
        <v>27 mars 18</v>
      </c>
      <c r="T34" s="12"/>
      <c r="U34" s="12"/>
      <c r="V34" s="12">
        <f t="shared" si="13"/>
        <v>0</v>
      </c>
      <c r="W34" s="13">
        <f t="shared" si="4"/>
        <v>0</v>
      </c>
      <c r="X34" s="14">
        <f t="shared" si="5"/>
        <v>0</v>
      </c>
      <c r="Y34" s="152"/>
      <c r="Z34" s="131" t="str">
        <f t="shared" si="14"/>
        <v>M</v>
      </c>
      <c r="AA34" s="138" t="str">
        <f>TEXT('Table '!AE32,"jj mmm aa")</f>
        <v>27 mars 18</v>
      </c>
      <c r="AB34" s="18"/>
      <c r="AC34" s="18"/>
      <c r="AD34" s="18">
        <f t="shared" si="15"/>
        <v>0</v>
      </c>
      <c r="AE34" s="146">
        <f t="shared" si="6"/>
        <v>0</v>
      </c>
      <c r="AF34" s="20">
        <f t="shared" si="7"/>
        <v>0</v>
      </c>
    </row>
    <row r="35" spans="2:32" s="149" customFormat="1">
      <c r="B35" s="133" t="str">
        <f t="shared" si="8"/>
        <v>M</v>
      </c>
      <c r="C35" s="151" t="str">
        <f>TEXT('Table '!AE33,"jj mmm aa")</f>
        <v>28 mars 18</v>
      </c>
      <c r="D35" s="25"/>
      <c r="E35" s="25"/>
      <c r="F35" s="25">
        <f t="shared" si="9"/>
        <v>0</v>
      </c>
      <c r="G35" s="26">
        <f t="shared" si="0"/>
        <v>0</v>
      </c>
      <c r="H35" s="27">
        <f t="shared" si="1"/>
        <v>0</v>
      </c>
      <c r="I35" s="153"/>
      <c r="J35" s="8" t="str">
        <f t="shared" si="10"/>
        <v>M</v>
      </c>
      <c r="K35" s="151" t="str">
        <f>TEXT('Table '!AE33,"jj mmm aa")</f>
        <v>28 mars 18</v>
      </c>
      <c r="L35" s="25"/>
      <c r="M35" s="25"/>
      <c r="N35" s="25">
        <f t="shared" si="11"/>
        <v>0</v>
      </c>
      <c r="O35" s="26">
        <f t="shared" si="2"/>
        <v>0</v>
      </c>
      <c r="P35" s="27">
        <f t="shared" si="3"/>
        <v>0</v>
      </c>
      <c r="R35" s="8" t="str">
        <f t="shared" si="12"/>
        <v>M</v>
      </c>
      <c r="S35" s="151" t="str">
        <f>TEXT('Table '!AE33,"jj mmm aa")</f>
        <v>28 mars 18</v>
      </c>
      <c r="T35" s="12"/>
      <c r="U35" s="46"/>
      <c r="V35" s="12">
        <f t="shared" si="13"/>
        <v>0</v>
      </c>
      <c r="W35" s="13">
        <f t="shared" si="4"/>
        <v>0</v>
      </c>
      <c r="X35" s="14">
        <f t="shared" si="5"/>
        <v>0</v>
      </c>
      <c r="Y35" s="152"/>
      <c r="Z35" s="131" t="str">
        <f t="shared" si="14"/>
        <v>M</v>
      </c>
      <c r="AA35" s="138" t="str">
        <f>TEXT('Table '!AE33,"jj mmm aa")</f>
        <v>28 mars 18</v>
      </c>
      <c r="AB35" s="18"/>
      <c r="AC35" s="18"/>
      <c r="AD35" s="18">
        <f t="shared" si="15"/>
        <v>0</v>
      </c>
      <c r="AE35" s="146">
        <f t="shared" si="6"/>
        <v>0</v>
      </c>
      <c r="AF35" s="20">
        <f t="shared" si="7"/>
        <v>0</v>
      </c>
    </row>
    <row r="36" spans="2:32" s="149" customFormat="1">
      <c r="B36" s="133" t="str">
        <f t="shared" si="8"/>
        <v>J</v>
      </c>
      <c r="C36" s="151" t="str">
        <f>TEXT('Table '!AE34,"jj mmm aa")</f>
        <v>29 mars 18</v>
      </c>
      <c r="D36" s="12"/>
      <c r="E36" s="12"/>
      <c r="F36" s="25">
        <f t="shared" si="9"/>
        <v>0</v>
      </c>
      <c r="G36" s="26">
        <f t="shared" si="0"/>
        <v>0</v>
      </c>
      <c r="H36" s="27">
        <f t="shared" si="1"/>
        <v>0</v>
      </c>
      <c r="I36" s="153"/>
      <c r="J36" s="8" t="str">
        <f t="shared" si="10"/>
        <v>J</v>
      </c>
      <c r="K36" s="151" t="str">
        <f>TEXT('Table '!AE34,"jj mmm aa")</f>
        <v>29 mars 18</v>
      </c>
      <c r="L36" s="12"/>
      <c r="M36" s="12"/>
      <c r="N36" s="25">
        <f t="shared" si="11"/>
        <v>0</v>
      </c>
      <c r="O36" s="26">
        <f t="shared" si="2"/>
        <v>0</v>
      </c>
      <c r="P36" s="27">
        <f t="shared" si="3"/>
        <v>0</v>
      </c>
      <c r="R36" s="8" t="str">
        <f t="shared" si="12"/>
        <v>J</v>
      </c>
      <c r="S36" s="151" t="str">
        <f>TEXT('Table '!AE34,"jj mmm aa")</f>
        <v>29 mars 18</v>
      </c>
      <c r="T36" s="12"/>
      <c r="U36" s="12"/>
      <c r="V36" s="12">
        <f t="shared" si="13"/>
        <v>0</v>
      </c>
      <c r="W36" s="13">
        <f t="shared" si="4"/>
        <v>0</v>
      </c>
      <c r="X36" s="14">
        <f t="shared" si="5"/>
        <v>0</v>
      </c>
      <c r="Y36" s="152"/>
      <c r="Z36" s="131" t="str">
        <f t="shared" si="14"/>
        <v>J</v>
      </c>
      <c r="AA36" s="138" t="str">
        <f>TEXT('Table '!AE34,"jj mmm aa")</f>
        <v>29 mars 18</v>
      </c>
      <c r="AB36" s="18"/>
      <c r="AC36" s="18"/>
      <c r="AD36" s="18">
        <f t="shared" si="15"/>
        <v>0</v>
      </c>
      <c r="AE36" s="146">
        <f t="shared" si="6"/>
        <v>0</v>
      </c>
      <c r="AF36" s="20">
        <f t="shared" si="7"/>
        <v>0</v>
      </c>
    </row>
    <row r="37" spans="2:32" s="149" customFormat="1">
      <c r="B37" s="133" t="str">
        <f t="shared" si="8"/>
        <v>V</v>
      </c>
      <c r="C37" s="151" t="str">
        <f>TEXT('Table '!AE35,"jj mmm aa")</f>
        <v>30 mars 18</v>
      </c>
      <c r="D37" s="12"/>
      <c r="E37" s="12"/>
      <c r="F37" s="22">
        <f t="shared" si="9"/>
        <v>0</v>
      </c>
      <c r="G37" s="23">
        <f t="shared" ref="G37:G38" si="16">IF(F37&gt;=$F$1,1,0)</f>
        <v>0</v>
      </c>
      <c r="H37" s="24">
        <f t="shared" ref="H37:H38" si="17">IF(F37&lt;$F$1,F37,0)</f>
        <v>0</v>
      </c>
      <c r="I37" s="154"/>
      <c r="J37" s="8" t="str">
        <f t="shared" si="10"/>
        <v>V</v>
      </c>
      <c r="K37" s="151" t="str">
        <f>TEXT('Table '!AE35,"jj mmm aa")</f>
        <v>30 mars 18</v>
      </c>
      <c r="L37" s="12"/>
      <c r="M37" s="12"/>
      <c r="N37" s="22">
        <f t="shared" si="11"/>
        <v>0</v>
      </c>
      <c r="O37" s="23">
        <f t="shared" si="2"/>
        <v>0</v>
      </c>
      <c r="P37" s="24">
        <f t="shared" si="3"/>
        <v>0</v>
      </c>
      <c r="Q37" s="152"/>
      <c r="R37" s="8" t="str">
        <f t="shared" si="12"/>
        <v>V</v>
      </c>
      <c r="S37" s="151" t="str">
        <f>TEXT('Table '!AE35,"jj mmm aa")</f>
        <v>30 mars 18</v>
      </c>
      <c r="T37" s="18"/>
      <c r="U37" s="18"/>
      <c r="V37" s="18">
        <f t="shared" si="13"/>
        <v>0</v>
      </c>
      <c r="W37" s="146">
        <f t="shared" si="4"/>
        <v>0</v>
      </c>
      <c r="X37" s="20">
        <f t="shared" si="5"/>
        <v>0</v>
      </c>
      <c r="Y37" s="152"/>
      <c r="Z37" s="131" t="str">
        <f t="shared" si="14"/>
        <v>V</v>
      </c>
      <c r="AA37" s="138" t="str">
        <f>TEXT('Table '!AE35,"jj mmm aa")</f>
        <v>30 mars 18</v>
      </c>
      <c r="AB37" s="18"/>
      <c r="AC37" s="18"/>
      <c r="AD37" s="18">
        <f t="shared" si="15"/>
        <v>0</v>
      </c>
      <c r="AE37" s="146">
        <f t="shared" si="6"/>
        <v>0</v>
      </c>
      <c r="AF37" s="20">
        <f t="shared" si="7"/>
        <v>0</v>
      </c>
    </row>
    <row r="38" spans="2:32" s="149" customFormat="1" ht="15.75" thickBot="1">
      <c r="B38" s="133" t="str">
        <f t="shared" si="8"/>
        <v>S</v>
      </c>
      <c r="C38" s="151" t="str">
        <f>TEXT('Table '!AE36,"jj mmm aa")</f>
        <v>31 mars 18</v>
      </c>
      <c r="D38" s="12"/>
      <c r="E38" s="12"/>
      <c r="F38" s="22">
        <f t="shared" si="9"/>
        <v>0</v>
      </c>
      <c r="G38" s="23">
        <f t="shared" si="16"/>
        <v>0</v>
      </c>
      <c r="H38" s="24">
        <f t="shared" si="17"/>
        <v>0</v>
      </c>
      <c r="I38" s="152"/>
      <c r="J38" s="129" t="str">
        <f t="shared" si="10"/>
        <v>S</v>
      </c>
      <c r="K38" s="162" t="str">
        <f>TEXT('Table '!AE36,"jj mmm aa")</f>
        <v>31 mars 18</v>
      </c>
      <c r="L38" s="140"/>
      <c r="M38" s="140"/>
      <c r="N38" s="156">
        <f t="shared" si="11"/>
        <v>0</v>
      </c>
      <c r="O38" s="157">
        <f t="shared" si="2"/>
        <v>0</v>
      </c>
      <c r="P38" s="158">
        <f t="shared" si="3"/>
        <v>0</v>
      </c>
      <c r="Q38" s="152"/>
      <c r="R38" s="129" t="str">
        <f t="shared" si="12"/>
        <v>S</v>
      </c>
      <c r="S38" s="162" t="str">
        <f>TEXT('Table '!AE36,"jj mmm aa")</f>
        <v>31 mars 18</v>
      </c>
      <c r="T38" s="156"/>
      <c r="U38" s="156"/>
      <c r="V38" s="156">
        <f t="shared" si="13"/>
        <v>0</v>
      </c>
      <c r="W38" s="157">
        <f t="shared" si="4"/>
        <v>0</v>
      </c>
      <c r="X38" s="158">
        <f t="shared" si="5"/>
        <v>0</v>
      </c>
      <c r="Y38" s="152"/>
      <c r="Z38" s="160" t="str">
        <f t="shared" si="14"/>
        <v>S</v>
      </c>
      <c r="AA38" s="139" t="str">
        <f>TEXT('Table '!AE36,"jj mmm aa")</f>
        <v>31 mars 18</v>
      </c>
      <c r="AB38" s="156"/>
      <c r="AC38" s="156"/>
      <c r="AD38" s="156">
        <f t="shared" si="15"/>
        <v>0</v>
      </c>
      <c r="AE38" s="157">
        <f t="shared" si="6"/>
        <v>0</v>
      </c>
      <c r="AF38" s="158">
        <f t="shared" si="7"/>
        <v>0</v>
      </c>
    </row>
    <row r="39" spans="2:32" s="149" customFormat="1" ht="19.5" thickTop="1">
      <c r="B39" s="135"/>
      <c r="C39" s="62"/>
      <c r="D39" s="62"/>
      <c r="E39" s="63" t="s">
        <v>9</v>
      </c>
      <c r="F39" s="62"/>
      <c r="G39" s="64">
        <f>SUM(G8:G38)</f>
        <v>0</v>
      </c>
      <c r="H39" s="65"/>
      <c r="J39" s="127"/>
      <c r="K39" s="62"/>
      <c r="L39" s="62"/>
      <c r="M39" s="63" t="s">
        <v>9</v>
      </c>
      <c r="N39" s="62"/>
      <c r="O39" s="64">
        <f>SUM(O8:O38)</f>
        <v>0</v>
      </c>
      <c r="P39" s="65"/>
      <c r="R39" s="127"/>
      <c r="S39" s="62"/>
      <c r="T39" s="62"/>
      <c r="U39" s="63" t="s">
        <v>9</v>
      </c>
      <c r="V39" s="62"/>
      <c r="W39" s="64">
        <f>SUM(W8:W38)</f>
        <v>0</v>
      </c>
      <c r="X39" s="65"/>
      <c r="Z39" s="127"/>
      <c r="AA39" s="62"/>
      <c r="AB39" s="62"/>
      <c r="AC39" s="63" t="s">
        <v>9</v>
      </c>
      <c r="AD39" s="62"/>
      <c r="AE39" s="64">
        <f>SUM(AE8:AE23)</f>
        <v>0</v>
      </c>
      <c r="AF39" s="65"/>
    </row>
    <row r="40" spans="2:32" s="155" customFormat="1" ht="18.75">
      <c r="B40" s="136"/>
      <c r="C40" s="33"/>
      <c r="D40" s="33"/>
      <c r="E40" s="34" t="s">
        <v>10</v>
      </c>
      <c r="F40" s="33"/>
      <c r="G40" s="35"/>
      <c r="H40" s="32">
        <f>SUM(H8:H38)*24</f>
        <v>0</v>
      </c>
      <c r="J40" s="128"/>
      <c r="K40" s="33"/>
      <c r="L40" s="33"/>
      <c r="M40" s="34" t="s">
        <v>10</v>
      </c>
      <c r="N40" s="33"/>
      <c r="O40" s="35"/>
      <c r="P40" s="32">
        <f>SUM(P8:P38)*24</f>
        <v>0</v>
      </c>
      <c r="R40" s="128"/>
      <c r="S40" s="33"/>
      <c r="T40" s="33"/>
      <c r="U40" s="34" t="s">
        <v>10</v>
      </c>
      <c r="V40" s="33"/>
      <c r="W40" s="35"/>
      <c r="X40" s="32">
        <f>SUM(X8:X38)*24</f>
        <v>0</v>
      </c>
      <c r="Z40" s="128"/>
      <c r="AA40" s="33"/>
      <c r="AB40" s="33"/>
      <c r="AC40" s="34" t="s">
        <v>10</v>
      </c>
      <c r="AD40" s="33"/>
      <c r="AE40" s="35"/>
      <c r="AF40" s="32">
        <f>SUM(AF8:AF32)</f>
        <v>0</v>
      </c>
    </row>
    <row r="41" spans="2:32" s="149" customFormat="1" ht="15.75" thickBot="1">
      <c r="B41" s="137"/>
      <c r="C41" s="16"/>
      <c r="D41" s="16"/>
      <c r="E41" s="16"/>
      <c r="F41" s="16"/>
      <c r="G41" s="16"/>
      <c r="H41" s="17"/>
      <c r="J41" s="129"/>
      <c r="K41" s="16"/>
      <c r="L41" s="16"/>
      <c r="M41" s="16"/>
      <c r="N41" s="16"/>
      <c r="O41" s="16"/>
      <c r="P41" s="17"/>
      <c r="R41" s="129"/>
      <c r="S41" s="16"/>
      <c r="T41" s="16"/>
      <c r="U41" s="16"/>
      <c r="V41" s="16"/>
      <c r="W41" s="16"/>
      <c r="X41" s="17"/>
      <c r="Z41" s="129"/>
      <c r="AA41" s="16"/>
      <c r="AB41" s="16"/>
      <c r="AC41" s="16"/>
      <c r="AD41" s="16"/>
      <c r="AE41" s="16"/>
      <c r="AF41" s="17"/>
    </row>
    <row r="42" spans="2:32" ht="15.75" thickTop="1"/>
  </sheetData>
  <mergeCells count="7">
    <mergeCell ref="L1:N1"/>
    <mergeCell ref="L2:N2"/>
    <mergeCell ref="Z5:AF6"/>
    <mergeCell ref="B5:H6"/>
    <mergeCell ref="J5:P6"/>
    <mergeCell ref="R5:X6"/>
    <mergeCell ref="L3:N3"/>
  </mergeCells>
  <conditionalFormatting sqref="B8:H38 J8:P38 R8:X38 Z8:AF38">
    <cfRule type="expression" dxfId="34" priority="5" stopIfTrue="1">
      <formula>AND($B8="D")</formula>
    </cfRule>
    <cfRule type="expression" dxfId="33" priority="4" stopIfTrue="1">
      <formula>AND($B8="S")</formula>
    </cfRule>
    <cfRule type="expression" dxfId="32" priority="3" stopIfTrue="1">
      <formula>COUNTIF(Feries,$C8)&gt;0</formula>
    </cfRule>
    <cfRule type="expression" dxfId="31" priority="2" stopIfTrue="1">
      <formula>COUNTIF(Fete,$C8)&gt;0</formula>
    </cfRule>
    <cfRule type="expression" dxfId="30" priority="1" stopIfTrue="1">
      <formula>COUNTIF(Paque,$C8)&gt;0</formula>
    </cfRule>
  </conditionalFormatting>
  <pageMargins left="0.7" right="0.7" top="0.75" bottom="0.75" header="0.3" footer="0.3"/>
  <pageSetup paperSize="9" orientation="portrait" horizontalDpi="4294967294" verticalDpi="429496729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>
    <tabColor theme="6" tint="0.39997558519241921"/>
  </sheetPr>
  <dimension ref="B1:AF42"/>
  <sheetViews>
    <sheetView showGridLines="0" workbookViewId="0">
      <selection activeCell="L3" sqref="L3:N3"/>
    </sheetView>
  </sheetViews>
  <sheetFormatPr baseColWidth="10" defaultRowHeight="15"/>
  <cols>
    <col min="1" max="1" width="1.42578125" customWidth="1"/>
    <col min="2" max="2" width="3.7109375" style="6" customWidth="1"/>
    <col min="3" max="8" width="9.5703125" style="1" customWidth="1"/>
    <col min="9" max="9" width="1.7109375" customWidth="1"/>
    <col min="10" max="10" width="3.7109375" style="6" customWidth="1"/>
    <col min="11" max="16" width="9.5703125" customWidth="1"/>
    <col min="17" max="17" width="1.7109375" customWidth="1"/>
    <col min="18" max="18" width="3.7109375" style="6" customWidth="1"/>
    <col min="19" max="24" width="9.5703125" customWidth="1"/>
    <col min="25" max="25" width="1.7109375" customWidth="1"/>
    <col min="26" max="26" width="3.7109375" style="6" customWidth="1"/>
    <col min="27" max="32" width="9.5703125" customWidth="1"/>
  </cols>
  <sheetData>
    <row r="1" spans="2:32">
      <c r="C1" s="56" t="s">
        <v>0</v>
      </c>
      <c r="D1" s="56"/>
      <c r="E1" s="56"/>
      <c r="F1" s="57">
        <v>0.33333333333333331</v>
      </c>
      <c r="G1" s="56" t="s">
        <v>1</v>
      </c>
      <c r="H1" s="56"/>
      <c r="L1" s="363"/>
      <c r="M1" s="363"/>
      <c r="N1" s="363"/>
    </row>
    <row r="2" spans="2:32">
      <c r="C2" s="56" t="s">
        <v>2</v>
      </c>
      <c r="D2" s="57">
        <v>0.33333333333333331</v>
      </c>
      <c r="E2" s="56" t="s">
        <v>3</v>
      </c>
      <c r="F2" s="56"/>
      <c r="G2" s="56"/>
      <c r="H2" s="56"/>
      <c r="L2" s="363"/>
      <c r="M2" s="363"/>
      <c r="N2" s="363"/>
    </row>
    <row r="3" spans="2:32">
      <c r="C3" s="56"/>
      <c r="D3" s="56"/>
      <c r="E3" s="56"/>
      <c r="F3" s="56"/>
      <c r="G3" s="56"/>
      <c r="H3" s="56"/>
      <c r="L3" s="363"/>
      <c r="M3" s="363"/>
      <c r="N3" s="363"/>
    </row>
    <row r="4" spans="2:32" ht="15.75" thickBot="1">
      <c r="C4" s="6"/>
    </row>
    <row r="5" spans="2:32" s="7" customFormat="1" ht="15.75" customHeight="1" thickTop="1">
      <c r="B5" s="338">
        <f>'Table '!C3</f>
        <v>1</v>
      </c>
      <c r="C5" s="339"/>
      <c r="D5" s="339"/>
      <c r="E5" s="339"/>
      <c r="F5" s="339"/>
      <c r="G5" s="339"/>
      <c r="H5" s="340"/>
      <c r="J5" s="344">
        <f>'Table '!G3</f>
        <v>2</v>
      </c>
      <c r="K5" s="345"/>
      <c r="L5" s="345"/>
      <c r="M5" s="345"/>
      <c r="N5" s="345"/>
      <c r="O5" s="345"/>
      <c r="P5" s="346"/>
      <c r="R5" s="350">
        <f>'Table '!C6</f>
        <v>3</v>
      </c>
      <c r="S5" s="351"/>
      <c r="T5" s="351"/>
      <c r="U5" s="351"/>
      <c r="V5" s="351"/>
      <c r="W5" s="351"/>
      <c r="X5" s="352"/>
      <c r="Z5" s="356">
        <f>'Table '!G6</f>
        <v>4</v>
      </c>
      <c r="AA5" s="357"/>
      <c r="AB5" s="357"/>
      <c r="AC5" s="357"/>
      <c r="AD5" s="357"/>
      <c r="AE5" s="357"/>
      <c r="AF5" s="358"/>
    </row>
    <row r="6" spans="2:32" s="7" customFormat="1" ht="15" customHeight="1">
      <c r="B6" s="341"/>
      <c r="C6" s="342"/>
      <c r="D6" s="342"/>
      <c r="E6" s="342"/>
      <c r="F6" s="342"/>
      <c r="G6" s="342"/>
      <c r="H6" s="343"/>
      <c r="J6" s="347"/>
      <c r="K6" s="348"/>
      <c r="L6" s="348"/>
      <c r="M6" s="348"/>
      <c r="N6" s="348"/>
      <c r="O6" s="348"/>
      <c r="P6" s="349"/>
      <c r="R6" s="353"/>
      <c r="S6" s="354"/>
      <c r="T6" s="354"/>
      <c r="U6" s="354"/>
      <c r="V6" s="354"/>
      <c r="W6" s="354"/>
      <c r="X6" s="355"/>
      <c r="Z6" s="359"/>
      <c r="AA6" s="360"/>
      <c r="AB6" s="360"/>
      <c r="AC6" s="360"/>
      <c r="AD6" s="360"/>
      <c r="AE6" s="360"/>
      <c r="AF6" s="361"/>
    </row>
    <row r="7" spans="2:32" s="11" customFormat="1" ht="39" customHeight="1">
      <c r="B7" s="8"/>
      <c r="C7" s="15"/>
      <c r="D7" s="9" t="s">
        <v>4</v>
      </c>
      <c r="E7" s="9" t="s">
        <v>5</v>
      </c>
      <c r="F7" s="9" t="s">
        <v>6</v>
      </c>
      <c r="G7" s="9" t="s">
        <v>7</v>
      </c>
      <c r="H7" s="10" t="s">
        <v>8</v>
      </c>
      <c r="J7" s="8"/>
      <c r="K7" s="15"/>
      <c r="L7" s="9" t="s">
        <v>4</v>
      </c>
      <c r="M7" s="9" t="s">
        <v>5</v>
      </c>
      <c r="N7" s="9" t="s">
        <v>6</v>
      </c>
      <c r="O7" s="9" t="s">
        <v>7</v>
      </c>
      <c r="P7" s="10" t="s">
        <v>8</v>
      </c>
      <c r="R7" s="8"/>
      <c r="S7" s="15"/>
      <c r="T7" s="9" t="s">
        <v>4</v>
      </c>
      <c r="U7" s="9" t="s">
        <v>5</v>
      </c>
      <c r="V7" s="9" t="s">
        <v>6</v>
      </c>
      <c r="W7" s="9" t="s">
        <v>7</v>
      </c>
      <c r="X7" s="10" t="s">
        <v>8</v>
      </c>
      <c r="Z7" s="8"/>
      <c r="AA7" s="15"/>
      <c r="AB7" s="9" t="s">
        <v>4</v>
      </c>
      <c r="AC7" s="9" t="s">
        <v>5</v>
      </c>
      <c r="AD7" s="9" t="s">
        <v>6</v>
      </c>
      <c r="AE7" s="9" t="s">
        <v>7</v>
      </c>
      <c r="AF7" s="10" t="s">
        <v>8</v>
      </c>
    </row>
    <row r="8" spans="2:32" s="7" customFormat="1">
      <c r="B8" s="8" t="str">
        <f>CHOOSE(WEEKDAY(C8),"D","L","M","M","J","V","S")</f>
        <v>D</v>
      </c>
      <c r="C8" s="164" t="str">
        <f>TEXT('Table '!AF6,"jj mmm aa")</f>
        <v>01 avr 18</v>
      </c>
      <c r="D8" s="12"/>
      <c r="E8" s="12"/>
      <c r="F8" s="12">
        <f>E8-D8</f>
        <v>0</v>
      </c>
      <c r="G8" s="13">
        <f t="shared" ref="G8:G36" si="0">IF(F8&gt;=$F$1,1,0)</f>
        <v>0</v>
      </c>
      <c r="H8" s="14">
        <f t="shared" ref="H8:H36" si="1">IF(F8&lt;$F$1,F8,0)</f>
        <v>0</v>
      </c>
      <c r="J8" s="8" t="str">
        <f>CHOOSE(WEEKDAY(C8),"D","L","M","M","J","V","S")</f>
        <v>D</v>
      </c>
      <c r="K8" s="151" t="str">
        <f>TEXT('Table '!AF6,"jj mmm aa")</f>
        <v>01 avr 18</v>
      </c>
      <c r="L8" s="12"/>
      <c r="M8" s="12"/>
      <c r="N8" s="12">
        <f>M8-L8</f>
        <v>0</v>
      </c>
      <c r="O8" s="13">
        <f t="shared" ref="O8:O37" si="2">IF(N8&gt;=$F$1,1,0)</f>
        <v>0</v>
      </c>
      <c r="P8" s="14">
        <f t="shared" ref="P8:P37" si="3">IF(N8&lt;$F$1,N8,0)</f>
        <v>0</v>
      </c>
      <c r="R8" s="8" t="str">
        <f>CHOOSE(WEEKDAY(C8),"D","L","M","M","J","V","S")</f>
        <v>D</v>
      </c>
      <c r="S8" s="151" t="str">
        <f>TEXT('Table '!AF6,"jj mmm aa")</f>
        <v>01 avr 18</v>
      </c>
      <c r="T8" s="12"/>
      <c r="U8" s="12"/>
      <c r="V8" s="12">
        <f>U8-T8</f>
        <v>0</v>
      </c>
      <c r="W8" s="13">
        <f t="shared" ref="W8:W37" si="4">IF(V8&gt;=$F$1,1,0)</f>
        <v>0</v>
      </c>
      <c r="X8" s="14">
        <f t="shared" ref="X8:X37" si="5">IF(V8&lt;$F$1,V8,0)</f>
        <v>0</v>
      </c>
      <c r="Y8" s="21"/>
      <c r="Z8" s="131" t="str">
        <f>CHOOSE(WEEKDAY(C8),"D","L","M","M","J","V","S")</f>
        <v>D</v>
      </c>
      <c r="AA8" s="138" t="str">
        <f>TEXT('Table '!AF6,"jj mmm aa")</f>
        <v>01 avr 18</v>
      </c>
      <c r="AB8" s="18"/>
      <c r="AC8" s="18"/>
      <c r="AD8" s="18">
        <f>AC8-AB8</f>
        <v>0</v>
      </c>
      <c r="AE8" s="146">
        <f t="shared" ref="AE8:AE37" si="6">IF(AD8&gt;=$F$1,1,0)</f>
        <v>0</v>
      </c>
      <c r="AF8" s="20">
        <f t="shared" ref="AF8:AF38" si="7">IF(AD8&lt;$F$1,AD8,0)</f>
        <v>0</v>
      </c>
    </row>
    <row r="9" spans="2:32" s="7" customFormat="1">
      <c r="B9" s="8" t="str">
        <f t="shared" ref="B9:B37" si="8">CHOOSE(WEEKDAY(C9),"D","L","M","M","J","V","S")</f>
        <v>L</v>
      </c>
      <c r="C9" s="151" t="str">
        <f>TEXT('Table '!AF7,"jj mmm aa")</f>
        <v>02 avr 18</v>
      </c>
      <c r="D9" s="12"/>
      <c r="E9" s="12"/>
      <c r="F9" s="12">
        <f t="shared" ref="F9:F37" si="9">E9-D9</f>
        <v>0</v>
      </c>
      <c r="G9" s="13">
        <f t="shared" si="0"/>
        <v>0</v>
      </c>
      <c r="H9" s="14">
        <f t="shared" si="1"/>
        <v>0</v>
      </c>
      <c r="J9" s="8" t="str">
        <f t="shared" ref="J9:J37" si="10">CHOOSE(WEEKDAY(C9),"D","L","M","M","J","V","S")</f>
        <v>L</v>
      </c>
      <c r="K9" s="151" t="str">
        <f>TEXT('Table '!AF7,"jj mmm aa")</f>
        <v>02 avr 18</v>
      </c>
      <c r="L9" s="12"/>
      <c r="M9" s="12"/>
      <c r="N9" s="12">
        <f t="shared" ref="N9:N37" si="11">M9-L9</f>
        <v>0</v>
      </c>
      <c r="O9" s="13">
        <f t="shared" si="2"/>
        <v>0</v>
      </c>
      <c r="P9" s="14">
        <f t="shared" si="3"/>
        <v>0</v>
      </c>
      <c r="R9" s="8" t="str">
        <f t="shared" ref="R9:R37" si="12">CHOOSE(WEEKDAY(C9),"D","L","M","M","J","V","S")</f>
        <v>L</v>
      </c>
      <c r="S9" s="151" t="str">
        <f>TEXT('Table '!AF7,"jj mmm aa")</f>
        <v>02 avr 18</v>
      </c>
      <c r="T9" s="12"/>
      <c r="U9" s="12"/>
      <c r="V9" s="12">
        <f t="shared" ref="V9:V37" si="13">U9-T9</f>
        <v>0</v>
      </c>
      <c r="W9" s="13">
        <f t="shared" si="4"/>
        <v>0</v>
      </c>
      <c r="X9" s="14">
        <f t="shared" si="5"/>
        <v>0</v>
      </c>
      <c r="Y9" s="21"/>
      <c r="Z9" s="131" t="str">
        <f t="shared" ref="Z9:Z37" si="14">CHOOSE(WEEKDAY(C9),"D","L","M","M","J","V","S")</f>
        <v>L</v>
      </c>
      <c r="AA9" s="138" t="str">
        <f>TEXT('Table '!AF7,"jj mmm aa")</f>
        <v>02 avr 18</v>
      </c>
      <c r="AB9" s="18"/>
      <c r="AC9" s="18"/>
      <c r="AD9" s="18">
        <f t="shared" ref="AD9:AD37" si="15">AC9-AB9</f>
        <v>0</v>
      </c>
      <c r="AE9" s="146">
        <f t="shared" si="6"/>
        <v>0</v>
      </c>
      <c r="AF9" s="20">
        <f t="shared" si="7"/>
        <v>0</v>
      </c>
    </row>
    <row r="10" spans="2:32" s="7" customFormat="1">
      <c r="B10" s="8" t="str">
        <f t="shared" si="8"/>
        <v>M</v>
      </c>
      <c r="C10" s="151" t="str">
        <f>TEXT('Table '!AF8,"jj mmm aa")</f>
        <v>03 avr 18</v>
      </c>
      <c r="D10" s="12"/>
      <c r="E10" s="12"/>
      <c r="F10" s="12">
        <f t="shared" si="9"/>
        <v>0</v>
      </c>
      <c r="G10" s="13">
        <f t="shared" si="0"/>
        <v>0</v>
      </c>
      <c r="H10" s="14">
        <f t="shared" si="1"/>
        <v>0</v>
      </c>
      <c r="J10" s="8" t="str">
        <f t="shared" si="10"/>
        <v>M</v>
      </c>
      <c r="K10" s="151" t="str">
        <f>TEXT('Table '!AF8,"jj mmm aa")</f>
        <v>03 avr 18</v>
      </c>
      <c r="L10" s="12"/>
      <c r="M10" s="12"/>
      <c r="N10" s="12">
        <f t="shared" si="11"/>
        <v>0</v>
      </c>
      <c r="O10" s="13">
        <f t="shared" si="2"/>
        <v>0</v>
      </c>
      <c r="P10" s="14">
        <f t="shared" si="3"/>
        <v>0</v>
      </c>
      <c r="R10" s="8" t="str">
        <f t="shared" si="12"/>
        <v>M</v>
      </c>
      <c r="S10" s="151" t="str">
        <f>TEXT('Table '!AF8,"jj mmm aa")</f>
        <v>03 avr 18</v>
      </c>
      <c r="T10" s="12"/>
      <c r="U10" s="12"/>
      <c r="V10" s="12">
        <f t="shared" si="13"/>
        <v>0</v>
      </c>
      <c r="W10" s="13">
        <f t="shared" si="4"/>
        <v>0</v>
      </c>
      <c r="X10" s="14">
        <f t="shared" si="5"/>
        <v>0</v>
      </c>
      <c r="Y10" s="21"/>
      <c r="Z10" s="131" t="str">
        <f t="shared" si="14"/>
        <v>M</v>
      </c>
      <c r="AA10" s="138" t="str">
        <f>TEXT('Table '!AF8,"jj mmm aa")</f>
        <v>03 avr 18</v>
      </c>
      <c r="AB10" s="18"/>
      <c r="AC10" s="18"/>
      <c r="AD10" s="18">
        <f t="shared" si="15"/>
        <v>0</v>
      </c>
      <c r="AE10" s="146">
        <f t="shared" si="6"/>
        <v>0</v>
      </c>
      <c r="AF10" s="20">
        <f t="shared" si="7"/>
        <v>0</v>
      </c>
    </row>
    <row r="11" spans="2:32" s="7" customFormat="1">
      <c r="B11" s="8" t="str">
        <f t="shared" si="8"/>
        <v>M</v>
      </c>
      <c r="C11" s="151" t="str">
        <f>TEXT('Table '!AF9,"jj mmm aa")</f>
        <v>04 avr 18</v>
      </c>
      <c r="D11" s="12"/>
      <c r="E11" s="12"/>
      <c r="F11" s="25">
        <f t="shared" si="9"/>
        <v>0</v>
      </c>
      <c r="G11" s="26">
        <f t="shared" si="0"/>
        <v>0</v>
      </c>
      <c r="H11" s="27">
        <f t="shared" si="1"/>
        <v>0</v>
      </c>
      <c r="I11" s="45"/>
      <c r="J11" s="8" t="str">
        <f t="shared" si="10"/>
        <v>M</v>
      </c>
      <c r="K11" s="151" t="str">
        <f>TEXT('Table '!AF9,"jj mmm aa")</f>
        <v>04 avr 18</v>
      </c>
      <c r="L11" s="25"/>
      <c r="M11" s="25"/>
      <c r="N11" s="25">
        <f>M11-L11</f>
        <v>0</v>
      </c>
      <c r="O11" s="26">
        <f t="shared" si="2"/>
        <v>0</v>
      </c>
      <c r="P11" s="27">
        <f t="shared" si="3"/>
        <v>0</v>
      </c>
      <c r="R11" s="8" t="str">
        <f t="shared" si="12"/>
        <v>M</v>
      </c>
      <c r="S11" s="151" t="str">
        <f>TEXT('Table '!AF9,"jj mmm aa")</f>
        <v>04 avr 18</v>
      </c>
      <c r="T11" s="12"/>
      <c r="U11" s="12"/>
      <c r="V11" s="12">
        <f t="shared" si="13"/>
        <v>0</v>
      </c>
      <c r="W11" s="13">
        <f t="shared" si="4"/>
        <v>0</v>
      </c>
      <c r="X11" s="14">
        <f t="shared" si="5"/>
        <v>0</v>
      </c>
      <c r="Y11" s="21"/>
      <c r="Z11" s="131" t="str">
        <f t="shared" si="14"/>
        <v>M</v>
      </c>
      <c r="AA11" s="138" t="str">
        <f>TEXT('Table '!AF9,"jj mmm aa")</f>
        <v>04 avr 18</v>
      </c>
      <c r="AB11" s="18"/>
      <c r="AC11" s="18"/>
      <c r="AD11" s="18">
        <f t="shared" si="15"/>
        <v>0</v>
      </c>
      <c r="AE11" s="146">
        <f t="shared" si="6"/>
        <v>0</v>
      </c>
      <c r="AF11" s="20">
        <f t="shared" si="7"/>
        <v>0</v>
      </c>
    </row>
    <row r="12" spans="2:32" s="7" customFormat="1">
      <c r="B12" s="8" t="str">
        <f t="shared" si="8"/>
        <v>J</v>
      </c>
      <c r="C12" s="151" t="str">
        <f>TEXT('Table '!AF10,"jj mmm aa")</f>
        <v>05 avr 18</v>
      </c>
      <c r="D12" s="12"/>
      <c r="E12" s="12"/>
      <c r="F12" s="25">
        <f t="shared" si="9"/>
        <v>0</v>
      </c>
      <c r="G12" s="26">
        <f t="shared" si="0"/>
        <v>0</v>
      </c>
      <c r="H12" s="27">
        <f t="shared" si="1"/>
        <v>0</v>
      </c>
      <c r="I12" s="45"/>
      <c r="J12" s="8" t="str">
        <f t="shared" si="10"/>
        <v>J</v>
      </c>
      <c r="K12" s="151" t="str">
        <f>TEXT('Table '!AF10,"jj mmm aa")</f>
        <v>05 avr 18</v>
      </c>
      <c r="L12" s="12"/>
      <c r="M12" s="12"/>
      <c r="N12" s="25">
        <f>M12-L12</f>
        <v>0</v>
      </c>
      <c r="O12" s="26">
        <f t="shared" si="2"/>
        <v>0</v>
      </c>
      <c r="P12" s="27">
        <f t="shared" si="3"/>
        <v>0</v>
      </c>
      <c r="R12" s="8" t="str">
        <f t="shared" si="12"/>
        <v>J</v>
      </c>
      <c r="S12" s="151" t="str">
        <f>TEXT('Table '!AF10,"jj mmm aa")</f>
        <v>05 avr 18</v>
      </c>
      <c r="T12" s="12"/>
      <c r="U12" s="12"/>
      <c r="V12" s="12">
        <f t="shared" si="13"/>
        <v>0</v>
      </c>
      <c r="W12" s="13">
        <f t="shared" si="4"/>
        <v>0</v>
      </c>
      <c r="X12" s="14">
        <f t="shared" si="5"/>
        <v>0</v>
      </c>
      <c r="Y12" s="21"/>
      <c r="Z12" s="131" t="str">
        <f t="shared" si="14"/>
        <v>J</v>
      </c>
      <c r="AA12" s="138" t="str">
        <f>TEXT('Table '!AF10,"jj mmm aa")</f>
        <v>05 avr 18</v>
      </c>
      <c r="AB12" s="18"/>
      <c r="AC12" s="18"/>
      <c r="AD12" s="18">
        <f t="shared" si="15"/>
        <v>0</v>
      </c>
      <c r="AE12" s="146">
        <f t="shared" si="6"/>
        <v>0</v>
      </c>
      <c r="AF12" s="20">
        <f t="shared" si="7"/>
        <v>0</v>
      </c>
    </row>
    <row r="13" spans="2:32" s="7" customFormat="1">
      <c r="B13" s="8" t="str">
        <f t="shared" si="8"/>
        <v>V</v>
      </c>
      <c r="C13" s="151" t="str">
        <f>TEXT('Table '!AF11,"jj mmm aa")</f>
        <v>06 avr 18</v>
      </c>
      <c r="D13" s="12"/>
      <c r="E13" s="12"/>
      <c r="F13" s="25">
        <f t="shared" si="9"/>
        <v>0</v>
      </c>
      <c r="G13" s="26">
        <f t="shared" si="0"/>
        <v>0</v>
      </c>
      <c r="H13" s="27">
        <f t="shared" si="1"/>
        <v>0</v>
      </c>
      <c r="I13" s="45"/>
      <c r="J13" s="8" t="str">
        <f t="shared" si="10"/>
        <v>V</v>
      </c>
      <c r="K13" s="151" t="str">
        <f>TEXT('Table '!AF11,"jj mmm aa")</f>
        <v>06 avr 18</v>
      </c>
      <c r="L13" s="12"/>
      <c r="M13" s="12"/>
      <c r="N13" s="25">
        <f t="shared" si="11"/>
        <v>0</v>
      </c>
      <c r="O13" s="26">
        <f t="shared" si="2"/>
        <v>0</v>
      </c>
      <c r="P13" s="27">
        <f t="shared" si="3"/>
        <v>0</v>
      </c>
      <c r="R13" s="8" t="str">
        <f t="shared" si="12"/>
        <v>V</v>
      </c>
      <c r="S13" s="151" t="str">
        <f>TEXT('Table '!AF11,"jj mmm aa")</f>
        <v>06 avr 18</v>
      </c>
      <c r="T13" s="12"/>
      <c r="U13" s="12"/>
      <c r="V13" s="12">
        <f t="shared" si="13"/>
        <v>0</v>
      </c>
      <c r="W13" s="13">
        <f t="shared" si="4"/>
        <v>0</v>
      </c>
      <c r="X13" s="14">
        <f t="shared" si="5"/>
        <v>0</v>
      </c>
      <c r="Y13" s="21"/>
      <c r="Z13" s="131" t="str">
        <f t="shared" si="14"/>
        <v>V</v>
      </c>
      <c r="AA13" s="138" t="str">
        <f>TEXT('Table '!AF11,"jj mmm aa")</f>
        <v>06 avr 18</v>
      </c>
      <c r="AB13" s="18"/>
      <c r="AC13" s="18"/>
      <c r="AD13" s="18">
        <f t="shared" si="15"/>
        <v>0</v>
      </c>
      <c r="AE13" s="146">
        <f t="shared" si="6"/>
        <v>0</v>
      </c>
      <c r="AF13" s="20">
        <f t="shared" si="7"/>
        <v>0</v>
      </c>
    </row>
    <row r="14" spans="2:32" s="7" customFormat="1">
      <c r="B14" s="8" t="str">
        <f t="shared" si="8"/>
        <v>S</v>
      </c>
      <c r="C14" s="151" t="str">
        <f>TEXT('Table '!AF12,"jj mmm aa")</f>
        <v>07 avr 18</v>
      </c>
      <c r="D14" s="12"/>
      <c r="E14" s="12"/>
      <c r="F14" s="25">
        <f t="shared" si="9"/>
        <v>0</v>
      </c>
      <c r="G14" s="26">
        <f t="shared" si="0"/>
        <v>0</v>
      </c>
      <c r="H14" s="27">
        <f t="shared" si="1"/>
        <v>0</v>
      </c>
      <c r="I14" s="45"/>
      <c r="J14" s="8" t="str">
        <f t="shared" si="10"/>
        <v>S</v>
      </c>
      <c r="K14" s="151" t="str">
        <f>TEXT('Table '!AF12,"jj mmm aa")</f>
        <v>07 avr 18</v>
      </c>
      <c r="L14" s="12"/>
      <c r="M14" s="12"/>
      <c r="N14" s="25">
        <f t="shared" si="11"/>
        <v>0</v>
      </c>
      <c r="O14" s="26">
        <f t="shared" si="2"/>
        <v>0</v>
      </c>
      <c r="P14" s="27">
        <f t="shared" si="3"/>
        <v>0</v>
      </c>
      <c r="R14" s="8" t="str">
        <f t="shared" si="12"/>
        <v>S</v>
      </c>
      <c r="S14" s="151" t="str">
        <f>TEXT('Table '!AF12,"jj mmm aa")</f>
        <v>07 avr 18</v>
      </c>
      <c r="T14" s="12"/>
      <c r="U14" s="12"/>
      <c r="V14" s="12">
        <f t="shared" si="13"/>
        <v>0</v>
      </c>
      <c r="W14" s="13">
        <f t="shared" si="4"/>
        <v>0</v>
      </c>
      <c r="X14" s="14">
        <f t="shared" si="5"/>
        <v>0</v>
      </c>
      <c r="Y14" s="21"/>
      <c r="Z14" s="131" t="str">
        <f t="shared" si="14"/>
        <v>S</v>
      </c>
      <c r="AA14" s="138" t="str">
        <f>TEXT('Table '!AF12,"jj mmm aa")</f>
        <v>07 avr 18</v>
      </c>
      <c r="AB14" s="18"/>
      <c r="AC14" s="18"/>
      <c r="AD14" s="18">
        <f t="shared" si="15"/>
        <v>0</v>
      </c>
      <c r="AE14" s="146">
        <f t="shared" si="6"/>
        <v>0</v>
      </c>
      <c r="AF14" s="20">
        <f t="shared" si="7"/>
        <v>0</v>
      </c>
    </row>
    <row r="15" spans="2:32" s="7" customFormat="1">
      <c r="B15" s="8" t="str">
        <f t="shared" si="8"/>
        <v>D</v>
      </c>
      <c r="C15" s="151" t="str">
        <f>TEXT('Table '!AF13,"jj mmm aa")</f>
        <v>08 avr 18</v>
      </c>
      <c r="D15" s="12"/>
      <c r="E15" s="12"/>
      <c r="F15" s="25">
        <f t="shared" si="9"/>
        <v>0</v>
      </c>
      <c r="G15" s="26">
        <f t="shared" si="0"/>
        <v>0</v>
      </c>
      <c r="H15" s="27">
        <f t="shared" si="1"/>
        <v>0</v>
      </c>
      <c r="I15" s="45"/>
      <c r="J15" s="8" t="str">
        <f t="shared" si="10"/>
        <v>D</v>
      </c>
      <c r="K15" s="151" t="str">
        <f>TEXT('Table '!AF13,"jj mmm aa")</f>
        <v>08 avr 18</v>
      </c>
      <c r="L15" s="12"/>
      <c r="M15" s="12"/>
      <c r="N15" s="25">
        <f t="shared" si="11"/>
        <v>0</v>
      </c>
      <c r="O15" s="26">
        <f t="shared" si="2"/>
        <v>0</v>
      </c>
      <c r="P15" s="27">
        <f t="shared" si="3"/>
        <v>0</v>
      </c>
      <c r="R15" s="8" t="str">
        <f t="shared" si="12"/>
        <v>D</v>
      </c>
      <c r="S15" s="151" t="str">
        <f>TEXT('Table '!AF13,"jj mmm aa")</f>
        <v>08 avr 18</v>
      </c>
      <c r="T15" s="12"/>
      <c r="U15" s="12"/>
      <c r="V15" s="12">
        <f t="shared" si="13"/>
        <v>0</v>
      </c>
      <c r="W15" s="13">
        <f t="shared" si="4"/>
        <v>0</v>
      </c>
      <c r="X15" s="14">
        <f t="shared" si="5"/>
        <v>0</v>
      </c>
      <c r="Y15" s="21"/>
      <c r="Z15" s="131" t="str">
        <f t="shared" si="14"/>
        <v>D</v>
      </c>
      <c r="AA15" s="138" t="str">
        <f>TEXT('Table '!AF13,"jj mmm aa")</f>
        <v>08 avr 18</v>
      </c>
      <c r="AB15" s="18"/>
      <c r="AC15" s="18"/>
      <c r="AD15" s="18">
        <f t="shared" si="15"/>
        <v>0</v>
      </c>
      <c r="AE15" s="146">
        <f t="shared" si="6"/>
        <v>0</v>
      </c>
      <c r="AF15" s="20">
        <f t="shared" si="7"/>
        <v>0</v>
      </c>
    </row>
    <row r="16" spans="2:32" s="7" customFormat="1">
      <c r="B16" s="8" t="str">
        <f t="shared" si="8"/>
        <v>L</v>
      </c>
      <c r="C16" s="151" t="str">
        <f>TEXT('Table '!AF14,"jj mmm aa")</f>
        <v>09 avr 18</v>
      </c>
      <c r="D16" s="25"/>
      <c r="E16" s="25"/>
      <c r="F16" s="25">
        <f t="shared" si="9"/>
        <v>0</v>
      </c>
      <c r="G16" s="26">
        <f t="shared" si="0"/>
        <v>0</v>
      </c>
      <c r="H16" s="27">
        <f t="shared" si="1"/>
        <v>0</v>
      </c>
      <c r="I16" s="45"/>
      <c r="J16" s="8" t="str">
        <f t="shared" si="10"/>
        <v>L</v>
      </c>
      <c r="K16" s="151" t="str">
        <f>TEXT('Table '!AF14,"jj mmm aa")</f>
        <v>09 avr 18</v>
      </c>
      <c r="L16" s="25"/>
      <c r="M16" s="25"/>
      <c r="N16" s="25">
        <f t="shared" si="11"/>
        <v>0</v>
      </c>
      <c r="O16" s="26">
        <f t="shared" si="2"/>
        <v>0</v>
      </c>
      <c r="P16" s="27">
        <f t="shared" si="3"/>
        <v>0</v>
      </c>
      <c r="R16" s="8" t="str">
        <f t="shared" si="12"/>
        <v>L</v>
      </c>
      <c r="S16" s="151" t="str">
        <f>TEXT('Table '!AF14,"jj mmm aa")</f>
        <v>09 avr 18</v>
      </c>
      <c r="T16" s="12"/>
      <c r="U16" s="12"/>
      <c r="V16" s="12">
        <f t="shared" si="13"/>
        <v>0</v>
      </c>
      <c r="W16" s="13">
        <f t="shared" si="4"/>
        <v>0</v>
      </c>
      <c r="X16" s="14">
        <f t="shared" si="5"/>
        <v>0</v>
      </c>
      <c r="Y16" s="21"/>
      <c r="Z16" s="131" t="str">
        <f t="shared" si="14"/>
        <v>L</v>
      </c>
      <c r="AA16" s="138" t="str">
        <f>TEXT('Table '!AF14,"jj mmm aa")</f>
        <v>09 avr 18</v>
      </c>
      <c r="AB16" s="18"/>
      <c r="AC16" s="18"/>
      <c r="AD16" s="18">
        <f t="shared" si="15"/>
        <v>0</v>
      </c>
      <c r="AE16" s="146">
        <f t="shared" si="6"/>
        <v>0</v>
      </c>
      <c r="AF16" s="20">
        <f t="shared" si="7"/>
        <v>0</v>
      </c>
    </row>
    <row r="17" spans="2:32" s="7" customFormat="1">
      <c r="B17" s="8" t="str">
        <f t="shared" si="8"/>
        <v>M</v>
      </c>
      <c r="C17" s="151" t="str">
        <f>TEXT('Table '!AF15,"jj mmm aa")</f>
        <v>10 avr 18</v>
      </c>
      <c r="D17" s="25"/>
      <c r="E17" s="25"/>
      <c r="F17" s="25">
        <f t="shared" si="9"/>
        <v>0</v>
      </c>
      <c r="G17" s="26">
        <f t="shared" si="0"/>
        <v>0</v>
      </c>
      <c r="H17" s="27">
        <f t="shared" si="1"/>
        <v>0</v>
      </c>
      <c r="I17" s="45"/>
      <c r="J17" s="8" t="str">
        <f t="shared" si="10"/>
        <v>M</v>
      </c>
      <c r="K17" s="151" t="str">
        <f>TEXT('Table '!AF15,"jj mmm aa")</f>
        <v>10 avr 18</v>
      </c>
      <c r="L17" s="25"/>
      <c r="M17" s="25"/>
      <c r="N17" s="25">
        <f>M17-L17</f>
        <v>0</v>
      </c>
      <c r="O17" s="26">
        <f t="shared" si="2"/>
        <v>0</v>
      </c>
      <c r="P17" s="27">
        <f t="shared" si="3"/>
        <v>0</v>
      </c>
      <c r="R17" s="8" t="str">
        <f t="shared" si="12"/>
        <v>M</v>
      </c>
      <c r="S17" s="151" t="str">
        <f>TEXT('Table '!AF15,"jj mmm aa")</f>
        <v>10 avr 18</v>
      </c>
      <c r="T17" s="44"/>
      <c r="U17" s="12"/>
      <c r="V17" s="12">
        <f t="shared" si="13"/>
        <v>0</v>
      </c>
      <c r="W17" s="13">
        <f t="shared" si="4"/>
        <v>0</v>
      </c>
      <c r="X17" s="14">
        <f t="shared" si="5"/>
        <v>0</v>
      </c>
      <c r="Y17" s="21"/>
      <c r="Z17" s="131" t="str">
        <f t="shared" si="14"/>
        <v>M</v>
      </c>
      <c r="AA17" s="138" t="str">
        <f>TEXT('Table '!AF15,"jj mmm aa")</f>
        <v>10 avr 18</v>
      </c>
      <c r="AB17" s="18"/>
      <c r="AC17" s="18"/>
      <c r="AD17" s="18">
        <f t="shared" si="15"/>
        <v>0</v>
      </c>
      <c r="AE17" s="146">
        <f t="shared" si="6"/>
        <v>0</v>
      </c>
      <c r="AF17" s="20">
        <f t="shared" si="7"/>
        <v>0</v>
      </c>
    </row>
    <row r="18" spans="2:32" s="7" customFormat="1">
      <c r="B18" s="8" t="str">
        <f t="shared" si="8"/>
        <v>M</v>
      </c>
      <c r="C18" s="151" t="str">
        <f>TEXT('Table '!AF16,"jj mmm aa")</f>
        <v>11 avr 18</v>
      </c>
      <c r="D18" s="25"/>
      <c r="E18" s="25"/>
      <c r="F18" s="25">
        <f t="shared" si="9"/>
        <v>0</v>
      </c>
      <c r="G18" s="26">
        <f t="shared" si="0"/>
        <v>0</v>
      </c>
      <c r="H18" s="27">
        <f t="shared" si="1"/>
        <v>0</v>
      </c>
      <c r="I18" s="45"/>
      <c r="J18" s="8" t="str">
        <f t="shared" si="10"/>
        <v>M</v>
      </c>
      <c r="K18" s="151" t="str">
        <f>TEXT('Table '!AF16,"jj mmm aa")</f>
        <v>11 avr 18</v>
      </c>
      <c r="L18" s="25"/>
      <c r="M18" s="25"/>
      <c r="N18" s="25">
        <f>M18-L18</f>
        <v>0</v>
      </c>
      <c r="O18" s="26">
        <f t="shared" si="2"/>
        <v>0</v>
      </c>
      <c r="P18" s="27">
        <f t="shared" si="3"/>
        <v>0</v>
      </c>
      <c r="R18" s="8" t="str">
        <f t="shared" si="12"/>
        <v>M</v>
      </c>
      <c r="S18" s="151" t="str">
        <f>TEXT('Table '!AF16,"jj mmm aa")</f>
        <v>11 avr 18</v>
      </c>
      <c r="T18" s="12"/>
      <c r="U18" s="12"/>
      <c r="V18" s="12">
        <f t="shared" si="13"/>
        <v>0</v>
      </c>
      <c r="W18" s="13">
        <f t="shared" si="4"/>
        <v>0</v>
      </c>
      <c r="X18" s="14">
        <f t="shared" si="5"/>
        <v>0</v>
      </c>
      <c r="Y18" s="21"/>
      <c r="Z18" s="131" t="str">
        <f t="shared" si="14"/>
        <v>M</v>
      </c>
      <c r="AA18" s="138" t="str">
        <f>TEXT('Table '!AF16,"jj mmm aa")</f>
        <v>11 avr 18</v>
      </c>
      <c r="AB18" s="18"/>
      <c r="AC18" s="18"/>
      <c r="AD18" s="18">
        <f t="shared" si="15"/>
        <v>0</v>
      </c>
      <c r="AE18" s="146">
        <f t="shared" si="6"/>
        <v>0</v>
      </c>
      <c r="AF18" s="20">
        <f t="shared" si="7"/>
        <v>0</v>
      </c>
    </row>
    <row r="19" spans="2:32" s="7" customFormat="1">
      <c r="B19" s="8" t="str">
        <f t="shared" si="8"/>
        <v>J</v>
      </c>
      <c r="C19" s="151" t="str">
        <f>TEXT('Table '!AF17,"jj mmm aa")</f>
        <v>12 avr 18</v>
      </c>
      <c r="D19" s="25"/>
      <c r="E19" s="25"/>
      <c r="F19" s="25">
        <f t="shared" si="9"/>
        <v>0</v>
      </c>
      <c r="G19" s="26">
        <f t="shared" si="0"/>
        <v>0</v>
      </c>
      <c r="H19" s="27">
        <f t="shared" si="1"/>
        <v>0</v>
      </c>
      <c r="I19" s="45"/>
      <c r="J19" s="8" t="str">
        <f t="shared" si="10"/>
        <v>J</v>
      </c>
      <c r="K19" s="151" t="str">
        <f>TEXT('Table '!AF17,"jj mmm aa")</f>
        <v>12 avr 18</v>
      </c>
      <c r="L19" s="25"/>
      <c r="M19" s="25"/>
      <c r="N19" s="25">
        <f t="shared" si="11"/>
        <v>0</v>
      </c>
      <c r="O19" s="26">
        <f t="shared" si="2"/>
        <v>0</v>
      </c>
      <c r="P19" s="27">
        <f t="shared" si="3"/>
        <v>0</v>
      </c>
      <c r="R19" s="8" t="str">
        <f t="shared" si="12"/>
        <v>J</v>
      </c>
      <c r="S19" s="151" t="str">
        <f>TEXT('Table '!AF17,"jj mmm aa")</f>
        <v>12 avr 18</v>
      </c>
      <c r="T19" s="12"/>
      <c r="U19" s="12"/>
      <c r="V19" s="12">
        <f t="shared" si="13"/>
        <v>0</v>
      </c>
      <c r="W19" s="13">
        <f t="shared" si="4"/>
        <v>0</v>
      </c>
      <c r="X19" s="14">
        <f t="shared" si="5"/>
        <v>0</v>
      </c>
      <c r="Y19" s="21"/>
      <c r="Z19" s="131" t="str">
        <f t="shared" si="14"/>
        <v>J</v>
      </c>
      <c r="AA19" s="138" t="str">
        <f>TEXT('Table '!AF17,"jj mmm aa")</f>
        <v>12 avr 18</v>
      </c>
      <c r="AB19" s="18"/>
      <c r="AC19" s="18"/>
      <c r="AD19" s="18">
        <f t="shared" si="15"/>
        <v>0</v>
      </c>
      <c r="AE19" s="146">
        <f t="shared" si="6"/>
        <v>0</v>
      </c>
      <c r="AF19" s="20">
        <f t="shared" si="7"/>
        <v>0</v>
      </c>
    </row>
    <row r="20" spans="2:32" s="7" customFormat="1">
      <c r="B20" s="8" t="str">
        <f t="shared" si="8"/>
        <v>V</v>
      </c>
      <c r="C20" s="151" t="str">
        <f>TEXT('Table '!AF18,"jj mmm aa")</f>
        <v>13 avr 18</v>
      </c>
      <c r="D20" s="25"/>
      <c r="E20" s="25"/>
      <c r="F20" s="25">
        <f t="shared" si="9"/>
        <v>0</v>
      </c>
      <c r="G20" s="26">
        <f t="shared" si="0"/>
        <v>0</v>
      </c>
      <c r="H20" s="27">
        <f t="shared" si="1"/>
        <v>0</v>
      </c>
      <c r="I20" s="45"/>
      <c r="J20" s="8" t="str">
        <f t="shared" si="10"/>
        <v>V</v>
      </c>
      <c r="K20" s="151" t="str">
        <f>TEXT('Table '!AF18,"jj mmm aa")</f>
        <v>13 avr 18</v>
      </c>
      <c r="L20" s="25"/>
      <c r="M20" s="25"/>
      <c r="N20" s="25">
        <f t="shared" si="11"/>
        <v>0</v>
      </c>
      <c r="O20" s="26">
        <f t="shared" si="2"/>
        <v>0</v>
      </c>
      <c r="P20" s="27">
        <f t="shared" si="3"/>
        <v>0</v>
      </c>
      <c r="R20" s="8" t="str">
        <f t="shared" si="12"/>
        <v>V</v>
      </c>
      <c r="S20" s="151" t="str">
        <f>TEXT('Table '!AF18,"jj mmm aa")</f>
        <v>13 avr 18</v>
      </c>
      <c r="T20" s="12"/>
      <c r="U20" s="12"/>
      <c r="V20" s="12">
        <f t="shared" si="13"/>
        <v>0</v>
      </c>
      <c r="W20" s="13">
        <f t="shared" si="4"/>
        <v>0</v>
      </c>
      <c r="X20" s="14">
        <f t="shared" si="5"/>
        <v>0</v>
      </c>
      <c r="Y20" s="21"/>
      <c r="Z20" s="131" t="str">
        <f t="shared" si="14"/>
        <v>V</v>
      </c>
      <c r="AA20" s="138" t="str">
        <f>TEXT('Table '!AF18,"jj mmm aa")</f>
        <v>13 avr 18</v>
      </c>
      <c r="AB20" s="18"/>
      <c r="AC20" s="18"/>
      <c r="AD20" s="18">
        <f t="shared" si="15"/>
        <v>0</v>
      </c>
      <c r="AE20" s="146">
        <f t="shared" si="6"/>
        <v>0</v>
      </c>
      <c r="AF20" s="20">
        <f t="shared" si="7"/>
        <v>0</v>
      </c>
    </row>
    <row r="21" spans="2:32" s="7" customFormat="1">
      <c r="B21" s="8" t="str">
        <f t="shared" si="8"/>
        <v>S</v>
      </c>
      <c r="C21" s="151" t="str">
        <f>TEXT('Table '!AF19,"jj mmm aa")</f>
        <v>14 avr 18</v>
      </c>
      <c r="D21" s="25"/>
      <c r="E21" s="25"/>
      <c r="F21" s="25">
        <f t="shared" si="9"/>
        <v>0</v>
      </c>
      <c r="G21" s="26">
        <f t="shared" si="0"/>
        <v>0</v>
      </c>
      <c r="H21" s="27">
        <f t="shared" si="1"/>
        <v>0</v>
      </c>
      <c r="I21" s="45"/>
      <c r="J21" s="8" t="str">
        <f t="shared" si="10"/>
        <v>S</v>
      </c>
      <c r="K21" s="151" t="str">
        <f>TEXT('Table '!AF19,"jj mmm aa")</f>
        <v>14 avr 18</v>
      </c>
      <c r="L21" s="25"/>
      <c r="M21" s="25"/>
      <c r="N21" s="25">
        <f t="shared" si="11"/>
        <v>0</v>
      </c>
      <c r="O21" s="26">
        <f t="shared" si="2"/>
        <v>0</v>
      </c>
      <c r="P21" s="27">
        <f t="shared" si="3"/>
        <v>0</v>
      </c>
      <c r="R21" s="8" t="str">
        <f t="shared" si="12"/>
        <v>S</v>
      </c>
      <c r="S21" s="151" t="str">
        <f>TEXT('Table '!AF19,"jj mmm aa")</f>
        <v>14 avr 18</v>
      </c>
      <c r="T21" s="12"/>
      <c r="U21" s="12"/>
      <c r="V21" s="12">
        <f t="shared" si="13"/>
        <v>0</v>
      </c>
      <c r="W21" s="13">
        <f t="shared" si="4"/>
        <v>0</v>
      </c>
      <c r="X21" s="14">
        <f t="shared" si="5"/>
        <v>0</v>
      </c>
      <c r="Y21" s="21"/>
      <c r="Z21" s="131" t="str">
        <f t="shared" si="14"/>
        <v>S</v>
      </c>
      <c r="AA21" s="138" t="str">
        <f>TEXT('Table '!AF19,"jj mmm aa")</f>
        <v>14 avr 18</v>
      </c>
      <c r="AB21" s="18"/>
      <c r="AC21" s="18"/>
      <c r="AD21" s="18">
        <f t="shared" si="15"/>
        <v>0</v>
      </c>
      <c r="AE21" s="146">
        <f t="shared" si="6"/>
        <v>0</v>
      </c>
      <c r="AF21" s="20">
        <f t="shared" si="7"/>
        <v>0</v>
      </c>
    </row>
    <row r="22" spans="2:32" s="7" customFormat="1">
      <c r="B22" s="8" t="str">
        <f t="shared" si="8"/>
        <v>D</v>
      </c>
      <c r="C22" s="151" t="str">
        <f>TEXT('Table '!AF20,"jj mmm aa")</f>
        <v>15 avr 18</v>
      </c>
      <c r="D22" s="25"/>
      <c r="E22" s="25"/>
      <c r="F22" s="25">
        <f t="shared" si="9"/>
        <v>0</v>
      </c>
      <c r="G22" s="26">
        <f t="shared" si="0"/>
        <v>0</v>
      </c>
      <c r="H22" s="27">
        <f t="shared" si="1"/>
        <v>0</v>
      </c>
      <c r="I22" s="45"/>
      <c r="J22" s="8" t="str">
        <f t="shared" si="10"/>
        <v>D</v>
      </c>
      <c r="K22" s="151" t="str">
        <f>TEXT('Table '!AF20,"jj mmm aa")</f>
        <v>15 avr 18</v>
      </c>
      <c r="L22" s="25"/>
      <c r="M22" s="25"/>
      <c r="N22" s="25">
        <f t="shared" si="11"/>
        <v>0</v>
      </c>
      <c r="O22" s="26">
        <f t="shared" si="2"/>
        <v>0</v>
      </c>
      <c r="P22" s="27">
        <f t="shared" si="3"/>
        <v>0</v>
      </c>
      <c r="R22" s="8" t="str">
        <f t="shared" si="12"/>
        <v>D</v>
      </c>
      <c r="S22" s="151" t="str">
        <f>TEXT('Table '!AF20,"jj mmm aa")</f>
        <v>15 avr 18</v>
      </c>
      <c r="T22" s="12"/>
      <c r="U22" s="12"/>
      <c r="V22" s="12">
        <f t="shared" si="13"/>
        <v>0</v>
      </c>
      <c r="W22" s="13">
        <f t="shared" si="4"/>
        <v>0</v>
      </c>
      <c r="X22" s="14">
        <f t="shared" si="5"/>
        <v>0</v>
      </c>
      <c r="Y22" s="21"/>
      <c r="Z22" s="131" t="str">
        <f t="shared" si="14"/>
        <v>D</v>
      </c>
      <c r="AA22" s="138" t="str">
        <f>TEXT('Table '!AF20,"jj mmm aa")</f>
        <v>15 avr 18</v>
      </c>
      <c r="AB22" s="18"/>
      <c r="AC22" s="18"/>
      <c r="AD22" s="18">
        <f t="shared" si="15"/>
        <v>0</v>
      </c>
      <c r="AE22" s="146">
        <f t="shared" si="6"/>
        <v>0</v>
      </c>
      <c r="AF22" s="20">
        <f t="shared" si="7"/>
        <v>0</v>
      </c>
    </row>
    <row r="23" spans="2:32" s="7" customFormat="1">
      <c r="B23" s="8" t="str">
        <f t="shared" si="8"/>
        <v>L</v>
      </c>
      <c r="C23" s="151" t="str">
        <f>TEXT('Table '!AF21,"jj mmm aa")</f>
        <v>16 avr 18</v>
      </c>
      <c r="D23" s="25"/>
      <c r="E23" s="25"/>
      <c r="F23" s="25">
        <f t="shared" si="9"/>
        <v>0</v>
      </c>
      <c r="G23" s="26">
        <f t="shared" si="0"/>
        <v>0</v>
      </c>
      <c r="H23" s="27">
        <f t="shared" si="1"/>
        <v>0</v>
      </c>
      <c r="I23" s="45"/>
      <c r="J23" s="8" t="str">
        <f t="shared" si="10"/>
        <v>L</v>
      </c>
      <c r="K23" s="151" t="str">
        <f>TEXT('Table '!AF21,"jj mmm aa")</f>
        <v>16 avr 18</v>
      </c>
      <c r="L23" s="25"/>
      <c r="M23" s="25"/>
      <c r="N23" s="25">
        <f t="shared" si="11"/>
        <v>0</v>
      </c>
      <c r="O23" s="26">
        <f t="shared" si="2"/>
        <v>0</v>
      </c>
      <c r="P23" s="27">
        <f t="shared" si="3"/>
        <v>0</v>
      </c>
      <c r="R23" s="8" t="str">
        <f t="shared" si="12"/>
        <v>L</v>
      </c>
      <c r="S23" s="151" t="str">
        <f>TEXT('Table '!AF21,"jj mmm aa")</f>
        <v>16 avr 18</v>
      </c>
      <c r="T23" s="12"/>
      <c r="U23" s="12"/>
      <c r="V23" s="12">
        <f t="shared" si="13"/>
        <v>0</v>
      </c>
      <c r="W23" s="13">
        <f t="shared" si="4"/>
        <v>0</v>
      </c>
      <c r="X23" s="14">
        <f t="shared" si="5"/>
        <v>0</v>
      </c>
      <c r="Y23" s="21"/>
      <c r="Z23" s="131" t="str">
        <f t="shared" si="14"/>
        <v>L</v>
      </c>
      <c r="AA23" s="138" t="str">
        <f>TEXT('Table '!AF21,"jj mmm aa")</f>
        <v>16 avr 18</v>
      </c>
      <c r="AB23" s="18"/>
      <c r="AC23" s="18"/>
      <c r="AD23" s="18">
        <f t="shared" si="15"/>
        <v>0</v>
      </c>
      <c r="AE23" s="146">
        <f t="shared" si="6"/>
        <v>0</v>
      </c>
      <c r="AF23" s="20">
        <f t="shared" si="7"/>
        <v>0</v>
      </c>
    </row>
    <row r="24" spans="2:32" s="7" customFormat="1">
      <c r="B24" s="8" t="str">
        <f t="shared" si="8"/>
        <v>M</v>
      </c>
      <c r="C24" s="151" t="str">
        <f>TEXT('Table '!AF22,"jj mmm aa")</f>
        <v>17 avr 18</v>
      </c>
      <c r="D24" s="25"/>
      <c r="E24" s="25"/>
      <c r="F24" s="25">
        <f t="shared" si="9"/>
        <v>0</v>
      </c>
      <c r="G24" s="26">
        <f t="shared" si="0"/>
        <v>0</v>
      </c>
      <c r="H24" s="27">
        <f t="shared" si="1"/>
        <v>0</v>
      </c>
      <c r="I24" s="45"/>
      <c r="J24" s="8" t="str">
        <f t="shared" si="10"/>
        <v>M</v>
      </c>
      <c r="K24" s="151" t="str">
        <f>TEXT('Table '!AF22,"jj mmm aa")</f>
        <v>17 avr 18</v>
      </c>
      <c r="L24" s="25"/>
      <c r="M24" s="25"/>
      <c r="N24" s="25">
        <f t="shared" si="11"/>
        <v>0</v>
      </c>
      <c r="O24" s="26">
        <f t="shared" si="2"/>
        <v>0</v>
      </c>
      <c r="P24" s="27">
        <f t="shared" si="3"/>
        <v>0</v>
      </c>
      <c r="R24" s="8" t="str">
        <f t="shared" si="12"/>
        <v>M</v>
      </c>
      <c r="S24" s="151" t="str">
        <f>TEXT('Table '!AF22,"jj mmm aa")</f>
        <v>17 avr 18</v>
      </c>
      <c r="T24" s="12"/>
      <c r="U24" s="12"/>
      <c r="V24" s="12">
        <f t="shared" si="13"/>
        <v>0</v>
      </c>
      <c r="W24" s="13">
        <f t="shared" si="4"/>
        <v>0</v>
      </c>
      <c r="X24" s="14">
        <f t="shared" si="5"/>
        <v>0</v>
      </c>
      <c r="Y24" s="21"/>
      <c r="Z24" s="131" t="str">
        <f t="shared" si="14"/>
        <v>M</v>
      </c>
      <c r="AA24" s="138" t="str">
        <f>TEXT('Table '!AF22,"jj mmm aa")</f>
        <v>17 avr 18</v>
      </c>
      <c r="AB24" s="18"/>
      <c r="AC24" s="18"/>
      <c r="AD24" s="18">
        <f t="shared" si="15"/>
        <v>0</v>
      </c>
      <c r="AE24" s="146">
        <f t="shared" si="6"/>
        <v>0</v>
      </c>
      <c r="AF24" s="20">
        <f t="shared" si="7"/>
        <v>0</v>
      </c>
    </row>
    <row r="25" spans="2:32" s="7" customFormat="1">
      <c r="B25" s="8" t="str">
        <f t="shared" si="8"/>
        <v>M</v>
      </c>
      <c r="C25" s="151" t="str">
        <f>TEXT('Table '!AF23,"jj mmm aa")</f>
        <v>18 avr 18</v>
      </c>
      <c r="D25" s="12"/>
      <c r="E25" s="12"/>
      <c r="F25" s="25">
        <f t="shared" si="9"/>
        <v>0</v>
      </c>
      <c r="G25" s="26">
        <f t="shared" si="0"/>
        <v>0</v>
      </c>
      <c r="H25" s="27">
        <f t="shared" si="1"/>
        <v>0</v>
      </c>
      <c r="I25" s="45"/>
      <c r="J25" s="8" t="str">
        <f t="shared" si="10"/>
        <v>M</v>
      </c>
      <c r="K25" s="151" t="str">
        <f>TEXT('Table '!AF23,"jj mmm aa")</f>
        <v>18 avr 18</v>
      </c>
      <c r="L25" s="25"/>
      <c r="M25" s="25"/>
      <c r="N25" s="25">
        <f t="shared" si="11"/>
        <v>0</v>
      </c>
      <c r="O25" s="26">
        <f t="shared" si="2"/>
        <v>0</v>
      </c>
      <c r="P25" s="27">
        <f t="shared" si="3"/>
        <v>0</v>
      </c>
      <c r="R25" s="8" t="str">
        <f t="shared" si="12"/>
        <v>M</v>
      </c>
      <c r="S25" s="151" t="str">
        <f>TEXT('Table '!AF23,"jj mmm aa")</f>
        <v>18 avr 18</v>
      </c>
      <c r="T25" s="12"/>
      <c r="U25" s="12"/>
      <c r="V25" s="12">
        <f t="shared" si="13"/>
        <v>0</v>
      </c>
      <c r="W25" s="13">
        <f t="shared" si="4"/>
        <v>0</v>
      </c>
      <c r="X25" s="14">
        <f t="shared" si="5"/>
        <v>0</v>
      </c>
      <c r="Y25" s="21"/>
      <c r="Z25" s="131" t="str">
        <f t="shared" si="14"/>
        <v>M</v>
      </c>
      <c r="AA25" s="138" t="str">
        <f>TEXT('Table '!AF23,"jj mmm aa")</f>
        <v>18 avr 18</v>
      </c>
      <c r="AB25" s="18"/>
      <c r="AC25" s="18"/>
      <c r="AD25" s="18">
        <f t="shared" si="15"/>
        <v>0</v>
      </c>
      <c r="AE25" s="146">
        <f t="shared" si="6"/>
        <v>0</v>
      </c>
      <c r="AF25" s="20">
        <f t="shared" si="7"/>
        <v>0</v>
      </c>
    </row>
    <row r="26" spans="2:32" s="7" customFormat="1">
      <c r="B26" s="8" t="str">
        <f t="shared" si="8"/>
        <v>J</v>
      </c>
      <c r="C26" s="151" t="str">
        <f>TEXT('Table '!AF24,"jj mmm aa")</f>
        <v>19 avr 18</v>
      </c>
      <c r="D26" s="12"/>
      <c r="E26" s="12"/>
      <c r="F26" s="25">
        <f t="shared" si="9"/>
        <v>0</v>
      </c>
      <c r="G26" s="26">
        <f t="shared" si="0"/>
        <v>0</v>
      </c>
      <c r="H26" s="27">
        <f t="shared" si="1"/>
        <v>0</v>
      </c>
      <c r="I26" s="45"/>
      <c r="J26" s="8" t="str">
        <f t="shared" si="10"/>
        <v>J</v>
      </c>
      <c r="K26" s="151" t="str">
        <f>TEXT('Table '!AF24,"jj mmm aa")</f>
        <v>19 avr 18</v>
      </c>
      <c r="L26" s="25"/>
      <c r="M26" s="25"/>
      <c r="N26" s="25">
        <f t="shared" si="11"/>
        <v>0</v>
      </c>
      <c r="O26" s="26">
        <f t="shared" si="2"/>
        <v>0</v>
      </c>
      <c r="P26" s="27">
        <f t="shared" si="3"/>
        <v>0</v>
      </c>
      <c r="R26" s="8" t="str">
        <f t="shared" si="12"/>
        <v>J</v>
      </c>
      <c r="S26" s="151" t="str">
        <f>TEXT('Table '!AF24,"jj mmm aa")</f>
        <v>19 avr 18</v>
      </c>
      <c r="T26" s="12"/>
      <c r="U26" s="12"/>
      <c r="V26" s="12">
        <f t="shared" si="13"/>
        <v>0</v>
      </c>
      <c r="W26" s="13">
        <f t="shared" si="4"/>
        <v>0</v>
      </c>
      <c r="X26" s="14">
        <f t="shared" si="5"/>
        <v>0</v>
      </c>
      <c r="Y26" s="21"/>
      <c r="Z26" s="131" t="str">
        <f t="shared" si="14"/>
        <v>J</v>
      </c>
      <c r="AA26" s="138" t="str">
        <f>TEXT('Table '!AF24,"jj mmm aa")</f>
        <v>19 avr 18</v>
      </c>
      <c r="AB26" s="18"/>
      <c r="AC26" s="18"/>
      <c r="AD26" s="18">
        <f t="shared" si="15"/>
        <v>0</v>
      </c>
      <c r="AE26" s="146">
        <f t="shared" si="6"/>
        <v>0</v>
      </c>
      <c r="AF26" s="20">
        <f t="shared" si="7"/>
        <v>0</v>
      </c>
    </row>
    <row r="27" spans="2:32" s="7" customFormat="1">
      <c r="B27" s="8" t="str">
        <f t="shared" si="8"/>
        <v>V</v>
      </c>
      <c r="C27" s="151" t="str">
        <f>TEXT('Table '!AF25,"jj mmm aa")</f>
        <v>20 avr 18</v>
      </c>
      <c r="D27" s="12"/>
      <c r="E27" s="12"/>
      <c r="F27" s="25">
        <f t="shared" si="9"/>
        <v>0</v>
      </c>
      <c r="G27" s="26">
        <f t="shared" si="0"/>
        <v>0</v>
      </c>
      <c r="H27" s="27">
        <f t="shared" si="1"/>
        <v>0</v>
      </c>
      <c r="I27" s="45"/>
      <c r="J27" s="8" t="str">
        <f t="shared" si="10"/>
        <v>V</v>
      </c>
      <c r="K27" s="151" t="str">
        <f>TEXT('Table '!AF25,"jj mmm aa")</f>
        <v>20 avr 18</v>
      </c>
      <c r="L27" s="25"/>
      <c r="M27" s="25"/>
      <c r="N27" s="25">
        <f t="shared" si="11"/>
        <v>0</v>
      </c>
      <c r="O27" s="26">
        <f t="shared" si="2"/>
        <v>0</v>
      </c>
      <c r="P27" s="27">
        <f t="shared" si="3"/>
        <v>0</v>
      </c>
      <c r="R27" s="8" t="str">
        <f t="shared" si="12"/>
        <v>V</v>
      </c>
      <c r="S27" s="151" t="str">
        <f>TEXT('Table '!AF25,"jj mmm aa")</f>
        <v>20 avr 18</v>
      </c>
      <c r="T27" s="12"/>
      <c r="U27" s="12"/>
      <c r="V27" s="12">
        <f t="shared" si="13"/>
        <v>0</v>
      </c>
      <c r="W27" s="13">
        <f t="shared" si="4"/>
        <v>0</v>
      </c>
      <c r="X27" s="14">
        <f t="shared" si="5"/>
        <v>0</v>
      </c>
      <c r="Y27" s="21"/>
      <c r="Z27" s="131" t="str">
        <f t="shared" si="14"/>
        <v>V</v>
      </c>
      <c r="AA27" s="138" t="str">
        <f>TEXT('Table '!AF25,"jj mmm aa")</f>
        <v>20 avr 18</v>
      </c>
      <c r="AB27" s="18"/>
      <c r="AC27" s="18"/>
      <c r="AD27" s="18">
        <f t="shared" si="15"/>
        <v>0</v>
      </c>
      <c r="AE27" s="146">
        <f t="shared" si="6"/>
        <v>0</v>
      </c>
      <c r="AF27" s="20">
        <f t="shared" si="7"/>
        <v>0</v>
      </c>
    </row>
    <row r="28" spans="2:32" s="7" customFormat="1">
      <c r="B28" s="8" t="str">
        <f t="shared" si="8"/>
        <v>S</v>
      </c>
      <c r="C28" s="151" t="str">
        <f>TEXT('Table '!AF26,"jj mmm aa")</f>
        <v>21 avr 18</v>
      </c>
      <c r="D28" s="12"/>
      <c r="E28" s="12"/>
      <c r="F28" s="25">
        <f t="shared" si="9"/>
        <v>0</v>
      </c>
      <c r="G28" s="26">
        <f t="shared" si="0"/>
        <v>0</v>
      </c>
      <c r="H28" s="27">
        <f t="shared" si="1"/>
        <v>0</v>
      </c>
      <c r="I28" s="45"/>
      <c r="J28" s="8" t="str">
        <f t="shared" si="10"/>
        <v>S</v>
      </c>
      <c r="K28" s="151" t="str">
        <f>TEXT('Table '!AF26,"jj mmm aa")</f>
        <v>21 avr 18</v>
      </c>
      <c r="L28" s="25"/>
      <c r="M28" s="25"/>
      <c r="N28" s="25">
        <f t="shared" si="11"/>
        <v>0</v>
      </c>
      <c r="O28" s="26">
        <f t="shared" si="2"/>
        <v>0</v>
      </c>
      <c r="P28" s="27">
        <f t="shared" si="3"/>
        <v>0</v>
      </c>
      <c r="R28" s="8" t="str">
        <f t="shared" si="12"/>
        <v>S</v>
      </c>
      <c r="S28" s="151" t="str">
        <f>TEXT('Table '!AF26,"jj mmm aa")</f>
        <v>21 avr 18</v>
      </c>
      <c r="T28" s="12"/>
      <c r="U28" s="12"/>
      <c r="V28" s="12">
        <f t="shared" si="13"/>
        <v>0</v>
      </c>
      <c r="W28" s="13">
        <f t="shared" si="4"/>
        <v>0</v>
      </c>
      <c r="X28" s="14">
        <f t="shared" si="5"/>
        <v>0</v>
      </c>
      <c r="Y28" s="21"/>
      <c r="Z28" s="131" t="str">
        <f t="shared" si="14"/>
        <v>S</v>
      </c>
      <c r="AA28" s="138" t="str">
        <f>TEXT('Table '!AF26,"jj mmm aa")</f>
        <v>21 avr 18</v>
      </c>
      <c r="AB28" s="18"/>
      <c r="AC28" s="18"/>
      <c r="AD28" s="18">
        <f t="shared" si="15"/>
        <v>0</v>
      </c>
      <c r="AE28" s="146">
        <f t="shared" si="6"/>
        <v>0</v>
      </c>
      <c r="AF28" s="20">
        <f t="shared" si="7"/>
        <v>0</v>
      </c>
    </row>
    <row r="29" spans="2:32" s="7" customFormat="1">
      <c r="B29" s="8" t="str">
        <f t="shared" si="8"/>
        <v>D</v>
      </c>
      <c r="C29" s="151" t="str">
        <f>TEXT('Table '!AF27,"jj mmm aa")</f>
        <v>22 avr 18</v>
      </c>
      <c r="D29" s="12"/>
      <c r="E29" s="12"/>
      <c r="F29" s="25">
        <f t="shared" si="9"/>
        <v>0</v>
      </c>
      <c r="G29" s="26">
        <f t="shared" si="0"/>
        <v>0</v>
      </c>
      <c r="H29" s="27">
        <f t="shared" si="1"/>
        <v>0</v>
      </c>
      <c r="I29" s="45"/>
      <c r="J29" s="8" t="str">
        <f t="shared" si="10"/>
        <v>D</v>
      </c>
      <c r="K29" s="151" t="str">
        <f>TEXT('Table '!AF27,"jj mmm aa")</f>
        <v>22 avr 18</v>
      </c>
      <c r="L29" s="25"/>
      <c r="M29" s="25"/>
      <c r="N29" s="25">
        <f t="shared" si="11"/>
        <v>0</v>
      </c>
      <c r="O29" s="26">
        <f t="shared" si="2"/>
        <v>0</v>
      </c>
      <c r="P29" s="27">
        <f t="shared" si="3"/>
        <v>0</v>
      </c>
      <c r="R29" s="8" t="str">
        <f t="shared" si="12"/>
        <v>D</v>
      </c>
      <c r="S29" s="151" t="str">
        <f>TEXT('Table '!AF27,"jj mmm aa")</f>
        <v>22 avr 18</v>
      </c>
      <c r="T29" s="12"/>
      <c r="U29" s="12"/>
      <c r="V29" s="12">
        <f t="shared" si="13"/>
        <v>0</v>
      </c>
      <c r="W29" s="13">
        <f t="shared" si="4"/>
        <v>0</v>
      </c>
      <c r="X29" s="14">
        <f t="shared" si="5"/>
        <v>0</v>
      </c>
      <c r="Y29" s="21"/>
      <c r="Z29" s="131" t="str">
        <f t="shared" si="14"/>
        <v>D</v>
      </c>
      <c r="AA29" s="138" t="str">
        <f>TEXT('Table '!AF27,"jj mmm aa")</f>
        <v>22 avr 18</v>
      </c>
      <c r="AB29" s="18"/>
      <c r="AC29" s="18"/>
      <c r="AD29" s="18">
        <f t="shared" si="15"/>
        <v>0</v>
      </c>
      <c r="AE29" s="146">
        <f t="shared" si="6"/>
        <v>0</v>
      </c>
      <c r="AF29" s="20">
        <f t="shared" si="7"/>
        <v>0</v>
      </c>
    </row>
    <row r="30" spans="2:32" s="7" customFormat="1">
      <c r="B30" s="8" t="str">
        <f t="shared" si="8"/>
        <v>L</v>
      </c>
      <c r="C30" s="151" t="str">
        <f>TEXT('Table '!AF28,"jj mmm aa")</f>
        <v>23 avr 18</v>
      </c>
      <c r="D30" s="25"/>
      <c r="E30" s="25"/>
      <c r="F30" s="25">
        <f t="shared" si="9"/>
        <v>0</v>
      </c>
      <c r="G30" s="26">
        <f t="shared" si="0"/>
        <v>0</v>
      </c>
      <c r="H30" s="27">
        <f t="shared" si="1"/>
        <v>0</v>
      </c>
      <c r="I30" s="45"/>
      <c r="J30" s="8" t="str">
        <f t="shared" si="10"/>
        <v>L</v>
      </c>
      <c r="K30" s="151" t="str">
        <f>TEXT('Table '!AF28,"jj mmm aa")</f>
        <v>23 avr 18</v>
      </c>
      <c r="L30" s="25"/>
      <c r="M30" s="25"/>
      <c r="N30" s="25">
        <f t="shared" si="11"/>
        <v>0</v>
      </c>
      <c r="O30" s="26">
        <f t="shared" si="2"/>
        <v>0</v>
      </c>
      <c r="P30" s="27">
        <f t="shared" si="3"/>
        <v>0</v>
      </c>
      <c r="R30" s="8" t="str">
        <f t="shared" si="12"/>
        <v>L</v>
      </c>
      <c r="S30" s="151" t="str">
        <f>TEXT('Table '!AF28,"jj mmm aa")</f>
        <v>23 avr 18</v>
      </c>
      <c r="T30" s="12"/>
      <c r="U30" s="12"/>
      <c r="V30" s="12">
        <f t="shared" si="13"/>
        <v>0</v>
      </c>
      <c r="W30" s="13">
        <f t="shared" si="4"/>
        <v>0</v>
      </c>
      <c r="X30" s="14">
        <f t="shared" si="5"/>
        <v>0</v>
      </c>
      <c r="Y30" s="21"/>
      <c r="Z30" s="131" t="str">
        <f t="shared" si="14"/>
        <v>L</v>
      </c>
      <c r="AA30" s="138" t="str">
        <f>TEXT('Table '!AF28,"jj mmm aa")</f>
        <v>23 avr 18</v>
      </c>
      <c r="AB30" s="18"/>
      <c r="AC30" s="18"/>
      <c r="AD30" s="18">
        <f t="shared" si="15"/>
        <v>0</v>
      </c>
      <c r="AE30" s="146">
        <f t="shared" si="6"/>
        <v>0</v>
      </c>
      <c r="AF30" s="20">
        <f t="shared" si="7"/>
        <v>0</v>
      </c>
    </row>
    <row r="31" spans="2:32" s="7" customFormat="1">
      <c r="B31" s="8" t="str">
        <f t="shared" si="8"/>
        <v>M</v>
      </c>
      <c r="C31" s="151" t="str">
        <f>TEXT('Table '!AF29,"jj mmm aa")</f>
        <v>24 avr 18</v>
      </c>
      <c r="D31" s="25"/>
      <c r="E31" s="25"/>
      <c r="F31" s="25">
        <f t="shared" si="9"/>
        <v>0</v>
      </c>
      <c r="G31" s="26">
        <f t="shared" si="0"/>
        <v>0</v>
      </c>
      <c r="H31" s="27">
        <f t="shared" si="1"/>
        <v>0</v>
      </c>
      <c r="I31" s="45"/>
      <c r="J31" s="8" t="str">
        <f t="shared" si="10"/>
        <v>M</v>
      </c>
      <c r="K31" s="151" t="str">
        <f>TEXT('Table '!AF29,"jj mmm aa")</f>
        <v>24 avr 18</v>
      </c>
      <c r="L31" s="25"/>
      <c r="M31" s="25"/>
      <c r="N31" s="25">
        <f t="shared" si="11"/>
        <v>0</v>
      </c>
      <c r="O31" s="26">
        <f t="shared" si="2"/>
        <v>0</v>
      </c>
      <c r="P31" s="27">
        <f t="shared" si="3"/>
        <v>0</v>
      </c>
      <c r="R31" s="8" t="str">
        <f t="shared" si="12"/>
        <v>M</v>
      </c>
      <c r="S31" s="151" t="str">
        <f>TEXT('Table '!AF29,"jj mmm aa")</f>
        <v>24 avr 18</v>
      </c>
      <c r="T31" s="12"/>
      <c r="U31" s="12"/>
      <c r="V31" s="12">
        <f t="shared" si="13"/>
        <v>0</v>
      </c>
      <c r="W31" s="13">
        <f t="shared" si="4"/>
        <v>0</v>
      </c>
      <c r="X31" s="14">
        <f t="shared" si="5"/>
        <v>0</v>
      </c>
      <c r="Y31" s="21"/>
      <c r="Z31" s="131" t="str">
        <f t="shared" si="14"/>
        <v>M</v>
      </c>
      <c r="AA31" s="138" t="str">
        <f>TEXT('Table '!AF29,"jj mmm aa")</f>
        <v>24 avr 18</v>
      </c>
      <c r="AB31" s="18"/>
      <c r="AC31" s="18"/>
      <c r="AD31" s="18">
        <f t="shared" si="15"/>
        <v>0</v>
      </c>
      <c r="AE31" s="146">
        <f t="shared" si="6"/>
        <v>0</v>
      </c>
      <c r="AF31" s="20">
        <f t="shared" si="7"/>
        <v>0</v>
      </c>
    </row>
    <row r="32" spans="2:32" s="7" customFormat="1">
      <c r="B32" s="8" t="str">
        <f t="shared" si="8"/>
        <v>M</v>
      </c>
      <c r="C32" s="151" t="str">
        <f>TEXT('Table '!AF30,"jj mmm aa")</f>
        <v>25 avr 18</v>
      </c>
      <c r="D32" s="12"/>
      <c r="E32" s="12"/>
      <c r="F32" s="25">
        <f t="shared" si="9"/>
        <v>0</v>
      </c>
      <c r="G32" s="26">
        <f t="shared" si="0"/>
        <v>0</v>
      </c>
      <c r="H32" s="27">
        <f t="shared" si="1"/>
        <v>0</v>
      </c>
      <c r="I32" s="45"/>
      <c r="J32" s="8" t="str">
        <f t="shared" si="10"/>
        <v>M</v>
      </c>
      <c r="K32" s="151" t="str">
        <f>TEXT('Table '!AF30,"jj mmm aa")</f>
        <v>25 avr 18</v>
      </c>
      <c r="L32" s="25"/>
      <c r="M32" s="25"/>
      <c r="N32" s="25">
        <f t="shared" si="11"/>
        <v>0</v>
      </c>
      <c r="O32" s="26">
        <f t="shared" si="2"/>
        <v>0</v>
      </c>
      <c r="P32" s="27">
        <f t="shared" si="3"/>
        <v>0</v>
      </c>
      <c r="R32" s="8" t="str">
        <f t="shared" si="12"/>
        <v>M</v>
      </c>
      <c r="S32" s="151" t="str">
        <f>TEXT('Table '!AF30,"jj mmm aa")</f>
        <v>25 avr 18</v>
      </c>
      <c r="T32" s="12"/>
      <c r="U32" s="12"/>
      <c r="V32" s="12">
        <f t="shared" si="13"/>
        <v>0</v>
      </c>
      <c r="W32" s="13">
        <f t="shared" si="4"/>
        <v>0</v>
      </c>
      <c r="X32" s="14">
        <f t="shared" si="5"/>
        <v>0</v>
      </c>
      <c r="Y32" s="21"/>
      <c r="Z32" s="131" t="str">
        <f t="shared" si="14"/>
        <v>M</v>
      </c>
      <c r="AA32" s="138" t="str">
        <f>TEXT('Table '!AF30,"jj mmm aa")</f>
        <v>25 avr 18</v>
      </c>
      <c r="AB32" s="18"/>
      <c r="AC32" s="18"/>
      <c r="AD32" s="18">
        <f t="shared" si="15"/>
        <v>0</v>
      </c>
      <c r="AE32" s="146">
        <f t="shared" si="6"/>
        <v>0</v>
      </c>
      <c r="AF32" s="20">
        <f t="shared" si="7"/>
        <v>0</v>
      </c>
    </row>
    <row r="33" spans="2:32" s="7" customFormat="1">
      <c r="B33" s="8" t="str">
        <f t="shared" si="8"/>
        <v>J</v>
      </c>
      <c r="C33" s="151" t="str">
        <f>TEXT('Table '!AF31,"jj mmm aa")</f>
        <v>26 avr 18</v>
      </c>
      <c r="D33" s="12"/>
      <c r="E33" s="12"/>
      <c r="F33" s="25">
        <f t="shared" si="9"/>
        <v>0</v>
      </c>
      <c r="G33" s="26">
        <f t="shared" si="0"/>
        <v>0</v>
      </c>
      <c r="H33" s="27">
        <f t="shared" si="1"/>
        <v>0</v>
      </c>
      <c r="I33" s="45"/>
      <c r="J33" s="8" t="str">
        <f t="shared" si="10"/>
        <v>J</v>
      </c>
      <c r="K33" s="151" t="str">
        <f>TEXT('Table '!AF31,"jj mmm aa")</f>
        <v>26 avr 18</v>
      </c>
      <c r="L33" s="12"/>
      <c r="M33" s="12"/>
      <c r="N33" s="25">
        <f t="shared" si="11"/>
        <v>0</v>
      </c>
      <c r="O33" s="26">
        <f t="shared" si="2"/>
        <v>0</v>
      </c>
      <c r="P33" s="27">
        <f t="shared" si="3"/>
        <v>0</v>
      </c>
      <c r="R33" s="8" t="str">
        <f t="shared" si="12"/>
        <v>J</v>
      </c>
      <c r="S33" s="151" t="str">
        <f>TEXT('Table '!AF31,"jj mmm aa")</f>
        <v>26 avr 18</v>
      </c>
      <c r="T33" s="12"/>
      <c r="U33" s="12"/>
      <c r="V33" s="12">
        <f t="shared" si="13"/>
        <v>0</v>
      </c>
      <c r="W33" s="13">
        <f t="shared" si="4"/>
        <v>0</v>
      </c>
      <c r="X33" s="14">
        <f t="shared" si="5"/>
        <v>0</v>
      </c>
      <c r="Y33" s="21"/>
      <c r="Z33" s="131" t="str">
        <f t="shared" si="14"/>
        <v>J</v>
      </c>
      <c r="AA33" s="138" t="str">
        <f>TEXT('Table '!AF31,"jj mmm aa")</f>
        <v>26 avr 18</v>
      </c>
      <c r="AB33" s="18"/>
      <c r="AC33" s="18"/>
      <c r="AD33" s="18">
        <f t="shared" si="15"/>
        <v>0</v>
      </c>
      <c r="AE33" s="146">
        <f t="shared" si="6"/>
        <v>0</v>
      </c>
      <c r="AF33" s="20">
        <f t="shared" si="7"/>
        <v>0</v>
      </c>
    </row>
    <row r="34" spans="2:32" s="7" customFormat="1">
      <c r="B34" s="8" t="str">
        <f t="shared" si="8"/>
        <v>V</v>
      </c>
      <c r="C34" s="151" t="str">
        <f>TEXT('Table '!AF32,"jj mmm aa")</f>
        <v>27 avr 18</v>
      </c>
      <c r="D34" s="12"/>
      <c r="E34" s="12"/>
      <c r="F34" s="25">
        <f t="shared" si="9"/>
        <v>0</v>
      </c>
      <c r="G34" s="26">
        <f t="shared" si="0"/>
        <v>0</v>
      </c>
      <c r="H34" s="27">
        <f t="shared" si="1"/>
        <v>0</v>
      </c>
      <c r="I34" s="45"/>
      <c r="J34" s="8" t="str">
        <f t="shared" si="10"/>
        <v>V</v>
      </c>
      <c r="K34" s="151" t="str">
        <f>TEXT('Table '!AF32,"jj mmm aa")</f>
        <v>27 avr 18</v>
      </c>
      <c r="L34" s="12"/>
      <c r="M34" s="12"/>
      <c r="N34" s="25">
        <f t="shared" si="11"/>
        <v>0</v>
      </c>
      <c r="O34" s="26">
        <f t="shared" si="2"/>
        <v>0</v>
      </c>
      <c r="P34" s="27">
        <f t="shared" si="3"/>
        <v>0</v>
      </c>
      <c r="R34" s="8" t="str">
        <f t="shared" si="12"/>
        <v>V</v>
      </c>
      <c r="S34" s="151" t="str">
        <f>TEXT('Table '!AF32,"jj mmm aa")</f>
        <v>27 avr 18</v>
      </c>
      <c r="T34" s="12"/>
      <c r="U34" s="12"/>
      <c r="V34" s="12">
        <f t="shared" si="13"/>
        <v>0</v>
      </c>
      <c r="W34" s="13">
        <f t="shared" si="4"/>
        <v>0</v>
      </c>
      <c r="X34" s="14">
        <f t="shared" si="5"/>
        <v>0</v>
      </c>
      <c r="Y34" s="21"/>
      <c r="Z34" s="131" t="str">
        <f t="shared" si="14"/>
        <v>V</v>
      </c>
      <c r="AA34" s="138" t="str">
        <f>TEXT('Table '!AF32,"jj mmm aa")</f>
        <v>27 avr 18</v>
      </c>
      <c r="AB34" s="18"/>
      <c r="AC34" s="18"/>
      <c r="AD34" s="18">
        <f t="shared" si="15"/>
        <v>0</v>
      </c>
      <c r="AE34" s="146">
        <f t="shared" si="6"/>
        <v>0</v>
      </c>
      <c r="AF34" s="20">
        <f t="shared" si="7"/>
        <v>0</v>
      </c>
    </row>
    <row r="35" spans="2:32" s="7" customFormat="1">
      <c r="B35" s="8" t="str">
        <f t="shared" si="8"/>
        <v>S</v>
      </c>
      <c r="C35" s="151" t="str">
        <f>TEXT('Table '!AF33,"jj mmm aa")</f>
        <v>28 avr 18</v>
      </c>
      <c r="D35" s="12"/>
      <c r="E35" s="12"/>
      <c r="F35" s="25">
        <f t="shared" si="9"/>
        <v>0</v>
      </c>
      <c r="G35" s="26">
        <f t="shared" si="0"/>
        <v>0</v>
      </c>
      <c r="H35" s="27">
        <f t="shared" si="1"/>
        <v>0</v>
      </c>
      <c r="I35" s="45"/>
      <c r="J35" s="8" t="str">
        <f t="shared" si="10"/>
        <v>S</v>
      </c>
      <c r="K35" s="151" t="str">
        <f>TEXT('Table '!AF33,"jj mmm aa")</f>
        <v>28 avr 18</v>
      </c>
      <c r="L35" s="12"/>
      <c r="M35" s="12"/>
      <c r="N35" s="25">
        <f t="shared" si="11"/>
        <v>0</v>
      </c>
      <c r="O35" s="26">
        <f t="shared" si="2"/>
        <v>0</v>
      </c>
      <c r="P35" s="27">
        <f t="shared" si="3"/>
        <v>0</v>
      </c>
      <c r="R35" s="8" t="str">
        <f t="shared" si="12"/>
        <v>S</v>
      </c>
      <c r="S35" s="151" t="str">
        <f>TEXT('Table '!AF33,"jj mmm aa")</f>
        <v>28 avr 18</v>
      </c>
      <c r="T35" s="12"/>
      <c r="U35" s="12"/>
      <c r="V35" s="12">
        <f t="shared" si="13"/>
        <v>0</v>
      </c>
      <c r="W35" s="13">
        <f t="shared" si="4"/>
        <v>0</v>
      </c>
      <c r="X35" s="14">
        <f t="shared" si="5"/>
        <v>0</v>
      </c>
      <c r="Y35" s="21"/>
      <c r="Z35" s="131" t="str">
        <f t="shared" si="14"/>
        <v>S</v>
      </c>
      <c r="AA35" s="138" t="str">
        <f>TEXT('Table '!AF33,"jj mmm aa")</f>
        <v>28 avr 18</v>
      </c>
      <c r="AB35" s="18"/>
      <c r="AC35" s="18"/>
      <c r="AD35" s="18">
        <f t="shared" si="15"/>
        <v>0</v>
      </c>
      <c r="AE35" s="146">
        <f t="shared" si="6"/>
        <v>0</v>
      </c>
      <c r="AF35" s="20">
        <f t="shared" si="7"/>
        <v>0</v>
      </c>
    </row>
    <row r="36" spans="2:32" s="7" customFormat="1">
      <c r="B36" s="8" t="str">
        <f t="shared" si="8"/>
        <v>D</v>
      </c>
      <c r="C36" s="151" t="str">
        <f>TEXT('Table '!AF34,"jj mmm aa")</f>
        <v>29 avr 18</v>
      </c>
      <c r="D36" s="12"/>
      <c r="E36" s="12"/>
      <c r="F36" s="25">
        <f t="shared" si="9"/>
        <v>0</v>
      </c>
      <c r="G36" s="26">
        <f t="shared" si="0"/>
        <v>0</v>
      </c>
      <c r="H36" s="27">
        <f t="shared" si="1"/>
        <v>0</v>
      </c>
      <c r="I36" s="45"/>
      <c r="J36" s="8" t="str">
        <f t="shared" si="10"/>
        <v>D</v>
      </c>
      <c r="K36" s="151" t="str">
        <f>TEXT('Table '!AF34,"jj mmm aa")</f>
        <v>29 avr 18</v>
      </c>
      <c r="L36" s="12"/>
      <c r="M36" s="12"/>
      <c r="N36" s="25">
        <f t="shared" si="11"/>
        <v>0</v>
      </c>
      <c r="O36" s="26">
        <f t="shared" si="2"/>
        <v>0</v>
      </c>
      <c r="P36" s="27">
        <f t="shared" si="3"/>
        <v>0</v>
      </c>
      <c r="R36" s="8" t="str">
        <f t="shared" si="12"/>
        <v>D</v>
      </c>
      <c r="S36" s="151" t="str">
        <f>TEXT('Table '!AF34,"jj mmm aa")</f>
        <v>29 avr 18</v>
      </c>
      <c r="T36" s="12"/>
      <c r="U36" s="12"/>
      <c r="V36" s="12">
        <f t="shared" si="13"/>
        <v>0</v>
      </c>
      <c r="W36" s="13">
        <f t="shared" si="4"/>
        <v>0</v>
      </c>
      <c r="X36" s="14">
        <f t="shared" si="5"/>
        <v>0</v>
      </c>
      <c r="Y36" s="21"/>
      <c r="Z36" s="131" t="str">
        <f t="shared" si="14"/>
        <v>D</v>
      </c>
      <c r="AA36" s="138" t="str">
        <f>TEXT('Table '!AF34,"jj mmm aa")</f>
        <v>29 avr 18</v>
      </c>
      <c r="AB36" s="18"/>
      <c r="AC36" s="18"/>
      <c r="AD36" s="18">
        <f t="shared" si="15"/>
        <v>0</v>
      </c>
      <c r="AE36" s="146">
        <f t="shared" si="6"/>
        <v>0</v>
      </c>
      <c r="AF36" s="20">
        <f t="shared" si="7"/>
        <v>0</v>
      </c>
    </row>
    <row r="37" spans="2:32" s="7" customFormat="1">
      <c r="B37" s="8" t="str">
        <f t="shared" si="8"/>
        <v>L</v>
      </c>
      <c r="C37" s="151" t="str">
        <f>TEXT('Table '!AF35,"jj mmm aa")</f>
        <v>30 avr 18</v>
      </c>
      <c r="D37" s="25"/>
      <c r="E37" s="25"/>
      <c r="F37" s="25">
        <f t="shared" si="9"/>
        <v>0</v>
      </c>
      <c r="G37" s="26">
        <f t="shared" ref="G37" si="16">IF(F37&gt;=$F$1,1,0)</f>
        <v>0</v>
      </c>
      <c r="H37" s="27">
        <f t="shared" ref="H37" si="17">IF(F37&lt;$F$1,F37,0)</f>
        <v>0</v>
      </c>
      <c r="I37" s="45"/>
      <c r="J37" s="8" t="str">
        <f t="shared" si="10"/>
        <v>L</v>
      </c>
      <c r="K37" s="151" t="str">
        <f>TEXT('Table '!AF35,"jj mmm aa")</f>
        <v>30 avr 18</v>
      </c>
      <c r="L37" s="25"/>
      <c r="M37" s="25"/>
      <c r="N37" s="25">
        <f t="shared" si="11"/>
        <v>0</v>
      </c>
      <c r="O37" s="26">
        <f t="shared" si="2"/>
        <v>0</v>
      </c>
      <c r="P37" s="27">
        <f t="shared" si="3"/>
        <v>0</v>
      </c>
      <c r="R37" s="8" t="str">
        <f t="shared" si="12"/>
        <v>L</v>
      </c>
      <c r="S37" s="151" t="str">
        <f>TEXT('Table '!AF35,"jj mmm aa")</f>
        <v>30 avr 18</v>
      </c>
      <c r="T37" s="12"/>
      <c r="U37" s="12"/>
      <c r="V37" s="12">
        <f t="shared" si="13"/>
        <v>0</v>
      </c>
      <c r="W37" s="13">
        <f t="shared" si="4"/>
        <v>0</v>
      </c>
      <c r="X37" s="14">
        <f t="shared" si="5"/>
        <v>0</v>
      </c>
      <c r="Y37" s="21"/>
      <c r="Z37" s="131" t="str">
        <f t="shared" si="14"/>
        <v>L</v>
      </c>
      <c r="AA37" s="138" t="str">
        <f>TEXT('Table '!AF35,"jj mmm aa")</f>
        <v>30 avr 18</v>
      </c>
      <c r="AB37" s="18"/>
      <c r="AC37" s="18"/>
      <c r="AD37" s="18">
        <f t="shared" si="15"/>
        <v>0</v>
      </c>
      <c r="AE37" s="146">
        <f t="shared" si="6"/>
        <v>0</v>
      </c>
      <c r="AF37" s="20">
        <f t="shared" si="7"/>
        <v>0</v>
      </c>
    </row>
    <row r="38" spans="2:32" s="7" customFormat="1" ht="15.75" thickBot="1">
      <c r="B38" s="129"/>
      <c r="C38" s="139"/>
      <c r="D38" s="156"/>
      <c r="E38" s="156"/>
      <c r="F38" s="156"/>
      <c r="G38" s="157"/>
      <c r="H38" s="158"/>
      <c r="I38" s="21"/>
      <c r="J38" s="160"/>
      <c r="K38" s="139"/>
      <c r="L38" s="156"/>
      <c r="M38" s="156"/>
      <c r="N38" s="156"/>
      <c r="O38" s="157"/>
      <c r="P38" s="158"/>
      <c r="Q38" s="21"/>
      <c r="R38" s="160"/>
      <c r="S38" s="139"/>
      <c r="T38" s="156"/>
      <c r="U38" s="156"/>
      <c r="V38" s="156"/>
      <c r="W38" s="157"/>
      <c r="X38" s="158"/>
      <c r="Y38" s="21"/>
      <c r="Z38" s="160"/>
      <c r="AA38" s="139"/>
      <c r="AB38" s="156"/>
      <c r="AC38" s="156"/>
      <c r="AD38" s="156"/>
      <c r="AE38" s="157"/>
      <c r="AF38" s="158">
        <f t="shared" si="7"/>
        <v>0</v>
      </c>
    </row>
    <row r="39" spans="2:32" s="7" customFormat="1" ht="19.5" thickTop="1">
      <c r="B39" s="127"/>
      <c r="C39" s="62"/>
      <c r="D39" s="62"/>
      <c r="E39" s="63" t="s">
        <v>9</v>
      </c>
      <c r="F39" s="62"/>
      <c r="G39" s="64">
        <f>SUM(G8:G38)</f>
        <v>0</v>
      </c>
      <c r="H39" s="65"/>
      <c r="J39" s="127"/>
      <c r="K39" s="62"/>
      <c r="L39" s="62"/>
      <c r="M39" s="63" t="s">
        <v>9</v>
      </c>
      <c r="N39" s="62"/>
      <c r="O39" s="64">
        <f>SUM(O8:O38)</f>
        <v>0</v>
      </c>
      <c r="P39" s="65"/>
      <c r="R39" s="127"/>
      <c r="S39" s="62"/>
      <c r="T39" s="62"/>
      <c r="U39" s="63" t="s">
        <v>9</v>
      </c>
      <c r="V39" s="62"/>
      <c r="W39" s="64">
        <f>SUM(W8:W38)</f>
        <v>0</v>
      </c>
      <c r="X39" s="65"/>
      <c r="Z39" s="127"/>
      <c r="AA39" s="62"/>
      <c r="AB39" s="62"/>
      <c r="AC39" s="63" t="s">
        <v>9</v>
      </c>
      <c r="AD39" s="62"/>
      <c r="AE39" s="64">
        <f>SUM(AE8:AE23)</f>
        <v>0</v>
      </c>
      <c r="AF39" s="65"/>
    </row>
    <row r="40" spans="2:32" s="36" customFormat="1" ht="18.75">
      <c r="B40" s="128"/>
      <c r="C40" s="33"/>
      <c r="D40" s="33"/>
      <c r="E40" s="34" t="s">
        <v>10</v>
      </c>
      <c r="F40" s="33"/>
      <c r="G40" s="35"/>
      <c r="H40" s="32">
        <f>SUM(H8:H38)*24</f>
        <v>0</v>
      </c>
      <c r="J40" s="128"/>
      <c r="K40" s="33"/>
      <c r="L40" s="33"/>
      <c r="M40" s="34" t="s">
        <v>10</v>
      </c>
      <c r="N40" s="33"/>
      <c r="O40" s="35"/>
      <c r="P40" s="32">
        <f>SUM(P8:P38)*24</f>
        <v>0</v>
      </c>
      <c r="R40" s="128"/>
      <c r="S40" s="33"/>
      <c r="T40" s="33"/>
      <c r="U40" s="34" t="s">
        <v>10</v>
      </c>
      <c r="V40" s="33"/>
      <c r="W40" s="35"/>
      <c r="X40" s="32">
        <f>SUM(X8:X38)*24</f>
        <v>0</v>
      </c>
      <c r="Z40" s="128"/>
      <c r="AA40" s="33"/>
      <c r="AB40" s="33"/>
      <c r="AC40" s="34" t="s">
        <v>10</v>
      </c>
      <c r="AD40" s="33"/>
      <c r="AE40" s="35"/>
      <c r="AF40" s="32">
        <f>SUM(AF8:AF38)*24</f>
        <v>0</v>
      </c>
    </row>
    <row r="41" spans="2:32" s="7" customFormat="1" ht="6" customHeight="1" thickBot="1">
      <c r="B41" s="129"/>
      <c r="C41" s="16"/>
      <c r="D41" s="16"/>
      <c r="E41" s="16"/>
      <c r="F41" s="16"/>
      <c r="G41" s="16"/>
      <c r="H41" s="17"/>
      <c r="J41" s="129"/>
      <c r="K41" s="16"/>
      <c r="L41" s="16"/>
      <c r="M41" s="16"/>
      <c r="N41" s="16"/>
      <c r="O41" s="16"/>
      <c r="P41" s="17"/>
      <c r="R41" s="129"/>
      <c r="S41" s="16"/>
      <c r="T41" s="16"/>
      <c r="U41" s="16"/>
      <c r="V41" s="16"/>
      <c r="W41" s="16"/>
      <c r="X41" s="17"/>
      <c r="Z41" s="129"/>
      <c r="AA41" s="16"/>
      <c r="AB41" s="16"/>
      <c r="AC41" s="16"/>
      <c r="AD41" s="16"/>
      <c r="AE41" s="16"/>
      <c r="AF41" s="17"/>
    </row>
    <row r="42" spans="2:32" ht="15.75" thickTop="1"/>
  </sheetData>
  <mergeCells count="7">
    <mergeCell ref="Z5:AF6"/>
    <mergeCell ref="L3:N3"/>
    <mergeCell ref="L1:N1"/>
    <mergeCell ref="L2:N2"/>
    <mergeCell ref="B5:H6"/>
    <mergeCell ref="J5:P6"/>
    <mergeCell ref="R5:X6"/>
  </mergeCells>
  <conditionalFormatting sqref="B8:H38 J8:P38 R8:X38 Z8:AF38">
    <cfRule type="expression" dxfId="29" priority="3" stopIfTrue="1">
      <formula>AND($B8="D")</formula>
    </cfRule>
    <cfRule type="expression" dxfId="28" priority="4" stopIfTrue="1">
      <formula>AND($B8="S")</formula>
    </cfRule>
    <cfRule type="expression" dxfId="27" priority="2" stopIfTrue="1">
      <formula>COUNTIF(Feries,$C8)&gt;0</formula>
    </cfRule>
    <cfRule type="expression" dxfId="26" priority="1" stopIfTrue="1">
      <formula>COUNTIF(Paque,$C8)&gt;0</formula>
    </cfRule>
  </conditionalFormatting>
  <pageMargins left="0.7" right="0.7" top="0.75" bottom="0.75" header="0.3" footer="0.3"/>
  <pageSetup paperSize="9" orientation="portrait" horizontalDpi="4294967294" verticalDpi="429496729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6">
    <tabColor theme="4" tint="0.39997558519241921"/>
  </sheetPr>
  <dimension ref="B1:AF42"/>
  <sheetViews>
    <sheetView showGridLines="0" workbookViewId="0">
      <selection activeCell="L3" sqref="L3:N3"/>
    </sheetView>
  </sheetViews>
  <sheetFormatPr baseColWidth="10" defaultRowHeight="15"/>
  <cols>
    <col min="1" max="1" width="1.42578125" customWidth="1"/>
    <col min="2" max="2" width="3.7109375" customWidth="1"/>
    <col min="3" max="8" width="9.5703125" style="1" customWidth="1"/>
    <col min="9" max="9" width="1.7109375" customWidth="1"/>
    <col min="10" max="10" width="3.7109375" customWidth="1"/>
    <col min="11" max="16" width="9.5703125" customWidth="1"/>
    <col min="17" max="17" width="1.7109375" customWidth="1"/>
    <col min="18" max="18" width="3.7109375" customWidth="1"/>
    <col min="19" max="24" width="9.5703125" customWidth="1"/>
    <col min="25" max="25" width="1.7109375" customWidth="1"/>
    <col min="26" max="26" width="3.7109375" customWidth="1"/>
    <col min="27" max="32" width="9.5703125" customWidth="1"/>
  </cols>
  <sheetData>
    <row r="1" spans="2:32">
      <c r="C1" s="56" t="s">
        <v>0</v>
      </c>
      <c r="D1" s="56"/>
      <c r="E1" s="56"/>
      <c r="F1" s="57">
        <v>0.33333333333333331</v>
      </c>
      <c r="G1" s="56" t="s">
        <v>1</v>
      </c>
      <c r="L1" s="363"/>
      <c r="M1" s="363"/>
      <c r="N1" s="363"/>
    </row>
    <row r="2" spans="2:32">
      <c r="C2" s="56" t="s">
        <v>2</v>
      </c>
      <c r="D2" s="57">
        <v>0.33333333333333331</v>
      </c>
      <c r="E2" s="56" t="s">
        <v>3</v>
      </c>
      <c r="F2" s="56"/>
      <c r="G2" s="56"/>
      <c r="L2" s="363"/>
      <c r="M2" s="363"/>
      <c r="N2" s="363"/>
    </row>
    <row r="3" spans="2:32">
      <c r="C3" s="56"/>
      <c r="D3" s="56"/>
      <c r="E3" s="56"/>
      <c r="F3" s="56"/>
      <c r="G3" s="56"/>
      <c r="L3" s="363"/>
      <c r="M3" s="363"/>
      <c r="N3" s="363"/>
    </row>
    <row r="4" spans="2:32" ht="15.75" thickBot="1">
      <c r="C4" s="6"/>
    </row>
    <row r="5" spans="2:32" s="7" customFormat="1" ht="15.75" customHeight="1" thickTop="1">
      <c r="B5" s="338">
        <f>'Table '!C3</f>
        <v>1</v>
      </c>
      <c r="C5" s="339"/>
      <c r="D5" s="339"/>
      <c r="E5" s="339"/>
      <c r="F5" s="339"/>
      <c r="G5" s="339"/>
      <c r="H5" s="340"/>
      <c r="J5" s="344">
        <f>'Table '!G3</f>
        <v>2</v>
      </c>
      <c r="K5" s="345"/>
      <c r="L5" s="345"/>
      <c r="M5" s="345"/>
      <c r="N5" s="345"/>
      <c r="O5" s="345"/>
      <c r="P5" s="346"/>
      <c r="R5" s="350">
        <f>'Table '!C6</f>
        <v>3</v>
      </c>
      <c r="S5" s="351"/>
      <c r="T5" s="351"/>
      <c r="U5" s="351"/>
      <c r="V5" s="351"/>
      <c r="W5" s="351"/>
      <c r="X5" s="352"/>
      <c r="Z5" s="356">
        <f>'Table '!G6</f>
        <v>4</v>
      </c>
      <c r="AA5" s="357"/>
      <c r="AB5" s="357"/>
      <c r="AC5" s="357"/>
      <c r="AD5" s="357"/>
      <c r="AE5" s="357"/>
      <c r="AF5" s="358"/>
    </row>
    <row r="6" spans="2:32" s="7" customFormat="1" ht="15" customHeight="1">
      <c r="B6" s="341"/>
      <c r="C6" s="342"/>
      <c r="D6" s="342"/>
      <c r="E6" s="342"/>
      <c r="F6" s="342"/>
      <c r="G6" s="342"/>
      <c r="H6" s="343"/>
      <c r="J6" s="347"/>
      <c r="K6" s="348"/>
      <c r="L6" s="348"/>
      <c r="M6" s="348"/>
      <c r="N6" s="348"/>
      <c r="O6" s="348"/>
      <c r="P6" s="349"/>
      <c r="R6" s="353"/>
      <c r="S6" s="354"/>
      <c r="T6" s="354"/>
      <c r="U6" s="354"/>
      <c r="V6" s="354"/>
      <c r="W6" s="354"/>
      <c r="X6" s="355"/>
      <c r="Z6" s="359"/>
      <c r="AA6" s="360"/>
      <c r="AB6" s="360"/>
      <c r="AC6" s="360"/>
      <c r="AD6" s="360"/>
      <c r="AE6" s="360"/>
      <c r="AF6" s="361"/>
    </row>
    <row r="7" spans="2:32" s="11" customFormat="1" ht="39" customHeight="1">
      <c r="B7" s="8"/>
      <c r="C7" s="15"/>
      <c r="D7" s="9" t="s">
        <v>4</v>
      </c>
      <c r="E7" s="9" t="s">
        <v>5</v>
      </c>
      <c r="F7" s="9" t="s">
        <v>6</v>
      </c>
      <c r="G7" s="9" t="s">
        <v>7</v>
      </c>
      <c r="H7" s="10" t="s">
        <v>8</v>
      </c>
      <c r="J7" s="8"/>
      <c r="K7" s="15"/>
      <c r="L7" s="9" t="s">
        <v>4</v>
      </c>
      <c r="M7" s="9" t="s">
        <v>5</v>
      </c>
      <c r="N7" s="9" t="s">
        <v>6</v>
      </c>
      <c r="O7" s="9" t="s">
        <v>7</v>
      </c>
      <c r="P7" s="10" t="s">
        <v>8</v>
      </c>
      <c r="R7" s="8"/>
      <c r="S7" s="15"/>
      <c r="T7" s="9" t="s">
        <v>4</v>
      </c>
      <c r="U7" s="9" t="s">
        <v>5</v>
      </c>
      <c r="V7" s="9" t="s">
        <v>6</v>
      </c>
      <c r="W7" s="9" t="s">
        <v>7</v>
      </c>
      <c r="X7" s="10" t="s">
        <v>8</v>
      </c>
      <c r="Z7" s="8"/>
      <c r="AA7" s="15"/>
      <c r="AB7" s="9" t="s">
        <v>4</v>
      </c>
      <c r="AC7" s="9" t="s">
        <v>5</v>
      </c>
      <c r="AD7" s="9" t="s">
        <v>6</v>
      </c>
      <c r="AE7" s="9" t="s">
        <v>7</v>
      </c>
      <c r="AF7" s="10" t="s">
        <v>8</v>
      </c>
    </row>
    <row r="8" spans="2:32" s="7" customFormat="1">
      <c r="B8" s="8" t="str">
        <f>CHOOSE(WEEKDAY(C8),"D","L","M","M","J","V","S")</f>
        <v>M</v>
      </c>
      <c r="C8" s="164" t="str">
        <f>TEXT('Table '!AG6,"jj mmm aa")</f>
        <v>01 mai 18</v>
      </c>
      <c r="D8" s="12"/>
      <c r="E8" s="12"/>
      <c r="F8" s="12">
        <f>E8-D8</f>
        <v>0</v>
      </c>
      <c r="G8" s="13">
        <f t="shared" ref="G8:G38" si="0">IF(F8&gt;=$F$1,1,0)</f>
        <v>0</v>
      </c>
      <c r="H8" s="14">
        <f t="shared" ref="H8:H38" si="1">IF(F8&lt;$F$1,F8,0)</f>
        <v>0</v>
      </c>
      <c r="J8" s="8" t="str">
        <f>CHOOSE(WEEKDAY(C8),"D","L","M","M","J","V","S")</f>
        <v>M</v>
      </c>
      <c r="K8" s="151" t="str">
        <f>TEXT('Table '!AG6,"jj mmm aa")</f>
        <v>01 mai 18</v>
      </c>
      <c r="L8" s="12"/>
      <c r="M8" s="12"/>
      <c r="N8" s="12">
        <f>M8-L8</f>
        <v>0</v>
      </c>
      <c r="O8" s="13">
        <f t="shared" ref="O8:O38" si="2">IF(N8&gt;=$F$1,1,0)</f>
        <v>0</v>
      </c>
      <c r="P8" s="14">
        <f t="shared" ref="P8:P38" si="3">IF(N8&lt;$F$1,N8,0)</f>
        <v>0</v>
      </c>
      <c r="R8" s="8" t="str">
        <f>CHOOSE(WEEKDAY(C8),"D","L","M","M","J","V","S")</f>
        <v>M</v>
      </c>
      <c r="S8" s="151" t="str">
        <f>TEXT('Table '!AG6,"jj mmm aa")</f>
        <v>01 mai 18</v>
      </c>
      <c r="T8" s="12"/>
      <c r="U8" s="12"/>
      <c r="V8" s="12">
        <f>U8-T8</f>
        <v>0</v>
      </c>
      <c r="W8" s="13">
        <f t="shared" ref="W8:W38" si="4">IF(V8&gt;=$F$1,1,0)</f>
        <v>0</v>
      </c>
      <c r="X8" s="14">
        <f t="shared" ref="X8:X38" si="5">IF(V8&lt;$F$1,V8,0)</f>
        <v>0</v>
      </c>
      <c r="Y8" s="21"/>
      <c r="Z8" s="131" t="str">
        <f>CHOOSE(WEEKDAY(C8),"D","L","M","M","J","V","S")</f>
        <v>M</v>
      </c>
      <c r="AA8" s="138" t="str">
        <f>TEXT('Table '!AG6,"jj mmm aa")</f>
        <v>01 mai 18</v>
      </c>
      <c r="AB8" s="18"/>
      <c r="AC8" s="18"/>
      <c r="AD8" s="18">
        <f>AC8-AB8</f>
        <v>0</v>
      </c>
      <c r="AE8" s="146">
        <f t="shared" ref="AE8:AE38" si="6">IF(AD8&gt;=$F$1,1,0)</f>
        <v>0</v>
      </c>
      <c r="AF8" s="20">
        <f t="shared" ref="AF8:AF38" si="7">IF(AD8&lt;$F$1,AD8,0)</f>
        <v>0</v>
      </c>
    </row>
    <row r="9" spans="2:32" s="7" customFormat="1">
      <c r="B9" s="8" t="str">
        <f t="shared" ref="B9:B38" si="8">CHOOSE(WEEKDAY(C9),"D","L","M","M","J","V","S")</f>
        <v>M</v>
      </c>
      <c r="C9" s="164" t="str">
        <f>TEXT('Table '!AG7,"jj mmm aa")</f>
        <v>02 mai 18</v>
      </c>
      <c r="D9" s="12"/>
      <c r="E9" s="12"/>
      <c r="F9" s="12">
        <f t="shared" ref="F9:F36" si="9">E9-D9</f>
        <v>0</v>
      </c>
      <c r="G9" s="13">
        <f t="shared" si="0"/>
        <v>0</v>
      </c>
      <c r="H9" s="14">
        <f t="shared" si="1"/>
        <v>0</v>
      </c>
      <c r="J9" s="8" t="str">
        <f t="shared" ref="J9:J38" si="10">CHOOSE(WEEKDAY(C9),"D","L","M","M","J","V","S")</f>
        <v>M</v>
      </c>
      <c r="K9" s="151" t="str">
        <f>TEXT('Table '!AG7,"jj mmm aa")</f>
        <v>02 mai 18</v>
      </c>
      <c r="L9" s="12"/>
      <c r="M9" s="12"/>
      <c r="N9" s="12">
        <f t="shared" ref="N9:N38" si="11">M9-L9</f>
        <v>0</v>
      </c>
      <c r="O9" s="13">
        <f t="shared" si="2"/>
        <v>0</v>
      </c>
      <c r="P9" s="14">
        <f t="shared" si="3"/>
        <v>0</v>
      </c>
      <c r="R9" s="8" t="str">
        <f t="shared" ref="R9:R38" si="12">CHOOSE(WEEKDAY(C9),"D","L","M","M","J","V","S")</f>
        <v>M</v>
      </c>
      <c r="S9" s="151" t="str">
        <f>TEXT('Table '!AG7,"jj mmm aa")</f>
        <v>02 mai 18</v>
      </c>
      <c r="T9" s="12"/>
      <c r="U9" s="12"/>
      <c r="V9" s="12">
        <f t="shared" ref="V9:V38" si="13">U9-T9</f>
        <v>0</v>
      </c>
      <c r="W9" s="13">
        <f t="shared" si="4"/>
        <v>0</v>
      </c>
      <c r="X9" s="14">
        <f t="shared" si="5"/>
        <v>0</v>
      </c>
      <c r="Y9" s="21"/>
      <c r="Z9" s="131" t="str">
        <f t="shared" ref="Z9:Z38" si="14">CHOOSE(WEEKDAY(C9),"D","L","M","M","J","V","S")</f>
        <v>M</v>
      </c>
      <c r="AA9" s="138" t="str">
        <f>TEXT('Table '!AG7,"jj mmm aa")</f>
        <v>02 mai 18</v>
      </c>
      <c r="AB9" s="18"/>
      <c r="AC9" s="18"/>
      <c r="AD9" s="18">
        <f t="shared" ref="AD9:AD38" si="15">AC9-AB9</f>
        <v>0</v>
      </c>
      <c r="AE9" s="146">
        <f t="shared" si="6"/>
        <v>0</v>
      </c>
      <c r="AF9" s="20">
        <f t="shared" si="7"/>
        <v>0</v>
      </c>
    </row>
    <row r="10" spans="2:32" s="7" customFormat="1">
      <c r="B10" s="8" t="str">
        <f t="shared" si="8"/>
        <v>J</v>
      </c>
      <c r="C10" s="164" t="str">
        <f>TEXT('Table '!AG8,"jj mmm aa")</f>
        <v>03 mai 18</v>
      </c>
      <c r="D10" s="12"/>
      <c r="E10" s="12"/>
      <c r="F10" s="12">
        <f t="shared" si="9"/>
        <v>0</v>
      </c>
      <c r="G10" s="13">
        <f t="shared" si="0"/>
        <v>0</v>
      </c>
      <c r="H10" s="14">
        <f t="shared" si="1"/>
        <v>0</v>
      </c>
      <c r="J10" s="8" t="str">
        <f t="shared" si="10"/>
        <v>J</v>
      </c>
      <c r="K10" s="151" t="str">
        <f>TEXT('Table '!AG8,"jj mmm aa")</f>
        <v>03 mai 18</v>
      </c>
      <c r="L10" s="12"/>
      <c r="M10" s="12"/>
      <c r="N10" s="12">
        <f t="shared" si="11"/>
        <v>0</v>
      </c>
      <c r="O10" s="13">
        <f t="shared" si="2"/>
        <v>0</v>
      </c>
      <c r="P10" s="14">
        <f t="shared" si="3"/>
        <v>0</v>
      </c>
      <c r="R10" s="8" t="str">
        <f t="shared" si="12"/>
        <v>J</v>
      </c>
      <c r="S10" s="151" t="str">
        <f>TEXT('Table '!AG8,"jj mmm aa")</f>
        <v>03 mai 18</v>
      </c>
      <c r="T10" s="12"/>
      <c r="U10" s="12"/>
      <c r="V10" s="12">
        <f t="shared" si="13"/>
        <v>0</v>
      </c>
      <c r="W10" s="13">
        <f t="shared" si="4"/>
        <v>0</v>
      </c>
      <c r="X10" s="14">
        <f t="shared" si="5"/>
        <v>0</v>
      </c>
      <c r="Y10" s="21"/>
      <c r="Z10" s="131" t="str">
        <f t="shared" si="14"/>
        <v>J</v>
      </c>
      <c r="AA10" s="138" t="str">
        <f>TEXT('Table '!AG8,"jj mmm aa")</f>
        <v>03 mai 18</v>
      </c>
      <c r="AB10" s="18"/>
      <c r="AC10" s="18"/>
      <c r="AD10" s="18">
        <f t="shared" si="15"/>
        <v>0</v>
      </c>
      <c r="AE10" s="146">
        <f t="shared" si="6"/>
        <v>0</v>
      </c>
      <c r="AF10" s="20">
        <f t="shared" si="7"/>
        <v>0</v>
      </c>
    </row>
    <row r="11" spans="2:32" s="7" customFormat="1">
      <c r="B11" s="8" t="str">
        <f t="shared" si="8"/>
        <v>V</v>
      </c>
      <c r="C11" s="164" t="str">
        <f>TEXT('Table '!AG9,"jj mmm aa")</f>
        <v>04 mai 18</v>
      </c>
      <c r="D11" s="12"/>
      <c r="E11" s="12"/>
      <c r="F11" s="25">
        <f t="shared" si="9"/>
        <v>0</v>
      </c>
      <c r="G11" s="26">
        <f t="shared" si="0"/>
        <v>0</v>
      </c>
      <c r="H11" s="27">
        <f t="shared" si="1"/>
        <v>0</v>
      </c>
      <c r="I11" s="45"/>
      <c r="J11" s="8" t="str">
        <f t="shared" si="10"/>
        <v>V</v>
      </c>
      <c r="K11" s="151" t="str">
        <f>TEXT('Table '!AG9,"jj mmm aa")</f>
        <v>04 mai 18</v>
      </c>
      <c r="L11" s="25"/>
      <c r="M11" s="25"/>
      <c r="N11" s="25">
        <f>M11-L11</f>
        <v>0</v>
      </c>
      <c r="O11" s="26">
        <f t="shared" si="2"/>
        <v>0</v>
      </c>
      <c r="P11" s="27">
        <f t="shared" si="3"/>
        <v>0</v>
      </c>
      <c r="R11" s="8" t="str">
        <f t="shared" si="12"/>
        <v>V</v>
      </c>
      <c r="S11" s="151" t="str">
        <f>TEXT('Table '!AG9,"jj mmm aa")</f>
        <v>04 mai 18</v>
      </c>
      <c r="T11" s="12"/>
      <c r="U11" s="12"/>
      <c r="V11" s="12">
        <f t="shared" si="13"/>
        <v>0</v>
      </c>
      <c r="W11" s="13">
        <f t="shared" si="4"/>
        <v>0</v>
      </c>
      <c r="X11" s="14">
        <f t="shared" si="5"/>
        <v>0</v>
      </c>
      <c r="Y11" s="21"/>
      <c r="Z11" s="131" t="str">
        <f t="shared" si="14"/>
        <v>V</v>
      </c>
      <c r="AA11" s="138" t="str">
        <f>TEXT('Table '!AG9,"jj mmm aa")</f>
        <v>04 mai 18</v>
      </c>
      <c r="AB11" s="18"/>
      <c r="AC11" s="18"/>
      <c r="AD11" s="18">
        <f t="shared" si="15"/>
        <v>0</v>
      </c>
      <c r="AE11" s="146">
        <f t="shared" si="6"/>
        <v>0</v>
      </c>
      <c r="AF11" s="20">
        <f t="shared" si="7"/>
        <v>0</v>
      </c>
    </row>
    <row r="12" spans="2:32" s="7" customFormat="1">
      <c r="B12" s="8" t="str">
        <f t="shared" si="8"/>
        <v>S</v>
      </c>
      <c r="C12" s="164" t="str">
        <f>TEXT('Table '!AG10,"jj mmm aa")</f>
        <v>05 mai 18</v>
      </c>
      <c r="D12" s="12"/>
      <c r="E12" s="12"/>
      <c r="F12" s="25">
        <f t="shared" si="9"/>
        <v>0</v>
      </c>
      <c r="G12" s="26">
        <f t="shared" si="0"/>
        <v>0</v>
      </c>
      <c r="H12" s="27">
        <f t="shared" si="1"/>
        <v>0</v>
      </c>
      <c r="I12" s="45"/>
      <c r="J12" s="8" t="str">
        <f t="shared" si="10"/>
        <v>S</v>
      </c>
      <c r="K12" s="151" t="str">
        <f>TEXT('Table '!AG10,"jj mmm aa")</f>
        <v>05 mai 18</v>
      </c>
      <c r="L12" s="12"/>
      <c r="M12" s="12"/>
      <c r="N12" s="25">
        <f>M12-L12</f>
        <v>0</v>
      </c>
      <c r="O12" s="26">
        <f t="shared" si="2"/>
        <v>0</v>
      </c>
      <c r="P12" s="27">
        <f t="shared" si="3"/>
        <v>0</v>
      </c>
      <c r="R12" s="8" t="str">
        <f t="shared" si="12"/>
        <v>S</v>
      </c>
      <c r="S12" s="151" t="str">
        <f>TEXT('Table '!AG10,"jj mmm aa")</f>
        <v>05 mai 18</v>
      </c>
      <c r="T12" s="12"/>
      <c r="U12" s="12"/>
      <c r="V12" s="12">
        <f t="shared" si="13"/>
        <v>0</v>
      </c>
      <c r="W12" s="13">
        <f t="shared" si="4"/>
        <v>0</v>
      </c>
      <c r="X12" s="14">
        <f t="shared" si="5"/>
        <v>0</v>
      </c>
      <c r="Y12" s="21"/>
      <c r="Z12" s="131" t="str">
        <f t="shared" si="14"/>
        <v>S</v>
      </c>
      <c r="AA12" s="138" t="str">
        <f>TEXT('Table '!AG10,"jj mmm aa")</f>
        <v>05 mai 18</v>
      </c>
      <c r="AB12" s="18"/>
      <c r="AC12" s="18"/>
      <c r="AD12" s="18">
        <f t="shared" si="15"/>
        <v>0</v>
      </c>
      <c r="AE12" s="146">
        <f t="shared" si="6"/>
        <v>0</v>
      </c>
      <c r="AF12" s="20">
        <f t="shared" si="7"/>
        <v>0</v>
      </c>
    </row>
    <row r="13" spans="2:32" s="7" customFormat="1">
      <c r="B13" s="8" t="str">
        <f t="shared" si="8"/>
        <v>D</v>
      </c>
      <c r="C13" s="164" t="str">
        <f>TEXT('Table '!AG11,"jj mmm aa")</f>
        <v>06 mai 18</v>
      </c>
      <c r="D13" s="12"/>
      <c r="E13" s="12"/>
      <c r="F13" s="25">
        <f t="shared" si="9"/>
        <v>0</v>
      </c>
      <c r="G13" s="26">
        <f t="shared" si="0"/>
        <v>0</v>
      </c>
      <c r="H13" s="27">
        <f t="shared" si="1"/>
        <v>0</v>
      </c>
      <c r="I13" s="45"/>
      <c r="J13" s="8" t="str">
        <f t="shared" si="10"/>
        <v>D</v>
      </c>
      <c r="K13" s="151" t="str">
        <f>TEXT('Table '!AG11,"jj mmm aa")</f>
        <v>06 mai 18</v>
      </c>
      <c r="L13" s="12"/>
      <c r="M13" s="12"/>
      <c r="N13" s="25">
        <f t="shared" si="11"/>
        <v>0</v>
      </c>
      <c r="O13" s="26">
        <f t="shared" si="2"/>
        <v>0</v>
      </c>
      <c r="P13" s="27">
        <f t="shared" si="3"/>
        <v>0</v>
      </c>
      <c r="R13" s="8" t="str">
        <f t="shared" si="12"/>
        <v>D</v>
      </c>
      <c r="S13" s="151" t="str">
        <f>TEXT('Table '!AG11,"jj mmm aa")</f>
        <v>06 mai 18</v>
      </c>
      <c r="T13" s="12"/>
      <c r="U13" s="12"/>
      <c r="V13" s="12">
        <f t="shared" si="13"/>
        <v>0</v>
      </c>
      <c r="W13" s="13">
        <f t="shared" si="4"/>
        <v>0</v>
      </c>
      <c r="X13" s="14">
        <f t="shared" si="5"/>
        <v>0</v>
      </c>
      <c r="Y13" s="21"/>
      <c r="Z13" s="131" t="str">
        <f t="shared" si="14"/>
        <v>D</v>
      </c>
      <c r="AA13" s="138" t="str">
        <f>TEXT('Table '!AG11,"jj mmm aa")</f>
        <v>06 mai 18</v>
      </c>
      <c r="AB13" s="18"/>
      <c r="AC13" s="18"/>
      <c r="AD13" s="18">
        <f t="shared" si="15"/>
        <v>0</v>
      </c>
      <c r="AE13" s="146">
        <f t="shared" si="6"/>
        <v>0</v>
      </c>
      <c r="AF13" s="20">
        <f t="shared" si="7"/>
        <v>0</v>
      </c>
    </row>
    <row r="14" spans="2:32" s="7" customFormat="1">
      <c r="B14" s="8" t="str">
        <f t="shared" si="8"/>
        <v>L</v>
      </c>
      <c r="C14" s="164" t="str">
        <f>TEXT('Table '!AG12,"jj mmm aa")</f>
        <v>07 mai 18</v>
      </c>
      <c r="D14" s="12"/>
      <c r="E14" s="12"/>
      <c r="F14" s="25">
        <f t="shared" si="9"/>
        <v>0</v>
      </c>
      <c r="G14" s="26">
        <f t="shared" si="0"/>
        <v>0</v>
      </c>
      <c r="H14" s="27">
        <f t="shared" si="1"/>
        <v>0</v>
      </c>
      <c r="I14" s="45"/>
      <c r="J14" s="8" t="str">
        <f t="shared" si="10"/>
        <v>L</v>
      </c>
      <c r="K14" s="151" t="str">
        <f>TEXT('Table '!AG12,"jj mmm aa")</f>
        <v>07 mai 18</v>
      </c>
      <c r="L14" s="12"/>
      <c r="M14" s="12"/>
      <c r="N14" s="25">
        <f t="shared" si="11"/>
        <v>0</v>
      </c>
      <c r="O14" s="26">
        <f t="shared" si="2"/>
        <v>0</v>
      </c>
      <c r="P14" s="27">
        <f t="shared" si="3"/>
        <v>0</v>
      </c>
      <c r="R14" s="8" t="str">
        <f t="shared" si="12"/>
        <v>L</v>
      </c>
      <c r="S14" s="151" t="str">
        <f>TEXT('Table '!AG12,"jj mmm aa")</f>
        <v>07 mai 18</v>
      </c>
      <c r="T14" s="12"/>
      <c r="U14" s="12"/>
      <c r="V14" s="12">
        <f t="shared" si="13"/>
        <v>0</v>
      </c>
      <c r="W14" s="13">
        <f t="shared" si="4"/>
        <v>0</v>
      </c>
      <c r="X14" s="14">
        <f t="shared" si="5"/>
        <v>0</v>
      </c>
      <c r="Y14" s="21"/>
      <c r="Z14" s="131" t="str">
        <f t="shared" si="14"/>
        <v>L</v>
      </c>
      <c r="AA14" s="138" t="str">
        <f>TEXT('Table '!AG12,"jj mmm aa")</f>
        <v>07 mai 18</v>
      </c>
      <c r="AB14" s="18"/>
      <c r="AC14" s="18"/>
      <c r="AD14" s="18">
        <f t="shared" si="15"/>
        <v>0</v>
      </c>
      <c r="AE14" s="146">
        <f t="shared" si="6"/>
        <v>0</v>
      </c>
      <c r="AF14" s="20">
        <f t="shared" si="7"/>
        <v>0</v>
      </c>
    </row>
    <row r="15" spans="2:32" s="7" customFormat="1">
      <c r="B15" s="8" t="str">
        <f t="shared" si="8"/>
        <v>M</v>
      </c>
      <c r="C15" s="164" t="str">
        <f>TEXT('Table '!AG13,"jj mmm aa")</f>
        <v>08 mai 18</v>
      </c>
      <c r="D15" s="12"/>
      <c r="E15" s="12"/>
      <c r="F15" s="25">
        <f t="shared" si="9"/>
        <v>0</v>
      </c>
      <c r="G15" s="26">
        <f t="shared" si="0"/>
        <v>0</v>
      </c>
      <c r="H15" s="27">
        <f t="shared" si="1"/>
        <v>0</v>
      </c>
      <c r="I15" s="45"/>
      <c r="J15" s="8" t="str">
        <f t="shared" si="10"/>
        <v>M</v>
      </c>
      <c r="K15" s="151" t="str">
        <f>TEXT('Table '!AG13,"jj mmm aa")</f>
        <v>08 mai 18</v>
      </c>
      <c r="L15" s="12"/>
      <c r="M15" s="12"/>
      <c r="N15" s="25">
        <f t="shared" si="11"/>
        <v>0</v>
      </c>
      <c r="O15" s="26">
        <f t="shared" si="2"/>
        <v>0</v>
      </c>
      <c r="P15" s="27">
        <f t="shared" si="3"/>
        <v>0</v>
      </c>
      <c r="R15" s="8" t="str">
        <f t="shared" si="12"/>
        <v>M</v>
      </c>
      <c r="S15" s="151" t="str">
        <f>TEXT('Table '!AG13,"jj mmm aa")</f>
        <v>08 mai 18</v>
      </c>
      <c r="T15" s="12"/>
      <c r="U15" s="12"/>
      <c r="V15" s="12">
        <f t="shared" si="13"/>
        <v>0</v>
      </c>
      <c r="W15" s="13">
        <f t="shared" si="4"/>
        <v>0</v>
      </c>
      <c r="X15" s="14">
        <f t="shared" si="5"/>
        <v>0</v>
      </c>
      <c r="Y15" s="21"/>
      <c r="Z15" s="131" t="str">
        <f t="shared" si="14"/>
        <v>M</v>
      </c>
      <c r="AA15" s="138" t="str">
        <f>TEXT('Table '!AG13,"jj mmm aa")</f>
        <v>08 mai 18</v>
      </c>
      <c r="AB15" s="18"/>
      <c r="AC15" s="18"/>
      <c r="AD15" s="18">
        <f t="shared" si="15"/>
        <v>0</v>
      </c>
      <c r="AE15" s="146">
        <f t="shared" si="6"/>
        <v>0</v>
      </c>
      <c r="AF15" s="20">
        <f t="shared" si="7"/>
        <v>0</v>
      </c>
    </row>
    <row r="16" spans="2:32" s="7" customFormat="1">
      <c r="B16" s="8" t="str">
        <f t="shared" si="8"/>
        <v>M</v>
      </c>
      <c r="C16" s="164" t="str">
        <f>TEXT('Table '!AG14,"jj mmm aa")</f>
        <v>09 mai 18</v>
      </c>
      <c r="D16" s="25"/>
      <c r="E16" s="25"/>
      <c r="F16" s="25">
        <f t="shared" si="9"/>
        <v>0</v>
      </c>
      <c r="G16" s="26">
        <f t="shared" si="0"/>
        <v>0</v>
      </c>
      <c r="H16" s="27">
        <f t="shared" si="1"/>
        <v>0</v>
      </c>
      <c r="I16" s="45"/>
      <c r="J16" s="8" t="str">
        <f t="shared" si="10"/>
        <v>M</v>
      </c>
      <c r="K16" s="151" t="str">
        <f>TEXT('Table '!AG14,"jj mmm aa")</f>
        <v>09 mai 18</v>
      </c>
      <c r="L16" s="25"/>
      <c r="M16" s="25"/>
      <c r="N16" s="25">
        <f t="shared" si="11"/>
        <v>0</v>
      </c>
      <c r="O16" s="26">
        <f t="shared" si="2"/>
        <v>0</v>
      </c>
      <c r="P16" s="27">
        <f t="shared" si="3"/>
        <v>0</v>
      </c>
      <c r="R16" s="8" t="str">
        <f t="shared" si="12"/>
        <v>M</v>
      </c>
      <c r="S16" s="151" t="str">
        <f>TEXT('Table '!AG14,"jj mmm aa")</f>
        <v>09 mai 18</v>
      </c>
      <c r="T16" s="12"/>
      <c r="U16" s="12"/>
      <c r="V16" s="12">
        <f t="shared" si="13"/>
        <v>0</v>
      </c>
      <c r="W16" s="13">
        <f t="shared" si="4"/>
        <v>0</v>
      </c>
      <c r="X16" s="14">
        <f t="shared" si="5"/>
        <v>0</v>
      </c>
      <c r="Y16" s="21"/>
      <c r="Z16" s="131" t="str">
        <f t="shared" si="14"/>
        <v>M</v>
      </c>
      <c r="AA16" s="138" t="str">
        <f>TEXT('Table '!AG14,"jj mmm aa")</f>
        <v>09 mai 18</v>
      </c>
      <c r="AB16" s="18"/>
      <c r="AC16" s="18"/>
      <c r="AD16" s="18">
        <f t="shared" si="15"/>
        <v>0</v>
      </c>
      <c r="AE16" s="146">
        <f t="shared" si="6"/>
        <v>0</v>
      </c>
      <c r="AF16" s="20">
        <f t="shared" si="7"/>
        <v>0</v>
      </c>
    </row>
    <row r="17" spans="2:32" s="7" customFormat="1">
      <c r="B17" s="8" t="str">
        <f t="shared" si="8"/>
        <v>J</v>
      </c>
      <c r="C17" s="164" t="str">
        <f>TEXT('Table '!AG15,"jj mmm aa")</f>
        <v>10 mai 18</v>
      </c>
      <c r="D17" s="25"/>
      <c r="E17" s="25"/>
      <c r="F17" s="25">
        <f t="shared" si="9"/>
        <v>0</v>
      </c>
      <c r="G17" s="26">
        <f t="shared" si="0"/>
        <v>0</v>
      </c>
      <c r="H17" s="27">
        <f t="shared" si="1"/>
        <v>0</v>
      </c>
      <c r="I17" s="45"/>
      <c r="J17" s="8" t="str">
        <f t="shared" si="10"/>
        <v>J</v>
      </c>
      <c r="K17" s="151" t="str">
        <f>TEXT('Table '!AG15,"jj mmm aa")</f>
        <v>10 mai 18</v>
      </c>
      <c r="L17" s="25"/>
      <c r="M17" s="25"/>
      <c r="N17" s="25">
        <f>M17-L17</f>
        <v>0</v>
      </c>
      <c r="O17" s="26">
        <f t="shared" si="2"/>
        <v>0</v>
      </c>
      <c r="P17" s="27">
        <f t="shared" si="3"/>
        <v>0</v>
      </c>
      <c r="R17" s="8" t="str">
        <f t="shared" si="12"/>
        <v>J</v>
      </c>
      <c r="S17" s="151" t="str">
        <f>TEXT('Table '!AG15,"jj mmm aa")</f>
        <v>10 mai 18</v>
      </c>
      <c r="T17" s="44"/>
      <c r="U17" s="12"/>
      <c r="V17" s="12">
        <f t="shared" si="13"/>
        <v>0</v>
      </c>
      <c r="W17" s="13">
        <f t="shared" si="4"/>
        <v>0</v>
      </c>
      <c r="X17" s="14">
        <f t="shared" si="5"/>
        <v>0</v>
      </c>
      <c r="Y17" s="21"/>
      <c r="Z17" s="131" t="str">
        <f t="shared" si="14"/>
        <v>J</v>
      </c>
      <c r="AA17" s="138" t="str">
        <f>TEXT('Table '!AG15,"jj mmm aa")</f>
        <v>10 mai 18</v>
      </c>
      <c r="AB17" s="18"/>
      <c r="AC17" s="18"/>
      <c r="AD17" s="18">
        <f t="shared" si="15"/>
        <v>0</v>
      </c>
      <c r="AE17" s="146">
        <f t="shared" si="6"/>
        <v>0</v>
      </c>
      <c r="AF17" s="20">
        <f t="shared" si="7"/>
        <v>0</v>
      </c>
    </row>
    <row r="18" spans="2:32" s="7" customFormat="1">
      <c r="B18" s="8" t="str">
        <f t="shared" si="8"/>
        <v>V</v>
      </c>
      <c r="C18" s="164" t="str">
        <f>TEXT('Table '!AG16,"jj mmm aa")</f>
        <v>11 mai 18</v>
      </c>
      <c r="D18" s="25"/>
      <c r="E18" s="25"/>
      <c r="F18" s="25">
        <f t="shared" si="9"/>
        <v>0</v>
      </c>
      <c r="G18" s="26">
        <f t="shared" si="0"/>
        <v>0</v>
      </c>
      <c r="H18" s="27">
        <f t="shared" si="1"/>
        <v>0</v>
      </c>
      <c r="I18" s="45"/>
      <c r="J18" s="8" t="str">
        <f t="shared" si="10"/>
        <v>V</v>
      </c>
      <c r="K18" s="151" t="str">
        <f>TEXT('Table '!AG16,"jj mmm aa")</f>
        <v>11 mai 18</v>
      </c>
      <c r="L18" s="25"/>
      <c r="M18" s="25"/>
      <c r="N18" s="25">
        <f>M18-L18</f>
        <v>0</v>
      </c>
      <c r="O18" s="26">
        <f t="shared" si="2"/>
        <v>0</v>
      </c>
      <c r="P18" s="27">
        <f t="shared" si="3"/>
        <v>0</v>
      </c>
      <c r="R18" s="8" t="str">
        <f t="shared" si="12"/>
        <v>V</v>
      </c>
      <c r="S18" s="151" t="str">
        <f>TEXT('Table '!AG16,"jj mmm aa")</f>
        <v>11 mai 18</v>
      </c>
      <c r="T18" s="12"/>
      <c r="U18" s="12"/>
      <c r="V18" s="12">
        <f t="shared" si="13"/>
        <v>0</v>
      </c>
      <c r="W18" s="13">
        <f t="shared" si="4"/>
        <v>0</v>
      </c>
      <c r="X18" s="14">
        <f t="shared" si="5"/>
        <v>0</v>
      </c>
      <c r="Y18" s="21"/>
      <c r="Z18" s="131" t="str">
        <f t="shared" si="14"/>
        <v>V</v>
      </c>
      <c r="AA18" s="138" t="str">
        <f>TEXT('Table '!AG16,"jj mmm aa")</f>
        <v>11 mai 18</v>
      </c>
      <c r="AB18" s="18"/>
      <c r="AC18" s="18"/>
      <c r="AD18" s="18">
        <f t="shared" si="15"/>
        <v>0</v>
      </c>
      <c r="AE18" s="146">
        <f t="shared" si="6"/>
        <v>0</v>
      </c>
      <c r="AF18" s="20">
        <f t="shared" si="7"/>
        <v>0</v>
      </c>
    </row>
    <row r="19" spans="2:32" s="7" customFormat="1">
      <c r="B19" s="8" t="str">
        <f t="shared" si="8"/>
        <v>S</v>
      </c>
      <c r="C19" s="164" t="str">
        <f>TEXT('Table '!AG17,"jj mmm aa")</f>
        <v>12 mai 18</v>
      </c>
      <c r="D19" s="25"/>
      <c r="E19" s="25"/>
      <c r="F19" s="25">
        <f t="shared" si="9"/>
        <v>0</v>
      </c>
      <c r="G19" s="26">
        <f t="shared" si="0"/>
        <v>0</v>
      </c>
      <c r="H19" s="27">
        <f t="shared" si="1"/>
        <v>0</v>
      </c>
      <c r="I19" s="45"/>
      <c r="J19" s="8" t="str">
        <f t="shared" si="10"/>
        <v>S</v>
      </c>
      <c r="K19" s="151" t="str">
        <f>TEXT('Table '!AG17,"jj mmm aa")</f>
        <v>12 mai 18</v>
      </c>
      <c r="L19" s="25"/>
      <c r="M19" s="25"/>
      <c r="N19" s="25">
        <f t="shared" si="11"/>
        <v>0</v>
      </c>
      <c r="O19" s="26">
        <f t="shared" si="2"/>
        <v>0</v>
      </c>
      <c r="P19" s="27">
        <f t="shared" si="3"/>
        <v>0</v>
      </c>
      <c r="R19" s="8" t="str">
        <f t="shared" si="12"/>
        <v>S</v>
      </c>
      <c r="S19" s="151" t="str">
        <f>TEXT('Table '!AG17,"jj mmm aa")</f>
        <v>12 mai 18</v>
      </c>
      <c r="T19" s="12"/>
      <c r="U19" s="12"/>
      <c r="V19" s="12">
        <f t="shared" si="13"/>
        <v>0</v>
      </c>
      <c r="W19" s="13">
        <f t="shared" si="4"/>
        <v>0</v>
      </c>
      <c r="X19" s="14">
        <f t="shared" si="5"/>
        <v>0</v>
      </c>
      <c r="Y19" s="21"/>
      <c r="Z19" s="131" t="str">
        <f t="shared" si="14"/>
        <v>S</v>
      </c>
      <c r="AA19" s="138" t="str">
        <f>TEXT('Table '!AG17,"jj mmm aa")</f>
        <v>12 mai 18</v>
      </c>
      <c r="AB19" s="18"/>
      <c r="AC19" s="18"/>
      <c r="AD19" s="18">
        <f t="shared" si="15"/>
        <v>0</v>
      </c>
      <c r="AE19" s="146">
        <f t="shared" si="6"/>
        <v>0</v>
      </c>
      <c r="AF19" s="20">
        <f t="shared" si="7"/>
        <v>0</v>
      </c>
    </row>
    <row r="20" spans="2:32" s="7" customFormat="1">
      <c r="B20" s="8" t="str">
        <f t="shared" si="8"/>
        <v>D</v>
      </c>
      <c r="C20" s="164" t="str">
        <f>TEXT('Table '!AG18,"jj mmm aa")</f>
        <v>13 mai 18</v>
      </c>
      <c r="D20" s="25"/>
      <c r="E20" s="25"/>
      <c r="F20" s="25">
        <f t="shared" si="9"/>
        <v>0</v>
      </c>
      <c r="G20" s="26">
        <f t="shared" si="0"/>
        <v>0</v>
      </c>
      <c r="H20" s="27">
        <f t="shared" si="1"/>
        <v>0</v>
      </c>
      <c r="I20" s="45"/>
      <c r="J20" s="8" t="str">
        <f t="shared" si="10"/>
        <v>D</v>
      </c>
      <c r="K20" s="151" t="str">
        <f>TEXT('Table '!AG18,"jj mmm aa")</f>
        <v>13 mai 18</v>
      </c>
      <c r="L20" s="25"/>
      <c r="M20" s="25"/>
      <c r="N20" s="25">
        <f t="shared" si="11"/>
        <v>0</v>
      </c>
      <c r="O20" s="26">
        <f t="shared" si="2"/>
        <v>0</v>
      </c>
      <c r="P20" s="27">
        <f t="shared" si="3"/>
        <v>0</v>
      </c>
      <c r="R20" s="8" t="str">
        <f t="shared" si="12"/>
        <v>D</v>
      </c>
      <c r="S20" s="151" t="str">
        <f>TEXT('Table '!AG18,"jj mmm aa")</f>
        <v>13 mai 18</v>
      </c>
      <c r="T20" s="12"/>
      <c r="U20" s="12"/>
      <c r="V20" s="12">
        <f t="shared" si="13"/>
        <v>0</v>
      </c>
      <c r="W20" s="13">
        <f t="shared" si="4"/>
        <v>0</v>
      </c>
      <c r="X20" s="14">
        <f t="shared" si="5"/>
        <v>0</v>
      </c>
      <c r="Y20" s="21"/>
      <c r="Z20" s="131" t="str">
        <f t="shared" si="14"/>
        <v>D</v>
      </c>
      <c r="AA20" s="138" t="str">
        <f>TEXT('Table '!AG18,"jj mmm aa")</f>
        <v>13 mai 18</v>
      </c>
      <c r="AB20" s="18"/>
      <c r="AC20" s="18"/>
      <c r="AD20" s="18">
        <f t="shared" si="15"/>
        <v>0</v>
      </c>
      <c r="AE20" s="146">
        <f t="shared" si="6"/>
        <v>0</v>
      </c>
      <c r="AF20" s="20">
        <f t="shared" si="7"/>
        <v>0</v>
      </c>
    </row>
    <row r="21" spans="2:32" s="7" customFormat="1">
      <c r="B21" s="8" t="str">
        <f t="shared" si="8"/>
        <v>L</v>
      </c>
      <c r="C21" s="164" t="str">
        <f>TEXT('Table '!AG19,"jj mmm aa")</f>
        <v>14 mai 18</v>
      </c>
      <c r="D21" s="25"/>
      <c r="E21" s="25"/>
      <c r="F21" s="25">
        <f t="shared" si="9"/>
        <v>0</v>
      </c>
      <c r="G21" s="26">
        <f t="shared" si="0"/>
        <v>0</v>
      </c>
      <c r="H21" s="27">
        <f t="shared" si="1"/>
        <v>0</v>
      </c>
      <c r="I21" s="45"/>
      <c r="J21" s="8" t="str">
        <f t="shared" si="10"/>
        <v>L</v>
      </c>
      <c r="K21" s="151" t="str">
        <f>TEXT('Table '!AG19,"jj mmm aa")</f>
        <v>14 mai 18</v>
      </c>
      <c r="L21" s="25"/>
      <c r="M21" s="25"/>
      <c r="N21" s="25">
        <f t="shared" si="11"/>
        <v>0</v>
      </c>
      <c r="O21" s="26">
        <f t="shared" si="2"/>
        <v>0</v>
      </c>
      <c r="P21" s="27">
        <f t="shared" si="3"/>
        <v>0</v>
      </c>
      <c r="R21" s="8" t="str">
        <f t="shared" si="12"/>
        <v>L</v>
      </c>
      <c r="S21" s="151" t="str">
        <f>TEXT('Table '!AG19,"jj mmm aa")</f>
        <v>14 mai 18</v>
      </c>
      <c r="T21" s="12"/>
      <c r="U21" s="12"/>
      <c r="V21" s="12">
        <f t="shared" si="13"/>
        <v>0</v>
      </c>
      <c r="W21" s="13">
        <f t="shared" si="4"/>
        <v>0</v>
      </c>
      <c r="X21" s="14">
        <f t="shared" si="5"/>
        <v>0</v>
      </c>
      <c r="Y21" s="21"/>
      <c r="Z21" s="131" t="str">
        <f t="shared" si="14"/>
        <v>L</v>
      </c>
      <c r="AA21" s="138" t="str">
        <f>TEXT('Table '!AG19,"jj mmm aa")</f>
        <v>14 mai 18</v>
      </c>
      <c r="AB21" s="18"/>
      <c r="AC21" s="18"/>
      <c r="AD21" s="18">
        <f t="shared" si="15"/>
        <v>0</v>
      </c>
      <c r="AE21" s="146">
        <f t="shared" si="6"/>
        <v>0</v>
      </c>
      <c r="AF21" s="20">
        <f t="shared" si="7"/>
        <v>0</v>
      </c>
    </row>
    <row r="22" spans="2:32" s="7" customFormat="1">
      <c r="B22" s="8" t="str">
        <f t="shared" si="8"/>
        <v>M</v>
      </c>
      <c r="C22" s="164" t="str">
        <f>TEXT('Table '!AG20,"jj mmm aa")</f>
        <v>15 mai 18</v>
      </c>
      <c r="D22" s="25"/>
      <c r="E22" s="25"/>
      <c r="F22" s="25">
        <f t="shared" si="9"/>
        <v>0</v>
      </c>
      <c r="G22" s="26">
        <f t="shared" si="0"/>
        <v>0</v>
      </c>
      <c r="H22" s="27">
        <f t="shared" si="1"/>
        <v>0</v>
      </c>
      <c r="I22" s="45"/>
      <c r="J22" s="8" t="str">
        <f t="shared" si="10"/>
        <v>M</v>
      </c>
      <c r="K22" s="151" t="str">
        <f>TEXT('Table '!AG20,"jj mmm aa")</f>
        <v>15 mai 18</v>
      </c>
      <c r="L22" s="25"/>
      <c r="M22" s="25"/>
      <c r="N22" s="25">
        <f t="shared" si="11"/>
        <v>0</v>
      </c>
      <c r="O22" s="26">
        <f t="shared" si="2"/>
        <v>0</v>
      </c>
      <c r="P22" s="27">
        <f t="shared" si="3"/>
        <v>0</v>
      </c>
      <c r="R22" s="8" t="str">
        <f t="shared" si="12"/>
        <v>M</v>
      </c>
      <c r="S22" s="151" t="str">
        <f>TEXT('Table '!AG20,"jj mmm aa")</f>
        <v>15 mai 18</v>
      </c>
      <c r="T22" s="12"/>
      <c r="U22" s="12"/>
      <c r="V22" s="12">
        <f t="shared" si="13"/>
        <v>0</v>
      </c>
      <c r="W22" s="13">
        <f t="shared" si="4"/>
        <v>0</v>
      </c>
      <c r="X22" s="14">
        <f t="shared" si="5"/>
        <v>0</v>
      </c>
      <c r="Y22" s="21"/>
      <c r="Z22" s="131" t="str">
        <f t="shared" si="14"/>
        <v>M</v>
      </c>
      <c r="AA22" s="138" t="str">
        <f>TEXT('Table '!AG20,"jj mmm aa")</f>
        <v>15 mai 18</v>
      </c>
      <c r="AB22" s="18"/>
      <c r="AC22" s="18"/>
      <c r="AD22" s="18">
        <f t="shared" si="15"/>
        <v>0</v>
      </c>
      <c r="AE22" s="146">
        <f t="shared" si="6"/>
        <v>0</v>
      </c>
      <c r="AF22" s="20">
        <f t="shared" si="7"/>
        <v>0</v>
      </c>
    </row>
    <row r="23" spans="2:32" s="7" customFormat="1">
      <c r="B23" s="8" t="str">
        <f t="shared" si="8"/>
        <v>M</v>
      </c>
      <c r="C23" s="164" t="str">
        <f>TEXT('Table '!AG21,"jj mmm aa")</f>
        <v>16 mai 18</v>
      </c>
      <c r="D23" s="25"/>
      <c r="E23" s="25"/>
      <c r="F23" s="25">
        <f t="shared" si="9"/>
        <v>0</v>
      </c>
      <c r="G23" s="26">
        <f t="shared" si="0"/>
        <v>0</v>
      </c>
      <c r="H23" s="27">
        <f t="shared" si="1"/>
        <v>0</v>
      </c>
      <c r="I23" s="45"/>
      <c r="J23" s="8" t="str">
        <f t="shared" si="10"/>
        <v>M</v>
      </c>
      <c r="K23" s="151" t="str">
        <f>TEXT('Table '!AG21,"jj mmm aa")</f>
        <v>16 mai 18</v>
      </c>
      <c r="L23" s="25"/>
      <c r="M23" s="25"/>
      <c r="N23" s="25">
        <f t="shared" si="11"/>
        <v>0</v>
      </c>
      <c r="O23" s="26">
        <f t="shared" si="2"/>
        <v>0</v>
      </c>
      <c r="P23" s="27">
        <f t="shared" si="3"/>
        <v>0</v>
      </c>
      <c r="R23" s="8" t="str">
        <f t="shared" si="12"/>
        <v>M</v>
      </c>
      <c r="S23" s="151" t="str">
        <f>TEXT('Table '!AG21,"jj mmm aa")</f>
        <v>16 mai 18</v>
      </c>
      <c r="T23" s="12"/>
      <c r="U23" s="12"/>
      <c r="V23" s="12">
        <f t="shared" si="13"/>
        <v>0</v>
      </c>
      <c r="W23" s="13">
        <f t="shared" si="4"/>
        <v>0</v>
      </c>
      <c r="X23" s="14">
        <f t="shared" si="5"/>
        <v>0</v>
      </c>
      <c r="Y23" s="21"/>
      <c r="Z23" s="131" t="str">
        <f t="shared" si="14"/>
        <v>M</v>
      </c>
      <c r="AA23" s="138" t="str">
        <f>TEXT('Table '!AG21,"jj mmm aa")</f>
        <v>16 mai 18</v>
      </c>
      <c r="AB23" s="18"/>
      <c r="AC23" s="18"/>
      <c r="AD23" s="18">
        <f t="shared" si="15"/>
        <v>0</v>
      </c>
      <c r="AE23" s="146">
        <f t="shared" si="6"/>
        <v>0</v>
      </c>
      <c r="AF23" s="20">
        <f t="shared" si="7"/>
        <v>0</v>
      </c>
    </row>
    <row r="24" spans="2:32" s="7" customFormat="1">
      <c r="B24" s="8" t="str">
        <f t="shared" si="8"/>
        <v>J</v>
      </c>
      <c r="C24" s="164" t="str">
        <f>TEXT('Table '!AG22,"jj mmm aa")</f>
        <v>17 mai 18</v>
      </c>
      <c r="D24" s="25"/>
      <c r="E24" s="25"/>
      <c r="F24" s="25">
        <f t="shared" si="9"/>
        <v>0</v>
      </c>
      <c r="G24" s="26">
        <f t="shared" si="0"/>
        <v>0</v>
      </c>
      <c r="H24" s="27">
        <f t="shared" si="1"/>
        <v>0</v>
      </c>
      <c r="I24" s="45"/>
      <c r="J24" s="8" t="str">
        <f t="shared" si="10"/>
        <v>J</v>
      </c>
      <c r="K24" s="151" t="str">
        <f>TEXT('Table '!AG22,"jj mmm aa")</f>
        <v>17 mai 18</v>
      </c>
      <c r="L24" s="25"/>
      <c r="M24" s="25"/>
      <c r="N24" s="25">
        <f t="shared" si="11"/>
        <v>0</v>
      </c>
      <c r="O24" s="26">
        <f t="shared" si="2"/>
        <v>0</v>
      </c>
      <c r="P24" s="27">
        <f t="shared" si="3"/>
        <v>0</v>
      </c>
      <c r="R24" s="8" t="str">
        <f t="shared" si="12"/>
        <v>J</v>
      </c>
      <c r="S24" s="151" t="str">
        <f>TEXT('Table '!AG22,"jj mmm aa")</f>
        <v>17 mai 18</v>
      </c>
      <c r="T24" s="12"/>
      <c r="U24" s="12"/>
      <c r="V24" s="12">
        <f t="shared" si="13"/>
        <v>0</v>
      </c>
      <c r="W24" s="13">
        <f t="shared" si="4"/>
        <v>0</v>
      </c>
      <c r="X24" s="14">
        <f t="shared" si="5"/>
        <v>0</v>
      </c>
      <c r="Y24" s="21"/>
      <c r="Z24" s="131" t="str">
        <f t="shared" si="14"/>
        <v>J</v>
      </c>
      <c r="AA24" s="138" t="str">
        <f>TEXT('Table '!AG22,"jj mmm aa")</f>
        <v>17 mai 18</v>
      </c>
      <c r="AB24" s="18"/>
      <c r="AC24" s="18"/>
      <c r="AD24" s="18">
        <f t="shared" si="15"/>
        <v>0</v>
      </c>
      <c r="AE24" s="146">
        <f t="shared" si="6"/>
        <v>0</v>
      </c>
      <c r="AF24" s="20">
        <f t="shared" si="7"/>
        <v>0</v>
      </c>
    </row>
    <row r="25" spans="2:32" s="7" customFormat="1">
      <c r="B25" s="8" t="str">
        <f t="shared" si="8"/>
        <v>V</v>
      </c>
      <c r="C25" s="164" t="str">
        <f>TEXT('Table '!AG23,"jj mmm aa")</f>
        <v>18 mai 18</v>
      </c>
      <c r="D25" s="12"/>
      <c r="E25" s="12"/>
      <c r="F25" s="25">
        <f t="shared" si="9"/>
        <v>0</v>
      </c>
      <c r="G25" s="26">
        <f t="shared" si="0"/>
        <v>0</v>
      </c>
      <c r="H25" s="27">
        <f t="shared" si="1"/>
        <v>0</v>
      </c>
      <c r="I25" s="45"/>
      <c r="J25" s="8" t="str">
        <f t="shared" si="10"/>
        <v>V</v>
      </c>
      <c r="K25" s="151" t="str">
        <f>TEXT('Table '!AG23,"jj mmm aa")</f>
        <v>18 mai 18</v>
      </c>
      <c r="L25" s="25"/>
      <c r="M25" s="25"/>
      <c r="N25" s="25">
        <f t="shared" si="11"/>
        <v>0</v>
      </c>
      <c r="O25" s="26">
        <f t="shared" si="2"/>
        <v>0</v>
      </c>
      <c r="P25" s="27">
        <f t="shared" si="3"/>
        <v>0</v>
      </c>
      <c r="R25" s="8" t="str">
        <f t="shared" si="12"/>
        <v>V</v>
      </c>
      <c r="S25" s="151" t="str">
        <f>TEXT('Table '!AG23,"jj mmm aa")</f>
        <v>18 mai 18</v>
      </c>
      <c r="T25" s="12"/>
      <c r="U25" s="12"/>
      <c r="V25" s="12">
        <f t="shared" si="13"/>
        <v>0</v>
      </c>
      <c r="W25" s="13">
        <f t="shared" si="4"/>
        <v>0</v>
      </c>
      <c r="X25" s="14">
        <f t="shared" si="5"/>
        <v>0</v>
      </c>
      <c r="Y25" s="21"/>
      <c r="Z25" s="131" t="str">
        <f t="shared" si="14"/>
        <v>V</v>
      </c>
      <c r="AA25" s="138" t="str">
        <f>TEXT('Table '!AG23,"jj mmm aa")</f>
        <v>18 mai 18</v>
      </c>
      <c r="AB25" s="18"/>
      <c r="AC25" s="18"/>
      <c r="AD25" s="18">
        <f t="shared" si="15"/>
        <v>0</v>
      </c>
      <c r="AE25" s="146">
        <f t="shared" si="6"/>
        <v>0</v>
      </c>
      <c r="AF25" s="20">
        <f t="shared" si="7"/>
        <v>0</v>
      </c>
    </row>
    <row r="26" spans="2:32" s="7" customFormat="1">
      <c r="B26" s="8" t="str">
        <f t="shared" si="8"/>
        <v>S</v>
      </c>
      <c r="C26" s="164" t="str">
        <f>TEXT('Table '!AG24,"jj mmm aa")</f>
        <v>19 mai 18</v>
      </c>
      <c r="D26" s="12"/>
      <c r="E26" s="12"/>
      <c r="F26" s="25">
        <f t="shared" si="9"/>
        <v>0</v>
      </c>
      <c r="G26" s="26">
        <f t="shared" si="0"/>
        <v>0</v>
      </c>
      <c r="H26" s="27">
        <f t="shared" si="1"/>
        <v>0</v>
      </c>
      <c r="I26" s="45"/>
      <c r="J26" s="8" t="str">
        <f t="shared" si="10"/>
        <v>S</v>
      </c>
      <c r="K26" s="151" t="str">
        <f>TEXT('Table '!AG24,"jj mmm aa")</f>
        <v>19 mai 18</v>
      </c>
      <c r="L26" s="25"/>
      <c r="M26" s="25"/>
      <c r="N26" s="25">
        <f t="shared" si="11"/>
        <v>0</v>
      </c>
      <c r="O26" s="26">
        <f t="shared" si="2"/>
        <v>0</v>
      </c>
      <c r="P26" s="27">
        <f t="shared" si="3"/>
        <v>0</v>
      </c>
      <c r="R26" s="8" t="str">
        <f t="shared" si="12"/>
        <v>S</v>
      </c>
      <c r="S26" s="151" t="str">
        <f>TEXT('Table '!AG24,"jj mmm aa")</f>
        <v>19 mai 18</v>
      </c>
      <c r="T26" s="12"/>
      <c r="U26" s="12"/>
      <c r="V26" s="12">
        <f t="shared" si="13"/>
        <v>0</v>
      </c>
      <c r="W26" s="13">
        <f t="shared" si="4"/>
        <v>0</v>
      </c>
      <c r="X26" s="14">
        <f t="shared" si="5"/>
        <v>0</v>
      </c>
      <c r="Y26" s="21"/>
      <c r="Z26" s="131" t="str">
        <f t="shared" si="14"/>
        <v>S</v>
      </c>
      <c r="AA26" s="138" t="str">
        <f>TEXT('Table '!AG24,"jj mmm aa")</f>
        <v>19 mai 18</v>
      </c>
      <c r="AB26" s="18"/>
      <c r="AC26" s="18"/>
      <c r="AD26" s="18">
        <f t="shared" si="15"/>
        <v>0</v>
      </c>
      <c r="AE26" s="146">
        <f t="shared" si="6"/>
        <v>0</v>
      </c>
      <c r="AF26" s="20">
        <f t="shared" si="7"/>
        <v>0</v>
      </c>
    </row>
    <row r="27" spans="2:32" s="7" customFormat="1">
      <c r="B27" s="8" t="str">
        <f t="shared" si="8"/>
        <v>D</v>
      </c>
      <c r="C27" s="164" t="str">
        <f>TEXT('Table '!AG25,"jj mmm aa")</f>
        <v>20 mai 18</v>
      </c>
      <c r="D27" s="12"/>
      <c r="E27" s="12"/>
      <c r="F27" s="25">
        <f t="shared" si="9"/>
        <v>0</v>
      </c>
      <c r="G27" s="26">
        <f t="shared" si="0"/>
        <v>0</v>
      </c>
      <c r="H27" s="27">
        <f t="shared" si="1"/>
        <v>0</v>
      </c>
      <c r="I27" s="45"/>
      <c r="J27" s="8" t="str">
        <f t="shared" si="10"/>
        <v>D</v>
      </c>
      <c r="K27" s="151" t="str">
        <f>TEXT('Table '!AG25,"jj mmm aa")</f>
        <v>20 mai 18</v>
      </c>
      <c r="L27" s="25"/>
      <c r="M27" s="25"/>
      <c r="N27" s="25">
        <f t="shared" si="11"/>
        <v>0</v>
      </c>
      <c r="O27" s="26">
        <f t="shared" si="2"/>
        <v>0</v>
      </c>
      <c r="P27" s="27">
        <f t="shared" si="3"/>
        <v>0</v>
      </c>
      <c r="R27" s="8" t="str">
        <f t="shared" si="12"/>
        <v>D</v>
      </c>
      <c r="S27" s="151" t="str">
        <f>TEXT('Table '!AG25,"jj mmm aa")</f>
        <v>20 mai 18</v>
      </c>
      <c r="T27" s="12"/>
      <c r="U27" s="12"/>
      <c r="V27" s="12">
        <f t="shared" si="13"/>
        <v>0</v>
      </c>
      <c r="W27" s="13">
        <f t="shared" si="4"/>
        <v>0</v>
      </c>
      <c r="X27" s="14">
        <f t="shared" si="5"/>
        <v>0</v>
      </c>
      <c r="Y27" s="21"/>
      <c r="Z27" s="131" t="str">
        <f t="shared" si="14"/>
        <v>D</v>
      </c>
      <c r="AA27" s="138" t="str">
        <f>TEXT('Table '!AG25,"jj mmm aa")</f>
        <v>20 mai 18</v>
      </c>
      <c r="AB27" s="18"/>
      <c r="AC27" s="18"/>
      <c r="AD27" s="18">
        <f t="shared" si="15"/>
        <v>0</v>
      </c>
      <c r="AE27" s="146">
        <f t="shared" si="6"/>
        <v>0</v>
      </c>
      <c r="AF27" s="20">
        <f t="shared" si="7"/>
        <v>0</v>
      </c>
    </row>
    <row r="28" spans="2:32" s="7" customFormat="1">
      <c r="B28" s="8" t="str">
        <f t="shared" si="8"/>
        <v>L</v>
      </c>
      <c r="C28" s="164" t="str">
        <f>TEXT('Table '!AG26,"jj mmm aa")</f>
        <v>21 mai 18</v>
      </c>
      <c r="D28" s="12"/>
      <c r="E28" s="12"/>
      <c r="F28" s="25">
        <f t="shared" si="9"/>
        <v>0</v>
      </c>
      <c r="G28" s="26">
        <f t="shared" si="0"/>
        <v>0</v>
      </c>
      <c r="H28" s="27">
        <f t="shared" si="1"/>
        <v>0</v>
      </c>
      <c r="I28" s="45"/>
      <c r="J28" s="8" t="str">
        <f t="shared" si="10"/>
        <v>L</v>
      </c>
      <c r="K28" s="151" t="str">
        <f>TEXT('Table '!AG26,"jj mmm aa")</f>
        <v>21 mai 18</v>
      </c>
      <c r="L28" s="25"/>
      <c r="M28" s="25"/>
      <c r="N28" s="25">
        <f t="shared" si="11"/>
        <v>0</v>
      </c>
      <c r="O28" s="26">
        <f t="shared" si="2"/>
        <v>0</v>
      </c>
      <c r="P28" s="27">
        <f t="shared" si="3"/>
        <v>0</v>
      </c>
      <c r="R28" s="8" t="str">
        <f t="shared" si="12"/>
        <v>L</v>
      </c>
      <c r="S28" s="151" t="str">
        <f>TEXT('Table '!AG26,"jj mmm aa")</f>
        <v>21 mai 18</v>
      </c>
      <c r="T28" s="12"/>
      <c r="U28" s="12"/>
      <c r="V28" s="12">
        <f t="shared" si="13"/>
        <v>0</v>
      </c>
      <c r="W28" s="13">
        <f t="shared" si="4"/>
        <v>0</v>
      </c>
      <c r="X28" s="14">
        <f t="shared" si="5"/>
        <v>0</v>
      </c>
      <c r="Y28" s="21"/>
      <c r="Z28" s="131" t="str">
        <f t="shared" si="14"/>
        <v>L</v>
      </c>
      <c r="AA28" s="138" t="str">
        <f>TEXT('Table '!AG26,"jj mmm aa")</f>
        <v>21 mai 18</v>
      </c>
      <c r="AB28" s="18"/>
      <c r="AC28" s="18"/>
      <c r="AD28" s="18">
        <f t="shared" si="15"/>
        <v>0</v>
      </c>
      <c r="AE28" s="146">
        <f t="shared" si="6"/>
        <v>0</v>
      </c>
      <c r="AF28" s="20">
        <f t="shared" si="7"/>
        <v>0</v>
      </c>
    </row>
    <row r="29" spans="2:32" s="7" customFormat="1">
      <c r="B29" s="8" t="str">
        <f t="shared" si="8"/>
        <v>M</v>
      </c>
      <c r="C29" s="164" t="str">
        <f>TEXT('Table '!AG27,"jj mmm aa")</f>
        <v>22 mai 18</v>
      </c>
      <c r="D29" s="12"/>
      <c r="E29" s="12"/>
      <c r="F29" s="25">
        <f t="shared" si="9"/>
        <v>0</v>
      </c>
      <c r="G29" s="26">
        <f t="shared" si="0"/>
        <v>0</v>
      </c>
      <c r="H29" s="27">
        <f t="shared" si="1"/>
        <v>0</v>
      </c>
      <c r="I29" s="45"/>
      <c r="J29" s="8" t="str">
        <f t="shared" si="10"/>
        <v>M</v>
      </c>
      <c r="K29" s="151" t="str">
        <f>TEXT('Table '!AG27,"jj mmm aa")</f>
        <v>22 mai 18</v>
      </c>
      <c r="L29" s="25"/>
      <c r="M29" s="25"/>
      <c r="N29" s="25">
        <f t="shared" si="11"/>
        <v>0</v>
      </c>
      <c r="O29" s="26">
        <f t="shared" si="2"/>
        <v>0</v>
      </c>
      <c r="P29" s="27">
        <f t="shared" si="3"/>
        <v>0</v>
      </c>
      <c r="R29" s="8" t="str">
        <f t="shared" si="12"/>
        <v>M</v>
      </c>
      <c r="S29" s="151" t="str">
        <f>TEXT('Table '!AG27,"jj mmm aa")</f>
        <v>22 mai 18</v>
      </c>
      <c r="T29" s="12"/>
      <c r="U29" s="12"/>
      <c r="V29" s="12">
        <f t="shared" si="13"/>
        <v>0</v>
      </c>
      <c r="W29" s="13">
        <f t="shared" si="4"/>
        <v>0</v>
      </c>
      <c r="X29" s="14">
        <f t="shared" si="5"/>
        <v>0</v>
      </c>
      <c r="Y29" s="21"/>
      <c r="Z29" s="131" t="str">
        <f t="shared" si="14"/>
        <v>M</v>
      </c>
      <c r="AA29" s="138" t="str">
        <f>TEXT('Table '!AG27,"jj mmm aa")</f>
        <v>22 mai 18</v>
      </c>
      <c r="AB29" s="18"/>
      <c r="AC29" s="18"/>
      <c r="AD29" s="18">
        <f t="shared" si="15"/>
        <v>0</v>
      </c>
      <c r="AE29" s="146">
        <f t="shared" si="6"/>
        <v>0</v>
      </c>
      <c r="AF29" s="20">
        <f t="shared" si="7"/>
        <v>0</v>
      </c>
    </row>
    <row r="30" spans="2:32" s="7" customFormat="1">
      <c r="B30" s="8" t="str">
        <f t="shared" si="8"/>
        <v>M</v>
      </c>
      <c r="C30" s="164" t="str">
        <f>TEXT('Table '!AG28,"jj mmm aa")</f>
        <v>23 mai 18</v>
      </c>
      <c r="D30" s="25"/>
      <c r="E30" s="25"/>
      <c r="F30" s="25">
        <f t="shared" si="9"/>
        <v>0</v>
      </c>
      <c r="G30" s="26">
        <f t="shared" si="0"/>
        <v>0</v>
      </c>
      <c r="H30" s="27">
        <f t="shared" si="1"/>
        <v>0</v>
      </c>
      <c r="I30" s="45"/>
      <c r="J30" s="8" t="str">
        <f t="shared" si="10"/>
        <v>M</v>
      </c>
      <c r="K30" s="151" t="str">
        <f>TEXT('Table '!AG28,"jj mmm aa")</f>
        <v>23 mai 18</v>
      </c>
      <c r="L30" s="25"/>
      <c r="M30" s="25"/>
      <c r="N30" s="25">
        <f t="shared" si="11"/>
        <v>0</v>
      </c>
      <c r="O30" s="26">
        <f t="shared" si="2"/>
        <v>0</v>
      </c>
      <c r="P30" s="27">
        <f t="shared" si="3"/>
        <v>0</v>
      </c>
      <c r="R30" s="8" t="str">
        <f t="shared" si="12"/>
        <v>M</v>
      </c>
      <c r="S30" s="151" t="str">
        <f>TEXT('Table '!AG28,"jj mmm aa")</f>
        <v>23 mai 18</v>
      </c>
      <c r="T30" s="12"/>
      <c r="U30" s="12"/>
      <c r="V30" s="12">
        <f t="shared" si="13"/>
        <v>0</v>
      </c>
      <c r="W30" s="13">
        <f t="shared" si="4"/>
        <v>0</v>
      </c>
      <c r="X30" s="14">
        <f t="shared" si="5"/>
        <v>0</v>
      </c>
      <c r="Y30" s="21"/>
      <c r="Z30" s="131" t="str">
        <f t="shared" si="14"/>
        <v>M</v>
      </c>
      <c r="AA30" s="138" t="str">
        <f>TEXT('Table '!AG28,"jj mmm aa")</f>
        <v>23 mai 18</v>
      </c>
      <c r="AB30" s="18"/>
      <c r="AC30" s="18"/>
      <c r="AD30" s="18">
        <f t="shared" si="15"/>
        <v>0</v>
      </c>
      <c r="AE30" s="146">
        <f t="shared" si="6"/>
        <v>0</v>
      </c>
      <c r="AF30" s="20">
        <f t="shared" si="7"/>
        <v>0</v>
      </c>
    </row>
    <row r="31" spans="2:32" s="7" customFormat="1">
      <c r="B31" s="8" t="str">
        <f t="shared" si="8"/>
        <v>J</v>
      </c>
      <c r="C31" s="164" t="str">
        <f>TEXT('Table '!AG29,"jj mmm aa")</f>
        <v>24 mai 18</v>
      </c>
      <c r="D31" s="25"/>
      <c r="E31" s="25"/>
      <c r="F31" s="25">
        <f t="shared" si="9"/>
        <v>0</v>
      </c>
      <c r="G31" s="26">
        <f t="shared" si="0"/>
        <v>0</v>
      </c>
      <c r="H31" s="27">
        <f t="shared" si="1"/>
        <v>0</v>
      </c>
      <c r="I31" s="45"/>
      <c r="J31" s="8" t="str">
        <f t="shared" si="10"/>
        <v>J</v>
      </c>
      <c r="K31" s="151" t="str">
        <f>TEXT('Table '!AG29,"jj mmm aa")</f>
        <v>24 mai 18</v>
      </c>
      <c r="L31" s="25"/>
      <c r="M31" s="25"/>
      <c r="N31" s="25">
        <f t="shared" si="11"/>
        <v>0</v>
      </c>
      <c r="O31" s="26">
        <f t="shared" si="2"/>
        <v>0</v>
      </c>
      <c r="P31" s="27">
        <f t="shared" si="3"/>
        <v>0</v>
      </c>
      <c r="R31" s="8" t="str">
        <f t="shared" si="12"/>
        <v>J</v>
      </c>
      <c r="S31" s="151" t="str">
        <f>TEXT('Table '!AG29,"jj mmm aa")</f>
        <v>24 mai 18</v>
      </c>
      <c r="T31" s="12"/>
      <c r="U31" s="12"/>
      <c r="V31" s="12">
        <f t="shared" si="13"/>
        <v>0</v>
      </c>
      <c r="W31" s="13">
        <f t="shared" si="4"/>
        <v>0</v>
      </c>
      <c r="X31" s="14">
        <f t="shared" si="5"/>
        <v>0</v>
      </c>
      <c r="Y31" s="21"/>
      <c r="Z31" s="131" t="str">
        <f t="shared" si="14"/>
        <v>J</v>
      </c>
      <c r="AA31" s="138" t="str">
        <f>TEXT('Table '!AG29,"jj mmm aa")</f>
        <v>24 mai 18</v>
      </c>
      <c r="AB31" s="18"/>
      <c r="AC31" s="18"/>
      <c r="AD31" s="18">
        <f t="shared" si="15"/>
        <v>0</v>
      </c>
      <c r="AE31" s="146">
        <f t="shared" si="6"/>
        <v>0</v>
      </c>
      <c r="AF31" s="20">
        <f t="shared" si="7"/>
        <v>0</v>
      </c>
    </row>
    <row r="32" spans="2:32" s="7" customFormat="1">
      <c r="B32" s="8" t="str">
        <f t="shared" si="8"/>
        <v>V</v>
      </c>
      <c r="C32" s="164" t="str">
        <f>TEXT('Table '!AG30,"jj mmm aa")</f>
        <v>25 mai 18</v>
      </c>
      <c r="D32" s="12"/>
      <c r="E32" s="12"/>
      <c r="F32" s="25">
        <f t="shared" si="9"/>
        <v>0</v>
      </c>
      <c r="G32" s="26">
        <f t="shared" si="0"/>
        <v>0</v>
      </c>
      <c r="H32" s="27">
        <f t="shared" si="1"/>
        <v>0</v>
      </c>
      <c r="I32" s="45"/>
      <c r="J32" s="8" t="str">
        <f t="shared" si="10"/>
        <v>V</v>
      </c>
      <c r="K32" s="151" t="str">
        <f>TEXT('Table '!AG30,"jj mmm aa")</f>
        <v>25 mai 18</v>
      </c>
      <c r="L32" s="25"/>
      <c r="M32" s="25"/>
      <c r="N32" s="25">
        <f t="shared" si="11"/>
        <v>0</v>
      </c>
      <c r="O32" s="26">
        <f t="shared" si="2"/>
        <v>0</v>
      </c>
      <c r="P32" s="27">
        <f t="shared" si="3"/>
        <v>0</v>
      </c>
      <c r="R32" s="8" t="str">
        <f t="shared" si="12"/>
        <v>V</v>
      </c>
      <c r="S32" s="151" t="str">
        <f>TEXT('Table '!AG30,"jj mmm aa")</f>
        <v>25 mai 18</v>
      </c>
      <c r="T32" s="12"/>
      <c r="U32" s="12"/>
      <c r="V32" s="12">
        <f t="shared" si="13"/>
        <v>0</v>
      </c>
      <c r="W32" s="13">
        <f t="shared" si="4"/>
        <v>0</v>
      </c>
      <c r="X32" s="14">
        <f t="shared" si="5"/>
        <v>0</v>
      </c>
      <c r="Y32" s="21"/>
      <c r="Z32" s="131" t="str">
        <f t="shared" si="14"/>
        <v>V</v>
      </c>
      <c r="AA32" s="138" t="str">
        <f>TEXT('Table '!AG30,"jj mmm aa")</f>
        <v>25 mai 18</v>
      </c>
      <c r="AB32" s="18"/>
      <c r="AC32" s="18"/>
      <c r="AD32" s="18">
        <f t="shared" si="15"/>
        <v>0</v>
      </c>
      <c r="AE32" s="146">
        <f t="shared" si="6"/>
        <v>0</v>
      </c>
      <c r="AF32" s="20">
        <f t="shared" si="7"/>
        <v>0</v>
      </c>
    </row>
    <row r="33" spans="2:32" s="7" customFormat="1">
      <c r="B33" s="8" t="str">
        <f t="shared" si="8"/>
        <v>S</v>
      </c>
      <c r="C33" s="164" t="str">
        <f>TEXT('Table '!AG31,"jj mmm aa")</f>
        <v>26 mai 18</v>
      </c>
      <c r="D33" s="12"/>
      <c r="E33" s="12"/>
      <c r="F33" s="25">
        <f t="shared" si="9"/>
        <v>0</v>
      </c>
      <c r="G33" s="26">
        <f t="shared" si="0"/>
        <v>0</v>
      </c>
      <c r="H33" s="27">
        <f t="shared" si="1"/>
        <v>0</v>
      </c>
      <c r="I33" s="45"/>
      <c r="J33" s="8" t="str">
        <f t="shared" si="10"/>
        <v>S</v>
      </c>
      <c r="K33" s="151" t="str">
        <f>TEXT('Table '!AG31,"jj mmm aa")</f>
        <v>26 mai 18</v>
      </c>
      <c r="L33" s="12"/>
      <c r="M33" s="12"/>
      <c r="N33" s="25">
        <f t="shared" si="11"/>
        <v>0</v>
      </c>
      <c r="O33" s="26">
        <f t="shared" si="2"/>
        <v>0</v>
      </c>
      <c r="P33" s="27">
        <f t="shared" si="3"/>
        <v>0</v>
      </c>
      <c r="R33" s="8" t="str">
        <f t="shared" si="12"/>
        <v>S</v>
      </c>
      <c r="S33" s="151" t="str">
        <f>TEXT('Table '!AG31,"jj mmm aa")</f>
        <v>26 mai 18</v>
      </c>
      <c r="T33" s="12"/>
      <c r="U33" s="12"/>
      <c r="V33" s="12">
        <f t="shared" si="13"/>
        <v>0</v>
      </c>
      <c r="W33" s="13">
        <f t="shared" si="4"/>
        <v>0</v>
      </c>
      <c r="X33" s="14">
        <f t="shared" si="5"/>
        <v>0</v>
      </c>
      <c r="Y33" s="21"/>
      <c r="Z33" s="131" t="str">
        <f t="shared" si="14"/>
        <v>S</v>
      </c>
      <c r="AA33" s="138" t="str">
        <f>TEXT('Table '!AG31,"jj mmm aa")</f>
        <v>26 mai 18</v>
      </c>
      <c r="AB33" s="18"/>
      <c r="AC33" s="18"/>
      <c r="AD33" s="18">
        <f t="shared" si="15"/>
        <v>0</v>
      </c>
      <c r="AE33" s="146">
        <f t="shared" si="6"/>
        <v>0</v>
      </c>
      <c r="AF33" s="20">
        <f t="shared" si="7"/>
        <v>0</v>
      </c>
    </row>
    <row r="34" spans="2:32" s="7" customFormat="1">
      <c r="B34" s="8" t="str">
        <f t="shared" si="8"/>
        <v>D</v>
      </c>
      <c r="C34" s="164" t="str">
        <f>TEXT('Table '!AG32,"jj mmm aa")</f>
        <v>27 mai 18</v>
      </c>
      <c r="D34" s="12"/>
      <c r="E34" s="12"/>
      <c r="F34" s="25">
        <f t="shared" si="9"/>
        <v>0</v>
      </c>
      <c r="G34" s="26">
        <f t="shared" si="0"/>
        <v>0</v>
      </c>
      <c r="H34" s="27">
        <f t="shared" si="1"/>
        <v>0</v>
      </c>
      <c r="I34" s="45"/>
      <c r="J34" s="8" t="str">
        <f t="shared" si="10"/>
        <v>D</v>
      </c>
      <c r="K34" s="151" t="str">
        <f>TEXT('Table '!AG32,"jj mmm aa")</f>
        <v>27 mai 18</v>
      </c>
      <c r="L34" s="12"/>
      <c r="M34" s="12"/>
      <c r="N34" s="25">
        <f t="shared" si="11"/>
        <v>0</v>
      </c>
      <c r="O34" s="26">
        <f t="shared" si="2"/>
        <v>0</v>
      </c>
      <c r="P34" s="27">
        <f t="shared" si="3"/>
        <v>0</v>
      </c>
      <c r="R34" s="8" t="str">
        <f t="shared" si="12"/>
        <v>D</v>
      </c>
      <c r="S34" s="151" t="str">
        <f>TEXT('Table '!AG32,"jj mmm aa")</f>
        <v>27 mai 18</v>
      </c>
      <c r="T34" s="12"/>
      <c r="U34" s="12"/>
      <c r="V34" s="12">
        <f t="shared" si="13"/>
        <v>0</v>
      </c>
      <c r="W34" s="13">
        <f t="shared" si="4"/>
        <v>0</v>
      </c>
      <c r="X34" s="14">
        <f t="shared" si="5"/>
        <v>0</v>
      </c>
      <c r="Y34" s="21"/>
      <c r="Z34" s="131" t="str">
        <f t="shared" si="14"/>
        <v>D</v>
      </c>
      <c r="AA34" s="138" t="str">
        <f>TEXT('Table '!AG32,"jj mmm aa")</f>
        <v>27 mai 18</v>
      </c>
      <c r="AB34" s="18"/>
      <c r="AC34" s="18"/>
      <c r="AD34" s="18">
        <f t="shared" si="15"/>
        <v>0</v>
      </c>
      <c r="AE34" s="146">
        <f t="shared" si="6"/>
        <v>0</v>
      </c>
      <c r="AF34" s="20">
        <f t="shared" si="7"/>
        <v>0</v>
      </c>
    </row>
    <row r="35" spans="2:32" s="7" customFormat="1">
      <c r="B35" s="8" t="str">
        <f t="shared" si="8"/>
        <v>L</v>
      </c>
      <c r="C35" s="164" t="str">
        <f>TEXT('Table '!AG33,"jj mmm aa")</f>
        <v>28 mai 18</v>
      </c>
      <c r="D35" s="12"/>
      <c r="E35" s="12"/>
      <c r="F35" s="25">
        <f t="shared" si="9"/>
        <v>0</v>
      </c>
      <c r="G35" s="26">
        <f t="shared" si="0"/>
        <v>0</v>
      </c>
      <c r="H35" s="27">
        <f t="shared" si="1"/>
        <v>0</v>
      </c>
      <c r="I35" s="45"/>
      <c r="J35" s="8" t="str">
        <f t="shared" si="10"/>
        <v>L</v>
      </c>
      <c r="K35" s="151" t="str">
        <f>TEXT('Table '!AG33,"jj mmm aa")</f>
        <v>28 mai 18</v>
      </c>
      <c r="L35" s="12"/>
      <c r="M35" s="12"/>
      <c r="N35" s="25">
        <f t="shared" si="11"/>
        <v>0</v>
      </c>
      <c r="O35" s="26">
        <f t="shared" si="2"/>
        <v>0</v>
      </c>
      <c r="P35" s="27">
        <f t="shared" si="3"/>
        <v>0</v>
      </c>
      <c r="R35" s="8" t="str">
        <f t="shared" si="12"/>
        <v>L</v>
      </c>
      <c r="S35" s="151" t="str">
        <f>TEXT('Table '!AG33,"jj mmm aa")</f>
        <v>28 mai 18</v>
      </c>
      <c r="T35" s="12"/>
      <c r="U35" s="12"/>
      <c r="V35" s="12">
        <f t="shared" si="13"/>
        <v>0</v>
      </c>
      <c r="W35" s="13">
        <f t="shared" si="4"/>
        <v>0</v>
      </c>
      <c r="X35" s="14">
        <f t="shared" si="5"/>
        <v>0</v>
      </c>
      <c r="Y35" s="21"/>
      <c r="Z35" s="131" t="str">
        <f t="shared" si="14"/>
        <v>L</v>
      </c>
      <c r="AA35" s="138" t="str">
        <f>TEXT('Table '!AG33,"jj mmm aa")</f>
        <v>28 mai 18</v>
      </c>
      <c r="AB35" s="18"/>
      <c r="AC35" s="18"/>
      <c r="AD35" s="18">
        <f t="shared" si="15"/>
        <v>0</v>
      </c>
      <c r="AE35" s="146">
        <f t="shared" si="6"/>
        <v>0</v>
      </c>
      <c r="AF35" s="20">
        <f t="shared" si="7"/>
        <v>0</v>
      </c>
    </row>
    <row r="36" spans="2:32" s="7" customFormat="1">
      <c r="B36" s="8" t="str">
        <f t="shared" si="8"/>
        <v>M</v>
      </c>
      <c r="C36" s="164" t="str">
        <f>TEXT('Table '!AG34,"jj mmm aa")</f>
        <v>29 mai 18</v>
      </c>
      <c r="D36" s="12"/>
      <c r="E36" s="12"/>
      <c r="F36" s="25">
        <f t="shared" si="9"/>
        <v>0</v>
      </c>
      <c r="G36" s="26">
        <f t="shared" si="0"/>
        <v>0</v>
      </c>
      <c r="H36" s="27">
        <f t="shared" si="1"/>
        <v>0</v>
      </c>
      <c r="I36" s="45"/>
      <c r="J36" s="8" t="str">
        <f t="shared" si="10"/>
        <v>M</v>
      </c>
      <c r="K36" s="151" t="str">
        <f>TEXT('Table '!AG34,"jj mmm aa")</f>
        <v>29 mai 18</v>
      </c>
      <c r="L36" s="12"/>
      <c r="M36" s="12"/>
      <c r="N36" s="25">
        <f t="shared" si="11"/>
        <v>0</v>
      </c>
      <c r="O36" s="26">
        <f t="shared" si="2"/>
        <v>0</v>
      </c>
      <c r="P36" s="27">
        <f t="shared" si="3"/>
        <v>0</v>
      </c>
      <c r="R36" s="8" t="str">
        <f t="shared" si="12"/>
        <v>M</v>
      </c>
      <c r="S36" s="151" t="str">
        <f>TEXT('Table '!AG34,"jj mmm aa")</f>
        <v>29 mai 18</v>
      </c>
      <c r="T36" s="12"/>
      <c r="U36" s="12"/>
      <c r="V36" s="12">
        <f t="shared" si="13"/>
        <v>0</v>
      </c>
      <c r="W36" s="13">
        <f t="shared" si="4"/>
        <v>0</v>
      </c>
      <c r="X36" s="14">
        <f t="shared" si="5"/>
        <v>0</v>
      </c>
      <c r="Y36" s="21"/>
      <c r="Z36" s="131" t="str">
        <f t="shared" si="14"/>
        <v>M</v>
      </c>
      <c r="AA36" s="138" t="str">
        <f>TEXT('Table '!AG34,"jj mmm aa")</f>
        <v>29 mai 18</v>
      </c>
      <c r="AB36" s="18"/>
      <c r="AC36" s="18"/>
      <c r="AD36" s="18">
        <f t="shared" si="15"/>
        <v>0</v>
      </c>
      <c r="AE36" s="146">
        <f t="shared" si="6"/>
        <v>0</v>
      </c>
      <c r="AF36" s="20">
        <f t="shared" si="7"/>
        <v>0</v>
      </c>
    </row>
    <row r="37" spans="2:32" s="7" customFormat="1">
      <c r="B37" s="8" t="str">
        <f t="shared" si="8"/>
        <v>M</v>
      </c>
      <c r="C37" s="164" t="str">
        <f>TEXT('Table '!AG35,"jj mmm aa")</f>
        <v>30 mai 18</v>
      </c>
      <c r="D37" s="25"/>
      <c r="E37" s="25"/>
      <c r="F37" s="25">
        <f t="shared" ref="F37:F38" si="16">E37-D37</f>
        <v>0</v>
      </c>
      <c r="G37" s="26">
        <f t="shared" si="0"/>
        <v>0</v>
      </c>
      <c r="H37" s="27">
        <f t="shared" si="1"/>
        <v>0</v>
      </c>
      <c r="I37" s="45"/>
      <c r="J37" s="8" t="str">
        <f t="shared" si="10"/>
        <v>M</v>
      </c>
      <c r="K37" s="151" t="str">
        <f>TEXT('Table '!AG35,"jj mmm aa")</f>
        <v>30 mai 18</v>
      </c>
      <c r="L37" s="25"/>
      <c r="M37" s="25"/>
      <c r="N37" s="25">
        <f t="shared" si="11"/>
        <v>0</v>
      </c>
      <c r="O37" s="26">
        <f t="shared" si="2"/>
        <v>0</v>
      </c>
      <c r="P37" s="27">
        <f t="shared" si="3"/>
        <v>0</v>
      </c>
      <c r="R37" s="8" t="str">
        <f t="shared" si="12"/>
        <v>M</v>
      </c>
      <c r="S37" s="151" t="str">
        <f>TEXT('Table '!AG35,"jj mmm aa")</f>
        <v>30 mai 18</v>
      </c>
      <c r="T37" s="12"/>
      <c r="U37" s="12"/>
      <c r="V37" s="12">
        <f t="shared" si="13"/>
        <v>0</v>
      </c>
      <c r="W37" s="13">
        <f t="shared" si="4"/>
        <v>0</v>
      </c>
      <c r="X37" s="14">
        <f t="shared" si="5"/>
        <v>0</v>
      </c>
      <c r="Y37" s="21"/>
      <c r="Z37" s="131" t="str">
        <f t="shared" si="14"/>
        <v>M</v>
      </c>
      <c r="AA37" s="138" t="str">
        <f>TEXT('Table '!AG35,"jj mmm aa")</f>
        <v>30 mai 18</v>
      </c>
      <c r="AB37" s="18"/>
      <c r="AC37" s="18"/>
      <c r="AD37" s="18">
        <f t="shared" si="15"/>
        <v>0</v>
      </c>
      <c r="AE37" s="146">
        <f t="shared" si="6"/>
        <v>0</v>
      </c>
      <c r="AF37" s="20">
        <f t="shared" si="7"/>
        <v>0</v>
      </c>
    </row>
    <row r="38" spans="2:32" s="7" customFormat="1" ht="15.75" thickBot="1">
      <c r="B38" s="8" t="str">
        <f t="shared" si="8"/>
        <v>J</v>
      </c>
      <c r="C38" s="164" t="str">
        <f>TEXT('Table '!AG36,"jj mmm aa")</f>
        <v>31 mai 18</v>
      </c>
      <c r="D38" s="156"/>
      <c r="E38" s="156"/>
      <c r="F38" s="156">
        <f t="shared" si="16"/>
        <v>0</v>
      </c>
      <c r="G38" s="157">
        <f t="shared" si="0"/>
        <v>0</v>
      </c>
      <c r="H38" s="158">
        <f t="shared" si="1"/>
        <v>0</v>
      </c>
      <c r="I38" s="21"/>
      <c r="J38" s="8" t="str">
        <f t="shared" si="10"/>
        <v>J</v>
      </c>
      <c r="K38" s="151" t="str">
        <f>TEXT('Table '!AG36,"jj mmm aa")</f>
        <v>31 mai 18</v>
      </c>
      <c r="L38" s="156"/>
      <c r="M38" s="156"/>
      <c r="N38" s="156">
        <f t="shared" si="11"/>
        <v>0</v>
      </c>
      <c r="O38" s="157">
        <f t="shared" si="2"/>
        <v>0</v>
      </c>
      <c r="P38" s="158">
        <f t="shared" si="3"/>
        <v>0</v>
      </c>
      <c r="Q38" s="21"/>
      <c r="R38" s="8" t="str">
        <f t="shared" si="12"/>
        <v>J</v>
      </c>
      <c r="S38" s="151" t="str">
        <f>TEXT('Table '!AG36,"jj mmm aa")</f>
        <v>31 mai 18</v>
      </c>
      <c r="T38" s="156"/>
      <c r="U38" s="156"/>
      <c r="V38" s="156">
        <f t="shared" si="13"/>
        <v>0</v>
      </c>
      <c r="W38" s="157">
        <f t="shared" si="4"/>
        <v>0</v>
      </c>
      <c r="X38" s="158">
        <f t="shared" si="5"/>
        <v>0</v>
      </c>
      <c r="Y38" s="21"/>
      <c r="Z38" s="131" t="str">
        <f t="shared" si="14"/>
        <v>J</v>
      </c>
      <c r="AA38" s="138" t="str">
        <f>TEXT('Table '!AG36,"jj mmm aa")</f>
        <v>31 mai 18</v>
      </c>
      <c r="AB38" s="156"/>
      <c r="AC38" s="156"/>
      <c r="AD38" s="156">
        <f t="shared" si="15"/>
        <v>0</v>
      </c>
      <c r="AE38" s="157">
        <f t="shared" si="6"/>
        <v>0</v>
      </c>
      <c r="AF38" s="158">
        <f t="shared" si="7"/>
        <v>0</v>
      </c>
    </row>
    <row r="39" spans="2:32" s="7" customFormat="1" ht="19.5" thickTop="1">
      <c r="B39" s="127"/>
      <c r="C39" s="62"/>
      <c r="D39" s="62"/>
      <c r="E39" s="63" t="s">
        <v>9</v>
      </c>
      <c r="F39" s="62"/>
      <c r="G39" s="64">
        <f>SUM(G8:G38)</f>
        <v>0</v>
      </c>
      <c r="H39" s="65"/>
      <c r="J39" s="127"/>
      <c r="K39" s="62"/>
      <c r="L39" s="62"/>
      <c r="M39" s="63" t="s">
        <v>9</v>
      </c>
      <c r="N39" s="62"/>
      <c r="O39" s="64">
        <f>SUM(O8:O38)</f>
        <v>0</v>
      </c>
      <c r="P39" s="65"/>
      <c r="R39" s="127"/>
      <c r="S39" s="62"/>
      <c r="T39" s="62"/>
      <c r="U39" s="63" t="s">
        <v>9</v>
      </c>
      <c r="V39" s="62"/>
      <c r="W39" s="64">
        <f>SUM(W8:W38)</f>
        <v>0</v>
      </c>
      <c r="X39" s="65"/>
      <c r="Z39" s="127"/>
      <c r="AA39" s="62"/>
      <c r="AB39" s="62"/>
      <c r="AC39" s="63" t="s">
        <v>9</v>
      </c>
      <c r="AD39" s="62"/>
      <c r="AE39" s="64">
        <f>SUM(AE8:AE23)</f>
        <v>0</v>
      </c>
      <c r="AF39" s="65"/>
    </row>
    <row r="40" spans="2:32" s="36" customFormat="1" ht="18.75">
      <c r="B40" s="128"/>
      <c r="C40" s="33"/>
      <c r="D40" s="33"/>
      <c r="E40" s="34" t="s">
        <v>10</v>
      </c>
      <c r="F40" s="33"/>
      <c r="G40" s="35"/>
      <c r="H40" s="32">
        <f>SUM(H8:H38)*24</f>
        <v>0</v>
      </c>
      <c r="J40" s="128"/>
      <c r="K40" s="33"/>
      <c r="L40" s="33"/>
      <c r="M40" s="34" t="s">
        <v>10</v>
      </c>
      <c r="N40" s="33"/>
      <c r="O40" s="35"/>
      <c r="P40" s="32">
        <f>SUM(P8:P38)*24</f>
        <v>0</v>
      </c>
      <c r="R40" s="128"/>
      <c r="S40" s="33"/>
      <c r="T40" s="33"/>
      <c r="U40" s="34" t="s">
        <v>10</v>
      </c>
      <c r="V40" s="33"/>
      <c r="W40" s="35"/>
      <c r="X40" s="32">
        <f>SUM(X8:X38)*24</f>
        <v>0</v>
      </c>
      <c r="Z40" s="128"/>
      <c r="AA40" s="33"/>
      <c r="AB40" s="33"/>
      <c r="AC40" s="34" t="s">
        <v>10</v>
      </c>
      <c r="AD40" s="33"/>
      <c r="AE40" s="35"/>
      <c r="AF40" s="32">
        <f>SUM(AF8:AF32)*24</f>
        <v>0</v>
      </c>
    </row>
    <row r="41" spans="2:32" s="7" customFormat="1" ht="15.75" thickBot="1">
      <c r="B41" s="129"/>
      <c r="C41" s="16"/>
      <c r="D41" s="16"/>
      <c r="E41" s="16"/>
      <c r="F41" s="16"/>
      <c r="G41" s="16"/>
      <c r="H41" s="17"/>
      <c r="J41" s="129"/>
      <c r="K41" s="16"/>
      <c r="L41" s="16"/>
      <c r="M41" s="16"/>
      <c r="N41" s="16"/>
      <c r="O41" s="16"/>
      <c r="P41" s="17"/>
      <c r="R41" s="129"/>
      <c r="S41" s="16"/>
      <c r="T41" s="16"/>
      <c r="U41" s="16"/>
      <c r="V41" s="16"/>
      <c r="W41" s="16"/>
      <c r="X41" s="17"/>
      <c r="Z41" s="129"/>
      <c r="AA41" s="16"/>
      <c r="AB41" s="16"/>
      <c r="AC41" s="16"/>
      <c r="AD41" s="16"/>
      <c r="AE41" s="16"/>
      <c r="AF41" s="17"/>
    </row>
    <row r="42" spans="2:32" ht="15.75" thickTop="1"/>
  </sheetData>
  <mergeCells count="7">
    <mergeCell ref="B5:H6"/>
    <mergeCell ref="J5:P6"/>
    <mergeCell ref="R5:X6"/>
    <mergeCell ref="Z5:AF6"/>
    <mergeCell ref="L1:N1"/>
    <mergeCell ref="L2:N2"/>
    <mergeCell ref="L3:N3"/>
  </mergeCells>
  <conditionalFormatting sqref="B8:H38 J8:P38 R8:X38 Z8:AF38">
    <cfRule type="expression" dxfId="25" priority="3" stopIfTrue="1">
      <formula>AND($B8="D")</formula>
    </cfRule>
    <cfRule type="expression" dxfId="24" priority="4" stopIfTrue="1">
      <formula>AND($B8="S")</formula>
    </cfRule>
    <cfRule type="expression" dxfId="23" priority="2" stopIfTrue="1">
      <formula>COUNTIF(Feries,$C8)&gt;0</formula>
    </cfRule>
    <cfRule type="expression" dxfId="22" priority="1" stopIfTrue="1">
      <formula>COUNTIF(Fete,$C8)&gt;0</formula>
    </cfRule>
  </conditionalFormatting>
  <pageMargins left="0.7" right="0.7" top="0.75" bottom="0.75" header="0.3" footer="0.3"/>
  <pageSetup paperSize="9" orientation="portrait" horizontalDpi="4294967294" verticalDpi="4294967294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7">
    <tabColor theme="2" tint="-0.499984740745262"/>
  </sheetPr>
  <dimension ref="B1:AF42"/>
  <sheetViews>
    <sheetView showGridLines="0" workbookViewId="0"/>
  </sheetViews>
  <sheetFormatPr baseColWidth="10" defaultRowHeight="15"/>
  <cols>
    <col min="1" max="1" width="1.42578125" customWidth="1"/>
    <col min="2" max="2" width="3.7109375" customWidth="1"/>
    <col min="3" max="8" width="9.5703125" style="1" customWidth="1"/>
    <col min="9" max="9" width="1.7109375" customWidth="1"/>
    <col min="10" max="10" width="3.7109375" customWidth="1"/>
    <col min="11" max="16" width="9.5703125" customWidth="1"/>
    <col min="17" max="17" width="1.7109375" customWidth="1"/>
    <col min="18" max="18" width="3.7109375" customWidth="1"/>
    <col min="19" max="24" width="9.5703125" customWidth="1"/>
    <col min="25" max="25" width="1.7109375" customWidth="1"/>
    <col min="26" max="26" width="3.7109375" customWidth="1"/>
    <col min="27" max="32" width="9.5703125" customWidth="1"/>
  </cols>
  <sheetData>
    <row r="1" spans="2:32">
      <c r="C1" s="56" t="s">
        <v>0</v>
      </c>
      <c r="D1" s="56"/>
      <c r="E1" s="56"/>
      <c r="F1" s="57">
        <v>0.33333333333333331</v>
      </c>
      <c r="G1" s="56" t="s">
        <v>1</v>
      </c>
      <c r="H1" s="56"/>
      <c r="L1" s="165"/>
      <c r="M1" s="165"/>
      <c r="N1" s="165"/>
    </row>
    <row r="2" spans="2:32">
      <c r="C2" s="56" t="s">
        <v>2</v>
      </c>
      <c r="D2" s="57">
        <v>0.33333333333333331</v>
      </c>
      <c r="E2" s="56" t="s">
        <v>3</v>
      </c>
      <c r="F2" s="56"/>
      <c r="G2" s="56"/>
      <c r="H2" s="56"/>
      <c r="L2" s="165"/>
      <c r="M2" s="165"/>
      <c r="N2" s="165"/>
    </row>
    <row r="3" spans="2:32">
      <c r="C3" s="56"/>
      <c r="D3" s="56"/>
      <c r="E3" s="56"/>
      <c r="F3" s="56"/>
      <c r="G3" s="56"/>
      <c r="H3" s="56"/>
      <c r="L3" s="165"/>
      <c r="M3" s="165"/>
      <c r="N3" s="165"/>
    </row>
    <row r="4" spans="2:32" ht="15.75" thickBot="1">
      <c r="C4" s="6"/>
    </row>
    <row r="5" spans="2:32" s="7" customFormat="1" ht="15.75" customHeight="1" thickTop="1">
      <c r="B5" s="338">
        <f>'Table '!C3</f>
        <v>1</v>
      </c>
      <c r="C5" s="339"/>
      <c r="D5" s="339" t="e">
        <f>'Table '!#REF!</f>
        <v>#REF!</v>
      </c>
      <c r="E5" s="339"/>
      <c r="F5" s="339"/>
      <c r="G5" s="339"/>
      <c r="H5" s="340"/>
      <c r="J5" s="344">
        <f>'Table '!G3</f>
        <v>2</v>
      </c>
      <c r="K5" s="345"/>
      <c r="L5" s="345" t="e">
        <f>'Table '!#REF!</f>
        <v>#REF!</v>
      </c>
      <c r="M5" s="345"/>
      <c r="N5" s="345"/>
      <c r="O5" s="345"/>
      <c r="P5" s="346"/>
      <c r="R5" s="350">
        <f>'Table '!C6</f>
        <v>3</v>
      </c>
      <c r="S5" s="351"/>
      <c r="T5" s="351" t="e">
        <f>'Table '!#REF!</f>
        <v>#REF!</v>
      </c>
      <c r="U5" s="351"/>
      <c r="V5" s="351"/>
      <c r="W5" s="351"/>
      <c r="X5" s="352"/>
      <c r="Z5" s="356">
        <f>'Table '!G6</f>
        <v>4</v>
      </c>
      <c r="AA5" s="357"/>
      <c r="AB5" s="357" t="e">
        <f>'Table '!#REF!</f>
        <v>#REF!</v>
      </c>
      <c r="AC5" s="357"/>
      <c r="AD5" s="357"/>
      <c r="AE5" s="357"/>
      <c r="AF5" s="358"/>
    </row>
    <row r="6" spans="2:32" s="7" customFormat="1" ht="15" customHeight="1">
      <c r="B6" s="341"/>
      <c r="C6" s="342"/>
      <c r="D6" s="342"/>
      <c r="E6" s="342"/>
      <c r="F6" s="342"/>
      <c r="G6" s="342"/>
      <c r="H6" s="343"/>
      <c r="J6" s="347"/>
      <c r="K6" s="348"/>
      <c r="L6" s="348"/>
      <c r="M6" s="348"/>
      <c r="N6" s="348"/>
      <c r="O6" s="348"/>
      <c r="P6" s="349"/>
      <c r="R6" s="353"/>
      <c r="S6" s="354"/>
      <c r="T6" s="354"/>
      <c r="U6" s="354"/>
      <c r="V6" s="354"/>
      <c r="W6" s="354"/>
      <c r="X6" s="355"/>
      <c r="Z6" s="359"/>
      <c r="AA6" s="360"/>
      <c r="AB6" s="360"/>
      <c r="AC6" s="360"/>
      <c r="AD6" s="360"/>
      <c r="AE6" s="360"/>
      <c r="AF6" s="361"/>
    </row>
    <row r="7" spans="2:32" s="11" customFormat="1" ht="39" customHeight="1">
      <c r="B7" s="8"/>
      <c r="C7" s="15"/>
      <c r="D7" s="9" t="s">
        <v>4</v>
      </c>
      <c r="E7" s="9" t="s">
        <v>5</v>
      </c>
      <c r="F7" s="9" t="s">
        <v>6</v>
      </c>
      <c r="G7" s="9" t="s">
        <v>7</v>
      </c>
      <c r="H7" s="10" t="s">
        <v>8</v>
      </c>
      <c r="J7" s="8"/>
      <c r="K7" s="15"/>
      <c r="L7" s="9" t="s">
        <v>4</v>
      </c>
      <c r="M7" s="9" t="s">
        <v>5</v>
      </c>
      <c r="N7" s="9" t="s">
        <v>6</v>
      </c>
      <c r="O7" s="9" t="s">
        <v>7</v>
      </c>
      <c r="P7" s="10" t="s">
        <v>8</v>
      </c>
      <c r="R7" s="8"/>
      <c r="S7" s="15"/>
      <c r="T7" s="9" t="s">
        <v>4</v>
      </c>
      <c r="U7" s="9" t="s">
        <v>5</v>
      </c>
      <c r="V7" s="9" t="s">
        <v>6</v>
      </c>
      <c r="W7" s="9" t="s">
        <v>7</v>
      </c>
      <c r="X7" s="10" t="s">
        <v>8</v>
      </c>
      <c r="Z7" s="8"/>
      <c r="AA7" s="15"/>
      <c r="AB7" s="9" t="s">
        <v>4</v>
      </c>
      <c r="AC7" s="9" t="s">
        <v>5</v>
      </c>
      <c r="AD7" s="9" t="s">
        <v>6</v>
      </c>
      <c r="AE7" s="9" t="s">
        <v>7</v>
      </c>
      <c r="AF7" s="10" t="s">
        <v>8</v>
      </c>
    </row>
    <row r="8" spans="2:32" s="7" customFormat="1">
      <c r="B8" s="8" t="str">
        <f>CHOOSE(WEEKDAY(C8),"D","L","M","M","J","V","S")</f>
        <v>V</v>
      </c>
      <c r="C8" s="164" t="str">
        <f>TEXT('Table '!AH6,"jj mmm aa")</f>
        <v>01 juin 18</v>
      </c>
      <c r="D8" s="12"/>
      <c r="E8" s="12"/>
      <c r="F8" s="12">
        <f t="shared" ref="F8:F10" si="0">E8-D8</f>
        <v>0</v>
      </c>
      <c r="G8" s="13">
        <f t="shared" ref="G8:G37" si="1">IF(F8&gt;=$F$1,1,0)</f>
        <v>0</v>
      </c>
      <c r="H8" s="14">
        <f t="shared" ref="H8:H37" si="2">IF(F8&lt;$F$1,F8,0)</f>
        <v>0</v>
      </c>
      <c r="J8" s="8" t="str">
        <f>CHOOSE(WEEKDAY(C8),"D","L","M","M","J","V","S")</f>
        <v>V</v>
      </c>
      <c r="K8" s="151" t="str">
        <f>TEXT('Table '!AH6,"jj mmm aa")</f>
        <v>01 juin 18</v>
      </c>
      <c r="L8" s="12"/>
      <c r="M8" s="12"/>
      <c r="N8" s="12">
        <f>M8-L8</f>
        <v>0</v>
      </c>
      <c r="O8" s="13">
        <f t="shared" ref="O8:O37" si="3">IF(N8&gt;=$F$1,1,0)</f>
        <v>0</v>
      </c>
      <c r="P8" s="14">
        <f t="shared" ref="P8:P37" si="4">IF(N8&lt;$F$1,N8,0)</f>
        <v>0</v>
      </c>
      <c r="R8" s="8" t="str">
        <f>CHOOSE(WEEKDAY(C8),"D","L","M","M","J","V","S")</f>
        <v>V</v>
      </c>
      <c r="S8" s="151" t="str">
        <f>TEXT('Table '!AH6,"jj mmm aa")</f>
        <v>01 juin 18</v>
      </c>
      <c r="T8" s="12"/>
      <c r="U8" s="12"/>
      <c r="V8" s="12">
        <f>U8-T8</f>
        <v>0</v>
      </c>
      <c r="W8" s="13">
        <f t="shared" ref="W8:W37" si="5">IF(V8&gt;=$F$1,1,0)</f>
        <v>0</v>
      </c>
      <c r="X8" s="14">
        <f t="shared" ref="X8:X37" si="6">IF(V8&lt;$F$1,V8,0)</f>
        <v>0</v>
      </c>
      <c r="Y8" s="21"/>
      <c r="Z8" s="131" t="str">
        <f>CHOOSE(WEEKDAY(C8),"D","L","M","M","J","V","S")</f>
        <v>V</v>
      </c>
      <c r="AA8" s="138" t="str">
        <f>TEXT('Table '!AH6,"jj mmm aa")</f>
        <v>01 juin 18</v>
      </c>
      <c r="AB8" s="18"/>
      <c r="AC8" s="18"/>
      <c r="AD8" s="18">
        <f>AC8-AB8</f>
        <v>0</v>
      </c>
      <c r="AE8" s="146">
        <f t="shared" ref="AE8:AE38" si="7">IF(AD8&gt;=$F$1,1,0)</f>
        <v>0</v>
      </c>
      <c r="AF8" s="20">
        <f t="shared" ref="AF8:AF38" si="8">IF(AD8&lt;$F$1,AD8,0)</f>
        <v>0</v>
      </c>
    </row>
    <row r="9" spans="2:32" s="7" customFormat="1">
      <c r="B9" s="8" t="str">
        <f t="shared" ref="B9:B37" si="9">CHOOSE(WEEKDAY(C9),"D","L","M","M","J","V","S")</f>
        <v>S</v>
      </c>
      <c r="C9" s="164" t="str">
        <f>TEXT('Table '!AH7,"jj mmm aa")</f>
        <v>02 juin 18</v>
      </c>
      <c r="D9" s="12"/>
      <c r="E9" s="12"/>
      <c r="F9" s="12">
        <f t="shared" si="0"/>
        <v>0</v>
      </c>
      <c r="G9" s="13">
        <f t="shared" si="1"/>
        <v>0</v>
      </c>
      <c r="H9" s="14">
        <f t="shared" si="2"/>
        <v>0</v>
      </c>
      <c r="J9" s="8" t="str">
        <f t="shared" ref="J9:J37" si="10">CHOOSE(WEEKDAY(C9),"D","L","M","M","J","V","S")</f>
        <v>S</v>
      </c>
      <c r="K9" s="151" t="str">
        <f>TEXT('Table '!AH7,"jj mmm aa")</f>
        <v>02 juin 18</v>
      </c>
      <c r="L9" s="12"/>
      <c r="M9" s="12"/>
      <c r="N9" s="12">
        <f t="shared" ref="N9:N37" si="11">M9-L9</f>
        <v>0</v>
      </c>
      <c r="O9" s="13">
        <f t="shared" si="3"/>
        <v>0</v>
      </c>
      <c r="P9" s="14">
        <f t="shared" si="4"/>
        <v>0</v>
      </c>
      <c r="R9" s="8" t="str">
        <f t="shared" ref="R9:R37" si="12">CHOOSE(WEEKDAY(C9),"D","L","M","M","J","V","S")</f>
        <v>S</v>
      </c>
      <c r="S9" s="151" t="str">
        <f>TEXT('Table '!AH7,"jj mmm aa")</f>
        <v>02 juin 18</v>
      </c>
      <c r="T9" s="12"/>
      <c r="U9" s="12"/>
      <c r="V9" s="12">
        <f t="shared" ref="V9:V37" si="13">U9-T9</f>
        <v>0</v>
      </c>
      <c r="W9" s="13">
        <f t="shared" si="5"/>
        <v>0</v>
      </c>
      <c r="X9" s="14">
        <f t="shared" si="6"/>
        <v>0</v>
      </c>
      <c r="Y9" s="21"/>
      <c r="Z9" s="131" t="str">
        <f t="shared" ref="Z9:Z37" si="14">CHOOSE(WEEKDAY(C9),"D","L","M","M","J","V","S")</f>
        <v>S</v>
      </c>
      <c r="AA9" s="138" t="str">
        <f>TEXT('Table '!AH7,"jj mmm aa")</f>
        <v>02 juin 18</v>
      </c>
      <c r="AB9" s="18"/>
      <c r="AC9" s="18"/>
      <c r="AD9" s="18">
        <f t="shared" ref="AD9:AD38" si="15">AC9-AB9</f>
        <v>0</v>
      </c>
      <c r="AE9" s="146">
        <f t="shared" si="7"/>
        <v>0</v>
      </c>
      <c r="AF9" s="20">
        <f t="shared" si="8"/>
        <v>0</v>
      </c>
    </row>
    <row r="10" spans="2:32" s="7" customFormat="1">
      <c r="B10" s="8" t="str">
        <f t="shared" si="9"/>
        <v>D</v>
      </c>
      <c r="C10" s="164" t="str">
        <f>TEXT('Table '!AH8,"jj mmm aa")</f>
        <v>03 juin 18</v>
      </c>
      <c r="D10" s="12"/>
      <c r="E10" s="12"/>
      <c r="F10" s="12">
        <f t="shared" si="0"/>
        <v>0</v>
      </c>
      <c r="G10" s="13">
        <f t="shared" si="1"/>
        <v>0</v>
      </c>
      <c r="H10" s="14">
        <f t="shared" si="2"/>
        <v>0</v>
      </c>
      <c r="J10" s="8" t="str">
        <f t="shared" si="10"/>
        <v>D</v>
      </c>
      <c r="K10" s="151" t="str">
        <f>TEXT('Table '!AH8,"jj mmm aa")</f>
        <v>03 juin 18</v>
      </c>
      <c r="L10" s="12"/>
      <c r="M10" s="12"/>
      <c r="N10" s="12">
        <f t="shared" si="11"/>
        <v>0</v>
      </c>
      <c r="O10" s="13">
        <f t="shared" si="3"/>
        <v>0</v>
      </c>
      <c r="P10" s="14">
        <f t="shared" si="4"/>
        <v>0</v>
      </c>
      <c r="R10" s="8" t="str">
        <f t="shared" si="12"/>
        <v>D</v>
      </c>
      <c r="S10" s="151" t="str">
        <f>TEXT('Table '!AH8,"jj mmm aa")</f>
        <v>03 juin 18</v>
      </c>
      <c r="T10" s="12"/>
      <c r="U10" s="12"/>
      <c r="V10" s="12">
        <f t="shared" si="13"/>
        <v>0</v>
      </c>
      <c r="W10" s="13">
        <f t="shared" si="5"/>
        <v>0</v>
      </c>
      <c r="X10" s="14">
        <f t="shared" si="6"/>
        <v>0</v>
      </c>
      <c r="Y10" s="21"/>
      <c r="Z10" s="131" t="str">
        <f t="shared" si="14"/>
        <v>D</v>
      </c>
      <c r="AA10" s="138" t="str">
        <f>TEXT('Table '!AH8,"jj mmm aa")</f>
        <v>03 juin 18</v>
      </c>
      <c r="AB10" s="18"/>
      <c r="AC10" s="18"/>
      <c r="AD10" s="18">
        <f t="shared" si="15"/>
        <v>0</v>
      </c>
      <c r="AE10" s="146">
        <f t="shared" si="7"/>
        <v>0</v>
      </c>
      <c r="AF10" s="20">
        <f t="shared" si="8"/>
        <v>0</v>
      </c>
    </row>
    <row r="11" spans="2:32" s="7" customFormat="1">
      <c r="B11" s="8" t="str">
        <f t="shared" si="9"/>
        <v>L</v>
      </c>
      <c r="C11" s="164" t="str">
        <f>TEXT('Table '!AH9,"jj mmm aa")</f>
        <v>04 juin 18</v>
      </c>
      <c r="D11" s="12"/>
      <c r="E11" s="12"/>
      <c r="F11" s="25">
        <f t="shared" ref="F11:F36" si="16">E11-D11</f>
        <v>0</v>
      </c>
      <c r="G11" s="26">
        <f t="shared" si="1"/>
        <v>0</v>
      </c>
      <c r="H11" s="27">
        <f t="shared" si="2"/>
        <v>0</v>
      </c>
      <c r="I11" s="45"/>
      <c r="J11" s="8" t="str">
        <f t="shared" si="10"/>
        <v>L</v>
      </c>
      <c r="K11" s="151" t="str">
        <f>TEXT('Table '!AH9,"jj mmm aa")</f>
        <v>04 juin 18</v>
      </c>
      <c r="L11" s="25"/>
      <c r="M11" s="25"/>
      <c r="N11" s="25">
        <f>M11-L11</f>
        <v>0</v>
      </c>
      <c r="O11" s="26">
        <f t="shared" si="3"/>
        <v>0</v>
      </c>
      <c r="P11" s="27">
        <f t="shared" si="4"/>
        <v>0</v>
      </c>
      <c r="R11" s="8" t="str">
        <f t="shared" si="12"/>
        <v>L</v>
      </c>
      <c r="S11" s="151" t="str">
        <f>TEXT('Table '!AH9,"jj mmm aa")</f>
        <v>04 juin 18</v>
      </c>
      <c r="T11" s="12"/>
      <c r="U11" s="12"/>
      <c r="V11" s="12">
        <f t="shared" si="13"/>
        <v>0</v>
      </c>
      <c r="W11" s="13">
        <f t="shared" si="5"/>
        <v>0</v>
      </c>
      <c r="X11" s="14">
        <f t="shared" si="6"/>
        <v>0</v>
      </c>
      <c r="Y11" s="21"/>
      <c r="Z11" s="131" t="str">
        <f t="shared" si="14"/>
        <v>L</v>
      </c>
      <c r="AA11" s="138" t="str">
        <f>TEXT('Table '!AH9,"jj mmm aa")</f>
        <v>04 juin 18</v>
      </c>
      <c r="AB11" s="18"/>
      <c r="AC11" s="18"/>
      <c r="AD11" s="18">
        <f t="shared" si="15"/>
        <v>0</v>
      </c>
      <c r="AE11" s="146">
        <f t="shared" si="7"/>
        <v>0</v>
      </c>
      <c r="AF11" s="20">
        <f t="shared" si="8"/>
        <v>0</v>
      </c>
    </row>
    <row r="12" spans="2:32" s="7" customFormat="1">
      <c r="B12" s="8" t="str">
        <f t="shared" si="9"/>
        <v>M</v>
      </c>
      <c r="C12" s="164" t="str">
        <f>TEXT('Table '!AH10,"jj mmm aa")</f>
        <v>05 juin 18</v>
      </c>
      <c r="D12" s="12"/>
      <c r="E12" s="12"/>
      <c r="F12" s="25">
        <f t="shared" si="16"/>
        <v>0</v>
      </c>
      <c r="G12" s="26">
        <f t="shared" si="1"/>
        <v>0</v>
      </c>
      <c r="H12" s="27">
        <f t="shared" si="2"/>
        <v>0</v>
      </c>
      <c r="I12" s="45"/>
      <c r="J12" s="8" t="str">
        <f t="shared" si="10"/>
        <v>M</v>
      </c>
      <c r="K12" s="151" t="str">
        <f>TEXT('Table '!AH10,"jj mmm aa")</f>
        <v>05 juin 18</v>
      </c>
      <c r="L12" s="12"/>
      <c r="M12" s="12"/>
      <c r="N12" s="25">
        <f>M12-L12</f>
        <v>0</v>
      </c>
      <c r="O12" s="26">
        <f t="shared" si="3"/>
        <v>0</v>
      </c>
      <c r="P12" s="27">
        <f t="shared" si="4"/>
        <v>0</v>
      </c>
      <c r="R12" s="8" t="str">
        <f t="shared" si="12"/>
        <v>M</v>
      </c>
      <c r="S12" s="151" t="str">
        <f>TEXT('Table '!AH10,"jj mmm aa")</f>
        <v>05 juin 18</v>
      </c>
      <c r="T12" s="12"/>
      <c r="U12" s="12"/>
      <c r="V12" s="12">
        <f t="shared" si="13"/>
        <v>0</v>
      </c>
      <c r="W12" s="13">
        <f t="shared" si="5"/>
        <v>0</v>
      </c>
      <c r="X12" s="14">
        <f t="shared" si="6"/>
        <v>0</v>
      </c>
      <c r="Y12" s="21"/>
      <c r="Z12" s="131" t="str">
        <f t="shared" si="14"/>
        <v>M</v>
      </c>
      <c r="AA12" s="138" t="str">
        <f>TEXT('Table '!AH10,"jj mmm aa")</f>
        <v>05 juin 18</v>
      </c>
      <c r="AB12" s="18"/>
      <c r="AC12" s="18"/>
      <c r="AD12" s="18">
        <f t="shared" si="15"/>
        <v>0</v>
      </c>
      <c r="AE12" s="146">
        <f t="shared" si="7"/>
        <v>0</v>
      </c>
      <c r="AF12" s="20">
        <f t="shared" si="8"/>
        <v>0</v>
      </c>
    </row>
    <row r="13" spans="2:32" s="7" customFormat="1">
      <c r="B13" s="8" t="str">
        <f t="shared" si="9"/>
        <v>M</v>
      </c>
      <c r="C13" s="164" t="str">
        <f>TEXT('Table '!AH11,"jj mmm aa")</f>
        <v>06 juin 18</v>
      </c>
      <c r="D13" s="12"/>
      <c r="E13" s="12"/>
      <c r="F13" s="25">
        <f t="shared" si="16"/>
        <v>0</v>
      </c>
      <c r="G13" s="26">
        <f t="shared" si="1"/>
        <v>0</v>
      </c>
      <c r="H13" s="27">
        <f t="shared" si="2"/>
        <v>0</v>
      </c>
      <c r="I13" s="45"/>
      <c r="J13" s="8" t="str">
        <f t="shared" si="10"/>
        <v>M</v>
      </c>
      <c r="K13" s="151" t="str">
        <f>TEXT('Table '!AH11,"jj mmm aa")</f>
        <v>06 juin 18</v>
      </c>
      <c r="L13" s="12"/>
      <c r="M13" s="12"/>
      <c r="N13" s="25">
        <f t="shared" si="11"/>
        <v>0</v>
      </c>
      <c r="O13" s="26">
        <f t="shared" si="3"/>
        <v>0</v>
      </c>
      <c r="P13" s="27">
        <f t="shared" si="4"/>
        <v>0</v>
      </c>
      <c r="R13" s="8" t="str">
        <f t="shared" si="12"/>
        <v>M</v>
      </c>
      <c r="S13" s="151" t="str">
        <f>TEXT('Table '!AH11,"jj mmm aa")</f>
        <v>06 juin 18</v>
      </c>
      <c r="T13" s="12"/>
      <c r="U13" s="12"/>
      <c r="V13" s="12">
        <f t="shared" si="13"/>
        <v>0</v>
      </c>
      <c r="W13" s="13">
        <f t="shared" si="5"/>
        <v>0</v>
      </c>
      <c r="X13" s="14">
        <f t="shared" si="6"/>
        <v>0</v>
      </c>
      <c r="Y13" s="21"/>
      <c r="Z13" s="131" t="str">
        <f t="shared" si="14"/>
        <v>M</v>
      </c>
      <c r="AA13" s="138" t="str">
        <f>TEXT('Table '!AH11,"jj mmm aa")</f>
        <v>06 juin 18</v>
      </c>
      <c r="AB13" s="18"/>
      <c r="AC13" s="18"/>
      <c r="AD13" s="18">
        <f t="shared" si="15"/>
        <v>0</v>
      </c>
      <c r="AE13" s="146">
        <f t="shared" si="7"/>
        <v>0</v>
      </c>
      <c r="AF13" s="20">
        <f t="shared" si="8"/>
        <v>0</v>
      </c>
    </row>
    <row r="14" spans="2:32" s="7" customFormat="1">
      <c r="B14" s="8" t="str">
        <f t="shared" si="9"/>
        <v>J</v>
      </c>
      <c r="C14" s="164" t="str">
        <f>TEXT('Table '!AH12,"jj mmm aa")</f>
        <v>07 juin 18</v>
      </c>
      <c r="D14" s="12"/>
      <c r="E14" s="12"/>
      <c r="F14" s="25">
        <f t="shared" si="16"/>
        <v>0</v>
      </c>
      <c r="G14" s="26">
        <f t="shared" si="1"/>
        <v>0</v>
      </c>
      <c r="H14" s="27">
        <f t="shared" si="2"/>
        <v>0</v>
      </c>
      <c r="I14" s="45"/>
      <c r="J14" s="8" t="str">
        <f t="shared" si="10"/>
        <v>J</v>
      </c>
      <c r="K14" s="151" t="str">
        <f>TEXT('Table '!AH12,"jj mmm aa")</f>
        <v>07 juin 18</v>
      </c>
      <c r="L14" s="12"/>
      <c r="M14" s="12"/>
      <c r="N14" s="25">
        <f t="shared" si="11"/>
        <v>0</v>
      </c>
      <c r="O14" s="26">
        <f t="shared" si="3"/>
        <v>0</v>
      </c>
      <c r="P14" s="27">
        <f t="shared" si="4"/>
        <v>0</v>
      </c>
      <c r="R14" s="8" t="str">
        <f t="shared" si="12"/>
        <v>J</v>
      </c>
      <c r="S14" s="151" t="str">
        <f>TEXT('Table '!AH12,"jj mmm aa")</f>
        <v>07 juin 18</v>
      </c>
      <c r="T14" s="12"/>
      <c r="U14" s="12"/>
      <c r="V14" s="12">
        <f t="shared" si="13"/>
        <v>0</v>
      </c>
      <c r="W14" s="13">
        <f t="shared" si="5"/>
        <v>0</v>
      </c>
      <c r="X14" s="14">
        <f t="shared" si="6"/>
        <v>0</v>
      </c>
      <c r="Y14" s="21"/>
      <c r="Z14" s="131" t="str">
        <f t="shared" si="14"/>
        <v>J</v>
      </c>
      <c r="AA14" s="138" t="str">
        <f>TEXT('Table '!AH12,"jj mmm aa")</f>
        <v>07 juin 18</v>
      </c>
      <c r="AB14" s="18"/>
      <c r="AC14" s="18"/>
      <c r="AD14" s="18">
        <f t="shared" si="15"/>
        <v>0</v>
      </c>
      <c r="AE14" s="146">
        <f t="shared" si="7"/>
        <v>0</v>
      </c>
      <c r="AF14" s="20">
        <f t="shared" si="8"/>
        <v>0</v>
      </c>
    </row>
    <row r="15" spans="2:32" s="7" customFormat="1">
      <c r="B15" s="8" t="str">
        <f t="shared" si="9"/>
        <v>V</v>
      </c>
      <c r="C15" s="164" t="str">
        <f>TEXT('Table '!AH13,"jj mmm aa")</f>
        <v>08 juin 18</v>
      </c>
      <c r="D15" s="12"/>
      <c r="E15" s="12"/>
      <c r="F15" s="25">
        <f t="shared" si="16"/>
        <v>0</v>
      </c>
      <c r="G15" s="26">
        <f t="shared" si="1"/>
        <v>0</v>
      </c>
      <c r="H15" s="27">
        <f t="shared" si="2"/>
        <v>0</v>
      </c>
      <c r="I15" s="45"/>
      <c r="J15" s="8" t="str">
        <f t="shared" si="10"/>
        <v>V</v>
      </c>
      <c r="K15" s="151" t="str">
        <f>TEXT('Table '!AH13,"jj mmm aa")</f>
        <v>08 juin 18</v>
      </c>
      <c r="L15" s="12"/>
      <c r="M15" s="12"/>
      <c r="N15" s="25">
        <f t="shared" si="11"/>
        <v>0</v>
      </c>
      <c r="O15" s="26">
        <f t="shared" si="3"/>
        <v>0</v>
      </c>
      <c r="P15" s="27">
        <f t="shared" si="4"/>
        <v>0</v>
      </c>
      <c r="R15" s="8" t="str">
        <f t="shared" si="12"/>
        <v>V</v>
      </c>
      <c r="S15" s="151" t="str">
        <f>TEXT('Table '!AH13,"jj mmm aa")</f>
        <v>08 juin 18</v>
      </c>
      <c r="T15" s="12"/>
      <c r="U15" s="12"/>
      <c r="V15" s="12">
        <f t="shared" si="13"/>
        <v>0</v>
      </c>
      <c r="W15" s="13">
        <f t="shared" si="5"/>
        <v>0</v>
      </c>
      <c r="X15" s="14">
        <f t="shared" si="6"/>
        <v>0</v>
      </c>
      <c r="Y15" s="21"/>
      <c r="Z15" s="131" t="str">
        <f t="shared" si="14"/>
        <v>V</v>
      </c>
      <c r="AA15" s="138" t="str">
        <f>TEXT('Table '!AH13,"jj mmm aa")</f>
        <v>08 juin 18</v>
      </c>
      <c r="AB15" s="18"/>
      <c r="AC15" s="18"/>
      <c r="AD15" s="18">
        <f t="shared" si="15"/>
        <v>0</v>
      </c>
      <c r="AE15" s="146">
        <f t="shared" si="7"/>
        <v>0</v>
      </c>
      <c r="AF15" s="20">
        <f t="shared" si="8"/>
        <v>0</v>
      </c>
    </row>
    <row r="16" spans="2:32" s="7" customFormat="1">
      <c r="B16" s="8" t="str">
        <f t="shared" si="9"/>
        <v>S</v>
      </c>
      <c r="C16" s="164" t="str">
        <f>TEXT('Table '!AH14,"jj mmm aa")</f>
        <v>09 juin 18</v>
      </c>
      <c r="D16" s="25"/>
      <c r="E16" s="25"/>
      <c r="F16" s="25">
        <f t="shared" si="16"/>
        <v>0</v>
      </c>
      <c r="G16" s="26">
        <f t="shared" si="1"/>
        <v>0</v>
      </c>
      <c r="H16" s="27">
        <f t="shared" si="2"/>
        <v>0</v>
      </c>
      <c r="I16" s="45"/>
      <c r="J16" s="8" t="str">
        <f t="shared" si="10"/>
        <v>S</v>
      </c>
      <c r="K16" s="151" t="str">
        <f>TEXT('Table '!AH14,"jj mmm aa")</f>
        <v>09 juin 18</v>
      </c>
      <c r="L16" s="25"/>
      <c r="M16" s="25"/>
      <c r="N16" s="25">
        <f t="shared" si="11"/>
        <v>0</v>
      </c>
      <c r="O16" s="26">
        <f t="shared" si="3"/>
        <v>0</v>
      </c>
      <c r="P16" s="27">
        <f t="shared" si="4"/>
        <v>0</v>
      </c>
      <c r="R16" s="8" t="str">
        <f t="shared" si="12"/>
        <v>S</v>
      </c>
      <c r="S16" s="151" t="str">
        <f>TEXT('Table '!AH14,"jj mmm aa")</f>
        <v>09 juin 18</v>
      </c>
      <c r="T16" s="12"/>
      <c r="U16" s="12"/>
      <c r="V16" s="12">
        <f t="shared" si="13"/>
        <v>0</v>
      </c>
      <c r="W16" s="13">
        <f t="shared" si="5"/>
        <v>0</v>
      </c>
      <c r="X16" s="14">
        <f t="shared" si="6"/>
        <v>0</v>
      </c>
      <c r="Y16" s="21"/>
      <c r="Z16" s="131" t="str">
        <f t="shared" si="14"/>
        <v>S</v>
      </c>
      <c r="AA16" s="138" t="str">
        <f>TEXT('Table '!AH14,"jj mmm aa")</f>
        <v>09 juin 18</v>
      </c>
      <c r="AB16" s="18"/>
      <c r="AC16" s="18"/>
      <c r="AD16" s="18">
        <f t="shared" si="15"/>
        <v>0</v>
      </c>
      <c r="AE16" s="146">
        <f t="shared" si="7"/>
        <v>0</v>
      </c>
      <c r="AF16" s="20">
        <f t="shared" si="8"/>
        <v>0</v>
      </c>
    </row>
    <row r="17" spans="2:32" s="7" customFormat="1">
      <c r="B17" s="8" t="str">
        <f t="shared" si="9"/>
        <v>D</v>
      </c>
      <c r="C17" s="164" t="str">
        <f>TEXT('Table '!AH15,"jj mmm aa")</f>
        <v>10 juin 18</v>
      </c>
      <c r="D17" s="25"/>
      <c r="E17" s="25"/>
      <c r="F17" s="25">
        <f t="shared" si="16"/>
        <v>0</v>
      </c>
      <c r="G17" s="26">
        <f t="shared" si="1"/>
        <v>0</v>
      </c>
      <c r="H17" s="27">
        <f t="shared" si="2"/>
        <v>0</v>
      </c>
      <c r="I17" s="45"/>
      <c r="J17" s="8" t="str">
        <f t="shared" si="10"/>
        <v>D</v>
      </c>
      <c r="K17" s="151" t="str">
        <f>TEXT('Table '!AH15,"jj mmm aa")</f>
        <v>10 juin 18</v>
      </c>
      <c r="L17" s="25"/>
      <c r="M17" s="25"/>
      <c r="N17" s="25">
        <f>M17-L17</f>
        <v>0</v>
      </c>
      <c r="O17" s="26">
        <f t="shared" si="3"/>
        <v>0</v>
      </c>
      <c r="P17" s="27">
        <f t="shared" si="4"/>
        <v>0</v>
      </c>
      <c r="R17" s="8" t="str">
        <f t="shared" si="12"/>
        <v>D</v>
      </c>
      <c r="S17" s="151" t="str">
        <f>TEXT('Table '!AH15,"jj mmm aa")</f>
        <v>10 juin 18</v>
      </c>
      <c r="T17" s="44"/>
      <c r="U17" s="12"/>
      <c r="V17" s="12">
        <f t="shared" si="13"/>
        <v>0</v>
      </c>
      <c r="W17" s="13">
        <f t="shared" si="5"/>
        <v>0</v>
      </c>
      <c r="X17" s="14">
        <f t="shared" si="6"/>
        <v>0</v>
      </c>
      <c r="Y17" s="21"/>
      <c r="Z17" s="131" t="str">
        <f t="shared" si="14"/>
        <v>D</v>
      </c>
      <c r="AA17" s="138" t="str">
        <f>TEXT('Table '!AH15,"jj mmm aa")</f>
        <v>10 juin 18</v>
      </c>
      <c r="AB17" s="18"/>
      <c r="AC17" s="18"/>
      <c r="AD17" s="18">
        <f t="shared" si="15"/>
        <v>0</v>
      </c>
      <c r="AE17" s="146">
        <f t="shared" si="7"/>
        <v>0</v>
      </c>
      <c r="AF17" s="20">
        <f t="shared" si="8"/>
        <v>0</v>
      </c>
    </row>
    <row r="18" spans="2:32" s="7" customFormat="1">
      <c r="B18" s="8" t="str">
        <f t="shared" si="9"/>
        <v>L</v>
      </c>
      <c r="C18" s="164" t="str">
        <f>TEXT('Table '!AH16,"jj mmm aa")</f>
        <v>11 juin 18</v>
      </c>
      <c r="D18" s="25"/>
      <c r="E18" s="25"/>
      <c r="F18" s="25">
        <f t="shared" si="16"/>
        <v>0</v>
      </c>
      <c r="G18" s="26">
        <f t="shared" si="1"/>
        <v>0</v>
      </c>
      <c r="H18" s="27">
        <f t="shared" si="2"/>
        <v>0</v>
      </c>
      <c r="I18" s="45"/>
      <c r="J18" s="8" t="str">
        <f t="shared" si="10"/>
        <v>L</v>
      </c>
      <c r="K18" s="151" t="str">
        <f>TEXT('Table '!AH16,"jj mmm aa")</f>
        <v>11 juin 18</v>
      </c>
      <c r="L18" s="25"/>
      <c r="M18" s="25"/>
      <c r="N18" s="25">
        <f>M18-L18</f>
        <v>0</v>
      </c>
      <c r="O18" s="26">
        <f t="shared" si="3"/>
        <v>0</v>
      </c>
      <c r="P18" s="27">
        <f t="shared" si="4"/>
        <v>0</v>
      </c>
      <c r="R18" s="8" t="str">
        <f t="shared" si="12"/>
        <v>L</v>
      </c>
      <c r="S18" s="151" t="str">
        <f>TEXT('Table '!AH16,"jj mmm aa")</f>
        <v>11 juin 18</v>
      </c>
      <c r="T18" s="12"/>
      <c r="U18" s="12"/>
      <c r="V18" s="12">
        <f t="shared" si="13"/>
        <v>0</v>
      </c>
      <c r="W18" s="13">
        <f t="shared" si="5"/>
        <v>0</v>
      </c>
      <c r="X18" s="14">
        <f t="shared" si="6"/>
        <v>0</v>
      </c>
      <c r="Y18" s="21"/>
      <c r="Z18" s="131" t="str">
        <f t="shared" si="14"/>
        <v>L</v>
      </c>
      <c r="AA18" s="138" t="str">
        <f>TEXT('Table '!AH16,"jj mmm aa")</f>
        <v>11 juin 18</v>
      </c>
      <c r="AB18" s="18"/>
      <c r="AC18" s="18"/>
      <c r="AD18" s="18">
        <f t="shared" si="15"/>
        <v>0</v>
      </c>
      <c r="AE18" s="146">
        <f t="shared" si="7"/>
        <v>0</v>
      </c>
      <c r="AF18" s="20">
        <f t="shared" si="8"/>
        <v>0</v>
      </c>
    </row>
    <row r="19" spans="2:32" s="7" customFormat="1">
      <c r="B19" s="8" t="str">
        <f t="shared" si="9"/>
        <v>M</v>
      </c>
      <c r="C19" s="164" t="str">
        <f>TEXT('Table '!AH17,"jj mmm aa")</f>
        <v>12 juin 18</v>
      </c>
      <c r="D19" s="25"/>
      <c r="E19" s="25"/>
      <c r="F19" s="25">
        <f t="shared" si="16"/>
        <v>0</v>
      </c>
      <c r="G19" s="26">
        <f t="shared" si="1"/>
        <v>0</v>
      </c>
      <c r="H19" s="27">
        <f t="shared" si="2"/>
        <v>0</v>
      </c>
      <c r="I19" s="45"/>
      <c r="J19" s="8" t="str">
        <f t="shared" si="10"/>
        <v>M</v>
      </c>
      <c r="K19" s="151" t="str">
        <f>TEXT('Table '!AH17,"jj mmm aa")</f>
        <v>12 juin 18</v>
      </c>
      <c r="L19" s="25"/>
      <c r="M19" s="25"/>
      <c r="N19" s="25">
        <f t="shared" si="11"/>
        <v>0</v>
      </c>
      <c r="O19" s="26">
        <f t="shared" si="3"/>
        <v>0</v>
      </c>
      <c r="P19" s="27">
        <f t="shared" si="4"/>
        <v>0</v>
      </c>
      <c r="R19" s="8" t="str">
        <f t="shared" si="12"/>
        <v>M</v>
      </c>
      <c r="S19" s="151" t="str">
        <f>TEXT('Table '!AH17,"jj mmm aa")</f>
        <v>12 juin 18</v>
      </c>
      <c r="T19" s="12"/>
      <c r="U19" s="12"/>
      <c r="V19" s="12">
        <f t="shared" si="13"/>
        <v>0</v>
      </c>
      <c r="W19" s="13">
        <f t="shared" si="5"/>
        <v>0</v>
      </c>
      <c r="X19" s="14">
        <f t="shared" si="6"/>
        <v>0</v>
      </c>
      <c r="Y19" s="21"/>
      <c r="Z19" s="131" t="str">
        <f t="shared" si="14"/>
        <v>M</v>
      </c>
      <c r="AA19" s="138" t="str">
        <f>TEXT('Table '!AH17,"jj mmm aa")</f>
        <v>12 juin 18</v>
      </c>
      <c r="AB19" s="18"/>
      <c r="AC19" s="18"/>
      <c r="AD19" s="18">
        <f t="shared" si="15"/>
        <v>0</v>
      </c>
      <c r="AE19" s="146">
        <f t="shared" si="7"/>
        <v>0</v>
      </c>
      <c r="AF19" s="20">
        <f t="shared" si="8"/>
        <v>0</v>
      </c>
    </row>
    <row r="20" spans="2:32" s="7" customFormat="1">
      <c r="B20" s="8" t="str">
        <f t="shared" si="9"/>
        <v>M</v>
      </c>
      <c r="C20" s="164" t="str">
        <f>TEXT('Table '!AH18,"jj mmm aa")</f>
        <v>13 juin 18</v>
      </c>
      <c r="D20" s="25"/>
      <c r="E20" s="25"/>
      <c r="F20" s="25">
        <f t="shared" si="16"/>
        <v>0</v>
      </c>
      <c r="G20" s="26">
        <f t="shared" si="1"/>
        <v>0</v>
      </c>
      <c r="H20" s="27">
        <f t="shared" si="2"/>
        <v>0</v>
      </c>
      <c r="I20" s="45"/>
      <c r="J20" s="8" t="str">
        <f t="shared" si="10"/>
        <v>M</v>
      </c>
      <c r="K20" s="151" t="str">
        <f>TEXT('Table '!AH18,"jj mmm aa")</f>
        <v>13 juin 18</v>
      </c>
      <c r="L20" s="25"/>
      <c r="M20" s="25"/>
      <c r="N20" s="25">
        <f t="shared" si="11"/>
        <v>0</v>
      </c>
      <c r="O20" s="26">
        <f t="shared" si="3"/>
        <v>0</v>
      </c>
      <c r="P20" s="27">
        <f t="shared" si="4"/>
        <v>0</v>
      </c>
      <c r="R20" s="8" t="str">
        <f t="shared" si="12"/>
        <v>M</v>
      </c>
      <c r="S20" s="151" t="str">
        <f>TEXT('Table '!AH18,"jj mmm aa")</f>
        <v>13 juin 18</v>
      </c>
      <c r="T20" s="12"/>
      <c r="U20" s="12"/>
      <c r="V20" s="12">
        <f t="shared" si="13"/>
        <v>0</v>
      </c>
      <c r="W20" s="13">
        <f t="shared" si="5"/>
        <v>0</v>
      </c>
      <c r="X20" s="14">
        <f t="shared" si="6"/>
        <v>0</v>
      </c>
      <c r="Y20" s="21"/>
      <c r="Z20" s="131" t="str">
        <f t="shared" si="14"/>
        <v>M</v>
      </c>
      <c r="AA20" s="138" t="str">
        <f>TEXT('Table '!AH18,"jj mmm aa")</f>
        <v>13 juin 18</v>
      </c>
      <c r="AB20" s="18"/>
      <c r="AC20" s="18"/>
      <c r="AD20" s="18">
        <f t="shared" si="15"/>
        <v>0</v>
      </c>
      <c r="AE20" s="146">
        <f t="shared" si="7"/>
        <v>0</v>
      </c>
      <c r="AF20" s="20">
        <f t="shared" si="8"/>
        <v>0</v>
      </c>
    </row>
    <row r="21" spans="2:32" s="7" customFormat="1">
      <c r="B21" s="8" t="str">
        <f t="shared" si="9"/>
        <v>J</v>
      </c>
      <c r="C21" s="164" t="str">
        <f>TEXT('Table '!AH19,"jj mmm aa")</f>
        <v>14 juin 18</v>
      </c>
      <c r="D21" s="25"/>
      <c r="E21" s="25"/>
      <c r="F21" s="25">
        <f t="shared" si="16"/>
        <v>0</v>
      </c>
      <c r="G21" s="26">
        <f t="shared" si="1"/>
        <v>0</v>
      </c>
      <c r="H21" s="27">
        <f t="shared" si="2"/>
        <v>0</v>
      </c>
      <c r="I21" s="45"/>
      <c r="J21" s="8" t="str">
        <f t="shared" si="10"/>
        <v>J</v>
      </c>
      <c r="K21" s="151" t="str">
        <f>TEXT('Table '!AH19,"jj mmm aa")</f>
        <v>14 juin 18</v>
      </c>
      <c r="L21" s="25"/>
      <c r="M21" s="25"/>
      <c r="N21" s="25">
        <f t="shared" si="11"/>
        <v>0</v>
      </c>
      <c r="O21" s="26">
        <f t="shared" si="3"/>
        <v>0</v>
      </c>
      <c r="P21" s="27">
        <f t="shared" si="4"/>
        <v>0</v>
      </c>
      <c r="R21" s="8" t="str">
        <f t="shared" si="12"/>
        <v>J</v>
      </c>
      <c r="S21" s="151" t="str">
        <f>TEXT('Table '!AH19,"jj mmm aa")</f>
        <v>14 juin 18</v>
      </c>
      <c r="T21" s="12"/>
      <c r="U21" s="12"/>
      <c r="V21" s="12">
        <f t="shared" si="13"/>
        <v>0</v>
      </c>
      <c r="W21" s="13">
        <f t="shared" si="5"/>
        <v>0</v>
      </c>
      <c r="X21" s="14">
        <f t="shared" si="6"/>
        <v>0</v>
      </c>
      <c r="Y21" s="21"/>
      <c r="Z21" s="131" t="str">
        <f t="shared" si="14"/>
        <v>J</v>
      </c>
      <c r="AA21" s="138" t="str">
        <f>TEXT('Table '!AH19,"jj mmm aa")</f>
        <v>14 juin 18</v>
      </c>
      <c r="AB21" s="18"/>
      <c r="AC21" s="18"/>
      <c r="AD21" s="18">
        <f t="shared" si="15"/>
        <v>0</v>
      </c>
      <c r="AE21" s="146">
        <f t="shared" si="7"/>
        <v>0</v>
      </c>
      <c r="AF21" s="20">
        <f t="shared" si="8"/>
        <v>0</v>
      </c>
    </row>
    <row r="22" spans="2:32" s="7" customFormat="1">
      <c r="B22" s="8" t="str">
        <f t="shared" si="9"/>
        <v>V</v>
      </c>
      <c r="C22" s="164" t="str">
        <f>TEXT('Table '!AH20,"jj mmm aa")</f>
        <v>15 juin 18</v>
      </c>
      <c r="D22" s="25"/>
      <c r="E22" s="25"/>
      <c r="F22" s="25">
        <f t="shared" si="16"/>
        <v>0</v>
      </c>
      <c r="G22" s="26">
        <f t="shared" si="1"/>
        <v>0</v>
      </c>
      <c r="H22" s="27">
        <f t="shared" si="2"/>
        <v>0</v>
      </c>
      <c r="I22" s="45"/>
      <c r="J22" s="8" t="str">
        <f t="shared" si="10"/>
        <v>V</v>
      </c>
      <c r="K22" s="151" t="str">
        <f>TEXT('Table '!AH20,"jj mmm aa")</f>
        <v>15 juin 18</v>
      </c>
      <c r="L22" s="25"/>
      <c r="M22" s="25"/>
      <c r="N22" s="25">
        <f t="shared" si="11"/>
        <v>0</v>
      </c>
      <c r="O22" s="26">
        <f t="shared" si="3"/>
        <v>0</v>
      </c>
      <c r="P22" s="27">
        <f t="shared" si="4"/>
        <v>0</v>
      </c>
      <c r="R22" s="8" t="str">
        <f t="shared" si="12"/>
        <v>V</v>
      </c>
      <c r="S22" s="151" t="str">
        <f>TEXT('Table '!AH20,"jj mmm aa")</f>
        <v>15 juin 18</v>
      </c>
      <c r="T22" s="12"/>
      <c r="U22" s="12"/>
      <c r="V22" s="12">
        <f t="shared" si="13"/>
        <v>0</v>
      </c>
      <c r="W22" s="13">
        <f t="shared" si="5"/>
        <v>0</v>
      </c>
      <c r="X22" s="14">
        <f t="shared" si="6"/>
        <v>0</v>
      </c>
      <c r="Y22" s="21"/>
      <c r="Z22" s="131" t="str">
        <f t="shared" si="14"/>
        <v>V</v>
      </c>
      <c r="AA22" s="138" t="str">
        <f>TEXT('Table '!AH20,"jj mmm aa")</f>
        <v>15 juin 18</v>
      </c>
      <c r="AB22" s="18"/>
      <c r="AC22" s="18"/>
      <c r="AD22" s="18">
        <f t="shared" si="15"/>
        <v>0</v>
      </c>
      <c r="AE22" s="146">
        <f t="shared" si="7"/>
        <v>0</v>
      </c>
      <c r="AF22" s="20">
        <f t="shared" si="8"/>
        <v>0</v>
      </c>
    </row>
    <row r="23" spans="2:32" s="7" customFormat="1">
      <c r="B23" s="8" t="str">
        <f t="shared" si="9"/>
        <v>S</v>
      </c>
      <c r="C23" s="164" t="str">
        <f>TEXT('Table '!AH21,"jj mmm aa")</f>
        <v>16 juin 18</v>
      </c>
      <c r="D23" s="25"/>
      <c r="E23" s="25"/>
      <c r="F23" s="25">
        <f t="shared" si="16"/>
        <v>0</v>
      </c>
      <c r="G23" s="26">
        <f t="shared" si="1"/>
        <v>0</v>
      </c>
      <c r="H23" s="27">
        <f t="shared" si="2"/>
        <v>0</v>
      </c>
      <c r="I23" s="45"/>
      <c r="J23" s="8" t="str">
        <f t="shared" si="10"/>
        <v>S</v>
      </c>
      <c r="K23" s="151" t="str">
        <f>TEXT('Table '!AH21,"jj mmm aa")</f>
        <v>16 juin 18</v>
      </c>
      <c r="L23" s="25"/>
      <c r="M23" s="25"/>
      <c r="N23" s="25">
        <f t="shared" si="11"/>
        <v>0</v>
      </c>
      <c r="O23" s="26">
        <f t="shared" si="3"/>
        <v>0</v>
      </c>
      <c r="P23" s="27">
        <f t="shared" si="4"/>
        <v>0</v>
      </c>
      <c r="R23" s="8" t="str">
        <f t="shared" si="12"/>
        <v>S</v>
      </c>
      <c r="S23" s="151" t="str">
        <f>TEXT('Table '!AH21,"jj mmm aa")</f>
        <v>16 juin 18</v>
      </c>
      <c r="T23" s="12"/>
      <c r="U23" s="12"/>
      <c r="V23" s="12">
        <f t="shared" si="13"/>
        <v>0</v>
      </c>
      <c r="W23" s="13">
        <f t="shared" si="5"/>
        <v>0</v>
      </c>
      <c r="X23" s="14">
        <f t="shared" si="6"/>
        <v>0</v>
      </c>
      <c r="Y23" s="21"/>
      <c r="Z23" s="131" t="str">
        <f t="shared" si="14"/>
        <v>S</v>
      </c>
      <c r="AA23" s="138" t="str">
        <f>TEXT('Table '!AH21,"jj mmm aa")</f>
        <v>16 juin 18</v>
      </c>
      <c r="AB23" s="18"/>
      <c r="AC23" s="18"/>
      <c r="AD23" s="18">
        <f t="shared" si="15"/>
        <v>0</v>
      </c>
      <c r="AE23" s="146">
        <f t="shared" si="7"/>
        <v>0</v>
      </c>
      <c r="AF23" s="20">
        <f t="shared" si="8"/>
        <v>0</v>
      </c>
    </row>
    <row r="24" spans="2:32" s="7" customFormat="1">
      <c r="B24" s="8" t="str">
        <f t="shared" si="9"/>
        <v>D</v>
      </c>
      <c r="C24" s="164" t="str">
        <f>TEXT('Table '!AH22,"jj mmm aa")</f>
        <v>17 juin 18</v>
      </c>
      <c r="D24" s="25"/>
      <c r="E24" s="25"/>
      <c r="F24" s="25">
        <f t="shared" si="16"/>
        <v>0</v>
      </c>
      <c r="G24" s="26">
        <f t="shared" si="1"/>
        <v>0</v>
      </c>
      <c r="H24" s="27">
        <f t="shared" si="2"/>
        <v>0</v>
      </c>
      <c r="I24" s="45"/>
      <c r="J24" s="8" t="str">
        <f t="shared" si="10"/>
        <v>D</v>
      </c>
      <c r="K24" s="151" t="str">
        <f>TEXT('Table '!AH22,"jj mmm aa")</f>
        <v>17 juin 18</v>
      </c>
      <c r="L24" s="25"/>
      <c r="M24" s="25"/>
      <c r="N24" s="25">
        <f t="shared" si="11"/>
        <v>0</v>
      </c>
      <c r="O24" s="26">
        <f t="shared" si="3"/>
        <v>0</v>
      </c>
      <c r="P24" s="27">
        <f t="shared" si="4"/>
        <v>0</v>
      </c>
      <c r="R24" s="8" t="str">
        <f t="shared" si="12"/>
        <v>D</v>
      </c>
      <c r="S24" s="151" t="str">
        <f>TEXT('Table '!AH22,"jj mmm aa")</f>
        <v>17 juin 18</v>
      </c>
      <c r="T24" s="12"/>
      <c r="U24" s="12"/>
      <c r="V24" s="12">
        <f t="shared" si="13"/>
        <v>0</v>
      </c>
      <c r="W24" s="13">
        <f t="shared" si="5"/>
        <v>0</v>
      </c>
      <c r="X24" s="14">
        <f t="shared" si="6"/>
        <v>0</v>
      </c>
      <c r="Y24" s="21"/>
      <c r="Z24" s="131" t="str">
        <f t="shared" si="14"/>
        <v>D</v>
      </c>
      <c r="AA24" s="138" t="str">
        <f>TEXT('Table '!AH22,"jj mmm aa")</f>
        <v>17 juin 18</v>
      </c>
      <c r="AB24" s="18"/>
      <c r="AC24" s="18"/>
      <c r="AD24" s="18">
        <f t="shared" si="15"/>
        <v>0</v>
      </c>
      <c r="AE24" s="146">
        <f t="shared" si="7"/>
        <v>0</v>
      </c>
      <c r="AF24" s="20">
        <f t="shared" si="8"/>
        <v>0</v>
      </c>
    </row>
    <row r="25" spans="2:32" s="7" customFormat="1">
      <c r="B25" s="8" t="str">
        <f t="shared" si="9"/>
        <v>L</v>
      </c>
      <c r="C25" s="164" t="str">
        <f>TEXT('Table '!AH23,"jj mmm aa")</f>
        <v>18 juin 18</v>
      </c>
      <c r="D25" s="12"/>
      <c r="E25" s="12"/>
      <c r="F25" s="25">
        <f t="shared" si="16"/>
        <v>0</v>
      </c>
      <c r="G25" s="26">
        <f t="shared" si="1"/>
        <v>0</v>
      </c>
      <c r="H25" s="27">
        <f t="shared" si="2"/>
        <v>0</v>
      </c>
      <c r="I25" s="45"/>
      <c r="J25" s="8" t="str">
        <f t="shared" si="10"/>
        <v>L</v>
      </c>
      <c r="K25" s="151" t="str">
        <f>TEXT('Table '!AH23,"jj mmm aa")</f>
        <v>18 juin 18</v>
      </c>
      <c r="L25" s="25"/>
      <c r="M25" s="25"/>
      <c r="N25" s="25">
        <f t="shared" si="11"/>
        <v>0</v>
      </c>
      <c r="O25" s="26">
        <f t="shared" si="3"/>
        <v>0</v>
      </c>
      <c r="P25" s="27">
        <f t="shared" si="4"/>
        <v>0</v>
      </c>
      <c r="R25" s="8" t="str">
        <f t="shared" si="12"/>
        <v>L</v>
      </c>
      <c r="S25" s="151" t="str">
        <f>TEXT('Table '!AH23,"jj mmm aa")</f>
        <v>18 juin 18</v>
      </c>
      <c r="T25" s="12"/>
      <c r="U25" s="12"/>
      <c r="V25" s="12">
        <f t="shared" si="13"/>
        <v>0</v>
      </c>
      <c r="W25" s="13">
        <f t="shared" si="5"/>
        <v>0</v>
      </c>
      <c r="X25" s="14">
        <f t="shared" si="6"/>
        <v>0</v>
      </c>
      <c r="Y25" s="21"/>
      <c r="Z25" s="131" t="str">
        <f t="shared" si="14"/>
        <v>L</v>
      </c>
      <c r="AA25" s="138" t="str">
        <f>TEXT('Table '!AH23,"jj mmm aa")</f>
        <v>18 juin 18</v>
      </c>
      <c r="AB25" s="18"/>
      <c r="AC25" s="18"/>
      <c r="AD25" s="18">
        <f t="shared" si="15"/>
        <v>0</v>
      </c>
      <c r="AE25" s="146">
        <f t="shared" si="7"/>
        <v>0</v>
      </c>
      <c r="AF25" s="20">
        <f t="shared" si="8"/>
        <v>0</v>
      </c>
    </row>
    <row r="26" spans="2:32" s="7" customFormat="1">
      <c r="B26" s="8" t="str">
        <f t="shared" si="9"/>
        <v>M</v>
      </c>
      <c r="C26" s="164" t="str">
        <f>TEXT('Table '!AH24,"jj mmm aa")</f>
        <v>19 juin 18</v>
      </c>
      <c r="D26" s="12"/>
      <c r="E26" s="12"/>
      <c r="F26" s="25">
        <f t="shared" si="16"/>
        <v>0</v>
      </c>
      <c r="G26" s="26">
        <f t="shared" si="1"/>
        <v>0</v>
      </c>
      <c r="H26" s="27">
        <f t="shared" si="2"/>
        <v>0</v>
      </c>
      <c r="I26" s="45"/>
      <c r="J26" s="8" t="str">
        <f t="shared" si="10"/>
        <v>M</v>
      </c>
      <c r="K26" s="151" t="str">
        <f>TEXT('Table '!AH24,"jj mmm aa")</f>
        <v>19 juin 18</v>
      </c>
      <c r="L26" s="25"/>
      <c r="M26" s="25"/>
      <c r="N26" s="25">
        <f t="shared" si="11"/>
        <v>0</v>
      </c>
      <c r="O26" s="26">
        <f t="shared" si="3"/>
        <v>0</v>
      </c>
      <c r="P26" s="27">
        <f t="shared" si="4"/>
        <v>0</v>
      </c>
      <c r="R26" s="8" t="str">
        <f t="shared" si="12"/>
        <v>M</v>
      </c>
      <c r="S26" s="151" t="str">
        <f>TEXT('Table '!AH24,"jj mmm aa")</f>
        <v>19 juin 18</v>
      </c>
      <c r="T26" s="12"/>
      <c r="U26" s="12"/>
      <c r="V26" s="12">
        <f t="shared" si="13"/>
        <v>0</v>
      </c>
      <c r="W26" s="13">
        <f t="shared" si="5"/>
        <v>0</v>
      </c>
      <c r="X26" s="14">
        <f t="shared" si="6"/>
        <v>0</v>
      </c>
      <c r="Y26" s="21"/>
      <c r="Z26" s="131" t="str">
        <f t="shared" si="14"/>
        <v>M</v>
      </c>
      <c r="AA26" s="138" t="str">
        <f>TEXT('Table '!AH24,"jj mmm aa")</f>
        <v>19 juin 18</v>
      </c>
      <c r="AB26" s="18"/>
      <c r="AC26" s="18"/>
      <c r="AD26" s="18">
        <f t="shared" si="15"/>
        <v>0</v>
      </c>
      <c r="AE26" s="146">
        <f t="shared" si="7"/>
        <v>0</v>
      </c>
      <c r="AF26" s="20">
        <f t="shared" si="8"/>
        <v>0</v>
      </c>
    </row>
    <row r="27" spans="2:32" s="7" customFormat="1">
      <c r="B27" s="8" t="str">
        <f t="shared" si="9"/>
        <v>M</v>
      </c>
      <c r="C27" s="164" t="str">
        <f>TEXT('Table '!AH25,"jj mmm aa")</f>
        <v>20 juin 18</v>
      </c>
      <c r="D27" s="12"/>
      <c r="E27" s="12"/>
      <c r="F27" s="25">
        <f t="shared" si="16"/>
        <v>0</v>
      </c>
      <c r="G27" s="26">
        <f t="shared" si="1"/>
        <v>0</v>
      </c>
      <c r="H27" s="27">
        <f t="shared" si="2"/>
        <v>0</v>
      </c>
      <c r="I27" s="45"/>
      <c r="J27" s="8" t="str">
        <f t="shared" si="10"/>
        <v>M</v>
      </c>
      <c r="K27" s="151" t="str">
        <f>TEXT('Table '!AH25,"jj mmm aa")</f>
        <v>20 juin 18</v>
      </c>
      <c r="L27" s="25"/>
      <c r="M27" s="25"/>
      <c r="N27" s="25">
        <f t="shared" si="11"/>
        <v>0</v>
      </c>
      <c r="O27" s="26">
        <f t="shared" si="3"/>
        <v>0</v>
      </c>
      <c r="P27" s="27">
        <f t="shared" si="4"/>
        <v>0</v>
      </c>
      <c r="R27" s="8" t="str">
        <f t="shared" si="12"/>
        <v>M</v>
      </c>
      <c r="S27" s="151" t="str">
        <f>TEXT('Table '!AH25,"jj mmm aa")</f>
        <v>20 juin 18</v>
      </c>
      <c r="T27" s="12"/>
      <c r="U27" s="12"/>
      <c r="V27" s="12">
        <f t="shared" si="13"/>
        <v>0</v>
      </c>
      <c r="W27" s="13">
        <f t="shared" si="5"/>
        <v>0</v>
      </c>
      <c r="X27" s="14">
        <f t="shared" si="6"/>
        <v>0</v>
      </c>
      <c r="Y27" s="21"/>
      <c r="Z27" s="131" t="str">
        <f t="shared" si="14"/>
        <v>M</v>
      </c>
      <c r="AA27" s="138" t="str">
        <f>TEXT('Table '!AH25,"jj mmm aa")</f>
        <v>20 juin 18</v>
      </c>
      <c r="AB27" s="18"/>
      <c r="AC27" s="18"/>
      <c r="AD27" s="18">
        <f t="shared" si="15"/>
        <v>0</v>
      </c>
      <c r="AE27" s="146">
        <f t="shared" si="7"/>
        <v>0</v>
      </c>
      <c r="AF27" s="20">
        <f t="shared" si="8"/>
        <v>0</v>
      </c>
    </row>
    <row r="28" spans="2:32" s="7" customFormat="1">
      <c r="B28" s="8" t="str">
        <f t="shared" si="9"/>
        <v>J</v>
      </c>
      <c r="C28" s="164" t="str">
        <f>TEXT('Table '!AH26,"jj mmm aa")</f>
        <v>21 juin 18</v>
      </c>
      <c r="D28" s="12"/>
      <c r="E28" s="12"/>
      <c r="F28" s="25">
        <f t="shared" si="16"/>
        <v>0</v>
      </c>
      <c r="G28" s="26">
        <f t="shared" si="1"/>
        <v>0</v>
      </c>
      <c r="H28" s="27">
        <f t="shared" si="2"/>
        <v>0</v>
      </c>
      <c r="I28" s="45"/>
      <c r="J28" s="8" t="str">
        <f t="shared" si="10"/>
        <v>J</v>
      </c>
      <c r="K28" s="151" t="str">
        <f>TEXT('Table '!AH26,"jj mmm aa")</f>
        <v>21 juin 18</v>
      </c>
      <c r="L28" s="25"/>
      <c r="M28" s="25"/>
      <c r="N28" s="25">
        <f t="shared" si="11"/>
        <v>0</v>
      </c>
      <c r="O28" s="26">
        <f t="shared" si="3"/>
        <v>0</v>
      </c>
      <c r="P28" s="27">
        <f t="shared" si="4"/>
        <v>0</v>
      </c>
      <c r="R28" s="8" t="str">
        <f t="shared" si="12"/>
        <v>J</v>
      </c>
      <c r="S28" s="151" t="str">
        <f>TEXT('Table '!AH26,"jj mmm aa")</f>
        <v>21 juin 18</v>
      </c>
      <c r="T28" s="12"/>
      <c r="U28" s="12"/>
      <c r="V28" s="12">
        <f t="shared" si="13"/>
        <v>0</v>
      </c>
      <c r="W28" s="13">
        <f t="shared" si="5"/>
        <v>0</v>
      </c>
      <c r="X28" s="14">
        <f t="shared" si="6"/>
        <v>0</v>
      </c>
      <c r="Y28" s="21"/>
      <c r="Z28" s="131" t="str">
        <f t="shared" si="14"/>
        <v>J</v>
      </c>
      <c r="AA28" s="138" t="str">
        <f>TEXT('Table '!AH26,"jj mmm aa")</f>
        <v>21 juin 18</v>
      </c>
      <c r="AB28" s="18"/>
      <c r="AC28" s="18"/>
      <c r="AD28" s="18">
        <f t="shared" si="15"/>
        <v>0</v>
      </c>
      <c r="AE28" s="146">
        <f t="shared" si="7"/>
        <v>0</v>
      </c>
      <c r="AF28" s="20">
        <f t="shared" si="8"/>
        <v>0</v>
      </c>
    </row>
    <row r="29" spans="2:32" s="7" customFormat="1">
      <c r="B29" s="8" t="str">
        <f t="shared" si="9"/>
        <v>V</v>
      </c>
      <c r="C29" s="164" t="str">
        <f>TEXT('Table '!AH27,"jj mmm aa")</f>
        <v>22 juin 18</v>
      </c>
      <c r="D29" s="12"/>
      <c r="E29" s="12"/>
      <c r="F29" s="25">
        <f t="shared" si="16"/>
        <v>0</v>
      </c>
      <c r="G29" s="26">
        <f t="shared" si="1"/>
        <v>0</v>
      </c>
      <c r="H29" s="27">
        <f t="shared" si="2"/>
        <v>0</v>
      </c>
      <c r="I29" s="45"/>
      <c r="J29" s="8" t="str">
        <f t="shared" si="10"/>
        <v>V</v>
      </c>
      <c r="K29" s="151" t="str">
        <f>TEXT('Table '!AH27,"jj mmm aa")</f>
        <v>22 juin 18</v>
      </c>
      <c r="L29" s="25"/>
      <c r="M29" s="25"/>
      <c r="N29" s="25">
        <f t="shared" si="11"/>
        <v>0</v>
      </c>
      <c r="O29" s="26">
        <f t="shared" si="3"/>
        <v>0</v>
      </c>
      <c r="P29" s="27">
        <f t="shared" si="4"/>
        <v>0</v>
      </c>
      <c r="R29" s="8" t="str">
        <f t="shared" si="12"/>
        <v>V</v>
      </c>
      <c r="S29" s="151" t="str">
        <f>TEXT('Table '!AH27,"jj mmm aa")</f>
        <v>22 juin 18</v>
      </c>
      <c r="T29" s="12"/>
      <c r="U29" s="12"/>
      <c r="V29" s="12">
        <f t="shared" si="13"/>
        <v>0</v>
      </c>
      <c r="W29" s="13">
        <f t="shared" si="5"/>
        <v>0</v>
      </c>
      <c r="X29" s="14">
        <f t="shared" si="6"/>
        <v>0</v>
      </c>
      <c r="Y29" s="21"/>
      <c r="Z29" s="131" t="str">
        <f t="shared" si="14"/>
        <v>V</v>
      </c>
      <c r="AA29" s="138" t="str">
        <f>TEXT('Table '!AH27,"jj mmm aa")</f>
        <v>22 juin 18</v>
      </c>
      <c r="AB29" s="18"/>
      <c r="AC29" s="18"/>
      <c r="AD29" s="18">
        <f t="shared" si="15"/>
        <v>0</v>
      </c>
      <c r="AE29" s="146">
        <f t="shared" si="7"/>
        <v>0</v>
      </c>
      <c r="AF29" s="20">
        <f t="shared" si="8"/>
        <v>0</v>
      </c>
    </row>
    <row r="30" spans="2:32" s="7" customFormat="1">
      <c r="B30" s="8" t="str">
        <f t="shared" si="9"/>
        <v>S</v>
      </c>
      <c r="C30" s="164" t="str">
        <f>TEXT('Table '!AH28,"jj mmm aa")</f>
        <v>23 juin 18</v>
      </c>
      <c r="D30" s="25"/>
      <c r="E30" s="25"/>
      <c r="F30" s="25">
        <f t="shared" si="16"/>
        <v>0</v>
      </c>
      <c r="G30" s="26">
        <f t="shared" si="1"/>
        <v>0</v>
      </c>
      <c r="H30" s="27">
        <f t="shared" si="2"/>
        <v>0</v>
      </c>
      <c r="I30" s="45"/>
      <c r="J30" s="8" t="str">
        <f t="shared" si="10"/>
        <v>S</v>
      </c>
      <c r="K30" s="151" t="str">
        <f>TEXT('Table '!AH28,"jj mmm aa")</f>
        <v>23 juin 18</v>
      </c>
      <c r="L30" s="25"/>
      <c r="M30" s="25"/>
      <c r="N30" s="25">
        <f t="shared" si="11"/>
        <v>0</v>
      </c>
      <c r="O30" s="26">
        <f t="shared" si="3"/>
        <v>0</v>
      </c>
      <c r="P30" s="27">
        <f t="shared" si="4"/>
        <v>0</v>
      </c>
      <c r="R30" s="8" t="str">
        <f t="shared" si="12"/>
        <v>S</v>
      </c>
      <c r="S30" s="151" t="str">
        <f>TEXT('Table '!AH28,"jj mmm aa")</f>
        <v>23 juin 18</v>
      </c>
      <c r="T30" s="12"/>
      <c r="U30" s="12"/>
      <c r="V30" s="12">
        <f t="shared" si="13"/>
        <v>0</v>
      </c>
      <c r="W30" s="13">
        <f t="shared" si="5"/>
        <v>0</v>
      </c>
      <c r="X30" s="14">
        <f t="shared" si="6"/>
        <v>0</v>
      </c>
      <c r="Y30" s="21"/>
      <c r="Z30" s="131" t="str">
        <f t="shared" si="14"/>
        <v>S</v>
      </c>
      <c r="AA30" s="138" t="str">
        <f>TEXT('Table '!AH28,"jj mmm aa")</f>
        <v>23 juin 18</v>
      </c>
      <c r="AB30" s="18"/>
      <c r="AC30" s="18"/>
      <c r="AD30" s="18">
        <f t="shared" si="15"/>
        <v>0</v>
      </c>
      <c r="AE30" s="146">
        <f t="shared" si="7"/>
        <v>0</v>
      </c>
      <c r="AF30" s="20">
        <f t="shared" si="8"/>
        <v>0</v>
      </c>
    </row>
    <row r="31" spans="2:32" s="7" customFormat="1">
      <c r="B31" s="8" t="str">
        <f t="shared" si="9"/>
        <v>D</v>
      </c>
      <c r="C31" s="164" t="str">
        <f>TEXT('Table '!AH29,"jj mmm aa")</f>
        <v>24 juin 18</v>
      </c>
      <c r="D31" s="25"/>
      <c r="E31" s="25"/>
      <c r="F31" s="25">
        <f t="shared" si="16"/>
        <v>0</v>
      </c>
      <c r="G31" s="26">
        <f t="shared" si="1"/>
        <v>0</v>
      </c>
      <c r="H31" s="27">
        <f t="shared" si="2"/>
        <v>0</v>
      </c>
      <c r="I31" s="45"/>
      <c r="J31" s="8" t="str">
        <f t="shared" si="10"/>
        <v>D</v>
      </c>
      <c r="K31" s="151" t="str">
        <f>TEXT('Table '!AH29,"jj mmm aa")</f>
        <v>24 juin 18</v>
      </c>
      <c r="L31" s="25"/>
      <c r="M31" s="25"/>
      <c r="N31" s="25">
        <f t="shared" si="11"/>
        <v>0</v>
      </c>
      <c r="O31" s="26">
        <f t="shared" si="3"/>
        <v>0</v>
      </c>
      <c r="P31" s="27">
        <f t="shared" si="4"/>
        <v>0</v>
      </c>
      <c r="R31" s="8" t="str">
        <f t="shared" si="12"/>
        <v>D</v>
      </c>
      <c r="S31" s="151" t="str">
        <f>TEXT('Table '!AH29,"jj mmm aa")</f>
        <v>24 juin 18</v>
      </c>
      <c r="T31" s="12"/>
      <c r="U31" s="12"/>
      <c r="V31" s="12">
        <f t="shared" si="13"/>
        <v>0</v>
      </c>
      <c r="W31" s="13">
        <f t="shared" si="5"/>
        <v>0</v>
      </c>
      <c r="X31" s="14">
        <f t="shared" si="6"/>
        <v>0</v>
      </c>
      <c r="Y31" s="21"/>
      <c r="Z31" s="131" t="str">
        <f t="shared" si="14"/>
        <v>D</v>
      </c>
      <c r="AA31" s="138" t="str">
        <f>TEXT('Table '!AH29,"jj mmm aa")</f>
        <v>24 juin 18</v>
      </c>
      <c r="AB31" s="18"/>
      <c r="AC31" s="18"/>
      <c r="AD31" s="18">
        <f t="shared" si="15"/>
        <v>0</v>
      </c>
      <c r="AE31" s="146">
        <f t="shared" si="7"/>
        <v>0</v>
      </c>
      <c r="AF31" s="20">
        <f t="shared" si="8"/>
        <v>0</v>
      </c>
    </row>
    <row r="32" spans="2:32" s="7" customFormat="1">
      <c r="B32" s="8" t="str">
        <f t="shared" si="9"/>
        <v>L</v>
      </c>
      <c r="C32" s="164" t="str">
        <f>TEXT('Table '!AH30,"jj mmm aa")</f>
        <v>25 juin 18</v>
      </c>
      <c r="D32" s="12"/>
      <c r="E32" s="12"/>
      <c r="F32" s="25">
        <f t="shared" si="16"/>
        <v>0</v>
      </c>
      <c r="G32" s="26">
        <f t="shared" si="1"/>
        <v>0</v>
      </c>
      <c r="H32" s="27">
        <f t="shared" si="2"/>
        <v>0</v>
      </c>
      <c r="I32" s="45"/>
      <c r="J32" s="8" t="str">
        <f t="shared" si="10"/>
        <v>L</v>
      </c>
      <c r="K32" s="151" t="str">
        <f>TEXT('Table '!AH30,"jj mmm aa")</f>
        <v>25 juin 18</v>
      </c>
      <c r="L32" s="25"/>
      <c r="M32" s="25"/>
      <c r="N32" s="25">
        <f t="shared" si="11"/>
        <v>0</v>
      </c>
      <c r="O32" s="26">
        <f t="shared" si="3"/>
        <v>0</v>
      </c>
      <c r="P32" s="27">
        <f t="shared" si="4"/>
        <v>0</v>
      </c>
      <c r="R32" s="8" t="str">
        <f t="shared" si="12"/>
        <v>L</v>
      </c>
      <c r="S32" s="151" t="str">
        <f>TEXT('Table '!AH30,"jj mmm aa")</f>
        <v>25 juin 18</v>
      </c>
      <c r="T32" s="12"/>
      <c r="U32" s="12"/>
      <c r="V32" s="12">
        <f t="shared" si="13"/>
        <v>0</v>
      </c>
      <c r="W32" s="13">
        <f t="shared" si="5"/>
        <v>0</v>
      </c>
      <c r="X32" s="14">
        <f t="shared" si="6"/>
        <v>0</v>
      </c>
      <c r="Y32" s="21"/>
      <c r="Z32" s="131" t="str">
        <f t="shared" si="14"/>
        <v>L</v>
      </c>
      <c r="AA32" s="138" t="str">
        <f>TEXT('Table '!AH30,"jj mmm aa")</f>
        <v>25 juin 18</v>
      </c>
      <c r="AB32" s="18"/>
      <c r="AC32" s="18"/>
      <c r="AD32" s="18">
        <f t="shared" si="15"/>
        <v>0</v>
      </c>
      <c r="AE32" s="146">
        <f t="shared" si="7"/>
        <v>0</v>
      </c>
      <c r="AF32" s="20">
        <f t="shared" si="8"/>
        <v>0</v>
      </c>
    </row>
    <row r="33" spans="2:32" s="7" customFormat="1">
      <c r="B33" s="8" t="str">
        <f t="shared" si="9"/>
        <v>M</v>
      </c>
      <c r="C33" s="164" t="str">
        <f>TEXT('Table '!AH31,"jj mmm aa")</f>
        <v>26 juin 18</v>
      </c>
      <c r="D33" s="12"/>
      <c r="E33" s="12"/>
      <c r="F33" s="25">
        <f t="shared" si="16"/>
        <v>0</v>
      </c>
      <c r="G33" s="26">
        <f t="shared" si="1"/>
        <v>0</v>
      </c>
      <c r="H33" s="27">
        <f t="shared" si="2"/>
        <v>0</v>
      </c>
      <c r="I33" s="45"/>
      <c r="J33" s="8" t="str">
        <f t="shared" si="10"/>
        <v>M</v>
      </c>
      <c r="K33" s="151" t="str">
        <f>TEXT('Table '!AH31,"jj mmm aa")</f>
        <v>26 juin 18</v>
      </c>
      <c r="L33" s="12"/>
      <c r="M33" s="12"/>
      <c r="N33" s="25">
        <f t="shared" si="11"/>
        <v>0</v>
      </c>
      <c r="O33" s="26">
        <f t="shared" si="3"/>
        <v>0</v>
      </c>
      <c r="P33" s="27">
        <f t="shared" si="4"/>
        <v>0</v>
      </c>
      <c r="R33" s="8" t="str">
        <f t="shared" si="12"/>
        <v>M</v>
      </c>
      <c r="S33" s="151" t="str">
        <f>TEXT('Table '!AH31,"jj mmm aa")</f>
        <v>26 juin 18</v>
      </c>
      <c r="T33" s="12"/>
      <c r="U33" s="12"/>
      <c r="V33" s="12">
        <f t="shared" si="13"/>
        <v>0</v>
      </c>
      <c r="W33" s="13">
        <f t="shared" si="5"/>
        <v>0</v>
      </c>
      <c r="X33" s="14">
        <f t="shared" si="6"/>
        <v>0</v>
      </c>
      <c r="Y33" s="21"/>
      <c r="Z33" s="131" t="str">
        <f t="shared" si="14"/>
        <v>M</v>
      </c>
      <c r="AA33" s="138" t="str">
        <f>TEXT('Table '!AH31,"jj mmm aa")</f>
        <v>26 juin 18</v>
      </c>
      <c r="AB33" s="18"/>
      <c r="AC33" s="18"/>
      <c r="AD33" s="18">
        <f t="shared" si="15"/>
        <v>0</v>
      </c>
      <c r="AE33" s="146">
        <f t="shared" si="7"/>
        <v>0</v>
      </c>
      <c r="AF33" s="20">
        <f t="shared" si="8"/>
        <v>0</v>
      </c>
    </row>
    <row r="34" spans="2:32" s="7" customFormat="1">
      <c r="B34" s="8" t="str">
        <f t="shared" si="9"/>
        <v>M</v>
      </c>
      <c r="C34" s="164" t="str">
        <f>TEXT('Table '!AH32,"jj mmm aa")</f>
        <v>27 juin 18</v>
      </c>
      <c r="D34" s="12"/>
      <c r="E34" s="12"/>
      <c r="F34" s="25">
        <f t="shared" si="16"/>
        <v>0</v>
      </c>
      <c r="G34" s="26">
        <f t="shared" si="1"/>
        <v>0</v>
      </c>
      <c r="H34" s="27">
        <f t="shared" si="2"/>
        <v>0</v>
      </c>
      <c r="I34" s="45"/>
      <c r="J34" s="8" t="str">
        <f t="shared" si="10"/>
        <v>M</v>
      </c>
      <c r="K34" s="151" t="str">
        <f>TEXT('Table '!AH32,"jj mmm aa")</f>
        <v>27 juin 18</v>
      </c>
      <c r="L34" s="12"/>
      <c r="M34" s="12"/>
      <c r="N34" s="25">
        <f t="shared" si="11"/>
        <v>0</v>
      </c>
      <c r="O34" s="26">
        <f t="shared" si="3"/>
        <v>0</v>
      </c>
      <c r="P34" s="27">
        <f t="shared" si="4"/>
        <v>0</v>
      </c>
      <c r="R34" s="8" t="str">
        <f t="shared" si="12"/>
        <v>M</v>
      </c>
      <c r="S34" s="151" t="str">
        <f>TEXT('Table '!AH32,"jj mmm aa")</f>
        <v>27 juin 18</v>
      </c>
      <c r="T34" s="12"/>
      <c r="U34" s="12"/>
      <c r="V34" s="12">
        <f t="shared" si="13"/>
        <v>0</v>
      </c>
      <c r="W34" s="13">
        <f t="shared" si="5"/>
        <v>0</v>
      </c>
      <c r="X34" s="14">
        <f t="shared" si="6"/>
        <v>0</v>
      </c>
      <c r="Y34" s="21"/>
      <c r="Z34" s="131" t="str">
        <f t="shared" si="14"/>
        <v>M</v>
      </c>
      <c r="AA34" s="138" t="str">
        <f>TEXT('Table '!AH32,"jj mmm aa")</f>
        <v>27 juin 18</v>
      </c>
      <c r="AB34" s="18"/>
      <c r="AC34" s="18"/>
      <c r="AD34" s="18">
        <f t="shared" si="15"/>
        <v>0</v>
      </c>
      <c r="AE34" s="146">
        <f t="shared" si="7"/>
        <v>0</v>
      </c>
      <c r="AF34" s="20">
        <f t="shared" si="8"/>
        <v>0</v>
      </c>
    </row>
    <row r="35" spans="2:32" s="7" customFormat="1">
      <c r="B35" s="8" t="str">
        <f t="shared" si="9"/>
        <v>J</v>
      </c>
      <c r="C35" s="164" t="str">
        <f>TEXT('Table '!AH33,"jj mmm aa")</f>
        <v>28 juin 18</v>
      </c>
      <c r="D35" s="12"/>
      <c r="E35" s="12"/>
      <c r="F35" s="25">
        <f t="shared" si="16"/>
        <v>0</v>
      </c>
      <c r="G35" s="26">
        <f t="shared" si="1"/>
        <v>0</v>
      </c>
      <c r="H35" s="27">
        <f t="shared" si="2"/>
        <v>0</v>
      </c>
      <c r="I35" s="45"/>
      <c r="J35" s="8" t="str">
        <f t="shared" si="10"/>
        <v>J</v>
      </c>
      <c r="K35" s="151" t="str">
        <f>TEXT('Table '!AH33,"jj mmm aa")</f>
        <v>28 juin 18</v>
      </c>
      <c r="L35" s="12"/>
      <c r="M35" s="12"/>
      <c r="N35" s="25">
        <f t="shared" si="11"/>
        <v>0</v>
      </c>
      <c r="O35" s="26">
        <f t="shared" si="3"/>
        <v>0</v>
      </c>
      <c r="P35" s="27">
        <f t="shared" si="4"/>
        <v>0</v>
      </c>
      <c r="R35" s="8" t="str">
        <f t="shared" si="12"/>
        <v>J</v>
      </c>
      <c r="S35" s="151" t="str">
        <f>TEXT('Table '!AH33,"jj mmm aa")</f>
        <v>28 juin 18</v>
      </c>
      <c r="T35" s="12"/>
      <c r="U35" s="12"/>
      <c r="V35" s="12">
        <f t="shared" si="13"/>
        <v>0</v>
      </c>
      <c r="W35" s="13">
        <f t="shared" si="5"/>
        <v>0</v>
      </c>
      <c r="X35" s="14">
        <f t="shared" si="6"/>
        <v>0</v>
      </c>
      <c r="Y35" s="21"/>
      <c r="Z35" s="131" t="str">
        <f t="shared" si="14"/>
        <v>J</v>
      </c>
      <c r="AA35" s="138" t="str">
        <f>TEXT('Table '!AH33,"jj mmm aa")</f>
        <v>28 juin 18</v>
      </c>
      <c r="AB35" s="18"/>
      <c r="AC35" s="18"/>
      <c r="AD35" s="18">
        <f t="shared" si="15"/>
        <v>0</v>
      </c>
      <c r="AE35" s="146">
        <f t="shared" si="7"/>
        <v>0</v>
      </c>
      <c r="AF35" s="20">
        <f t="shared" si="8"/>
        <v>0</v>
      </c>
    </row>
    <row r="36" spans="2:32" s="7" customFormat="1">
      <c r="B36" s="8" t="str">
        <f t="shared" si="9"/>
        <v>V</v>
      </c>
      <c r="C36" s="164" t="str">
        <f>TEXT('Table '!AH34,"jj mmm aa")</f>
        <v>29 juin 18</v>
      </c>
      <c r="D36" s="12"/>
      <c r="E36" s="12"/>
      <c r="F36" s="25">
        <f t="shared" si="16"/>
        <v>0</v>
      </c>
      <c r="G36" s="26">
        <f t="shared" si="1"/>
        <v>0</v>
      </c>
      <c r="H36" s="27">
        <f t="shared" si="2"/>
        <v>0</v>
      </c>
      <c r="I36" s="45"/>
      <c r="J36" s="8" t="str">
        <f t="shared" si="10"/>
        <v>V</v>
      </c>
      <c r="K36" s="151" t="str">
        <f>TEXT('Table '!AH34,"jj mmm aa")</f>
        <v>29 juin 18</v>
      </c>
      <c r="L36" s="12"/>
      <c r="M36" s="12"/>
      <c r="N36" s="25">
        <f t="shared" si="11"/>
        <v>0</v>
      </c>
      <c r="O36" s="26">
        <f t="shared" si="3"/>
        <v>0</v>
      </c>
      <c r="P36" s="27">
        <f t="shared" si="4"/>
        <v>0</v>
      </c>
      <c r="R36" s="8" t="str">
        <f t="shared" si="12"/>
        <v>V</v>
      </c>
      <c r="S36" s="151" t="str">
        <f>TEXT('Table '!AH34,"jj mmm aa")</f>
        <v>29 juin 18</v>
      </c>
      <c r="T36" s="12"/>
      <c r="U36" s="12"/>
      <c r="V36" s="12">
        <f t="shared" si="13"/>
        <v>0</v>
      </c>
      <c r="W36" s="13">
        <f t="shared" si="5"/>
        <v>0</v>
      </c>
      <c r="X36" s="14">
        <f t="shared" si="6"/>
        <v>0</v>
      </c>
      <c r="Y36" s="21"/>
      <c r="Z36" s="131" t="str">
        <f t="shared" si="14"/>
        <v>V</v>
      </c>
      <c r="AA36" s="138" t="str">
        <f>TEXT('Table '!AH34,"jj mmm aa")</f>
        <v>29 juin 18</v>
      </c>
      <c r="AB36" s="18"/>
      <c r="AC36" s="18"/>
      <c r="AD36" s="18">
        <f t="shared" si="15"/>
        <v>0</v>
      </c>
      <c r="AE36" s="146">
        <f t="shared" si="7"/>
        <v>0</v>
      </c>
      <c r="AF36" s="20">
        <f t="shared" si="8"/>
        <v>0</v>
      </c>
    </row>
    <row r="37" spans="2:32" s="7" customFormat="1">
      <c r="B37" s="8" t="str">
        <f t="shared" si="9"/>
        <v>S</v>
      </c>
      <c r="C37" s="164" t="str">
        <f>TEXT('Table '!AH35,"jj mmm aa")</f>
        <v>30 juin 18</v>
      </c>
      <c r="D37" s="25"/>
      <c r="E37" s="25"/>
      <c r="F37" s="25">
        <f t="shared" ref="F37" si="17">E37-D37</f>
        <v>0</v>
      </c>
      <c r="G37" s="26">
        <f t="shared" si="1"/>
        <v>0</v>
      </c>
      <c r="H37" s="27">
        <f t="shared" si="2"/>
        <v>0</v>
      </c>
      <c r="I37" s="45"/>
      <c r="J37" s="8" t="str">
        <f t="shared" si="10"/>
        <v>S</v>
      </c>
      <c r="K37" s="151" t="str">
        <f>TEXT('Table '!AH35,"jj mmm aa")</f>
        <v>30 juin 18</v>
      </c>
      <c r="L37" s="25"/>
      <c r="M37" s="25"/>
      <c r="N37" s="25">
        <f t="shared" si="11"/>
        <v>0</v>
      </c>
      <c r="O37" s="26">
        <f t="shared" si="3"/>
        <v>0</v>
      </c>
      <c r="P37" s="27">
        <f t="shared" si="4"/>
        <v>0</v>
      </c>
      <c r="R37" s="8" t="str">
        <f t="shared" si="12"/>
        <v>S</v>
      </c>
      <c r="S37" s="151" t="str">
        <f>TEXT('Table '!AH35,"jj mmm aa")</f>
        <v>30 juin 18</v>
      </c>
      <c r="T37" s="12"/>
      <c r="U37" s="12"/>
      <c r="V37" s="12">
        <f t="shared" si="13"/>
        <v>0</v>
      </c>
      <c r="W37" s="13">
        <f t="shared" si="5"/>
        <v>0</v>
      </c>
      <c r="X37" s="14">
        <f t="shared" si="6"/>
        <v>0</v>
      </c>
      <c r="Y37" s="21"/>
      <c r="Z37" s="131" t="str">
        <f t="shared" si="14"/>
        <v>S</v>
      </c>
      <c r="AA37" s="138" t="str">
        <f>TEXT('Table '!AH35,"jj mmm aa")</f>
        <v>30 juin 18</v>
      </c>
      <c r="AB37" s="18"/>
      <c r="AC37" s="18"/>
      <c r="AD37" s="18">
        <f t="shared" si="15"/>
        <v>0</v>
      </c>
      <c r="AE37" s="146">
        <f t="shared" si="7"/>
        <v>0</v>
      </c>
      <c r="AF37" s="20">
        <f t="shared" si="8"/>
        <v>0</v>
      </c>
    </row>
    <row r="38" spans="2:32" s="7" customFormat="1" ht="15.75" thickBot="1">
      <c r="B38" s="8"/>
      <c r="C38" s="164"/>
      <c r="D38" s="156"/>
      <c r="E38" s="156"/>
      <c r="F38" s="156"/>
      <c r="G38" s="157"/>
      <c r="H38" s="158"/>
      <c r="I38" s="21"/>
      <c r="J38" s="8"/>
      <c r="K38" s="151"/>
      <c r="L38" s="156"/>
      <c r="M38" s="156"/>
      <c r="N38" s="156"/>
      <c r="O38" s="157"/>
      <c r="P38" s="158"/>
      <c r="Q38" s="21"/>
      <c r="R38" s="8"/>
      <c r="S38" s="151"/>
      <c r="T38" s="156"/>
      <c r="U38" s="156"/>
      <c r="V38" s="156"/>
      <c r="W38" s="157"/>
      <c r="X38" s="158"/>
      <c r="Y38" s="21"/>
      <c r="Z38" s="131"/>
      <c r="AA38" s="138"/>
      <c r="AB38" s="156"/>
      <c r="AC38" s="156"/>
      <c r="AD38" s="156">
        <f t="shared" si="15"/>
        <v>0</v>
      </c>
      <c r="AE38" s="157">
        <f t="shared" si="7"/>
        <v>0</v>
      </c>
      <c r="AF38" s="158">
        <f t="shared" si="8"/>
        <v>0</v>
      </c>
    </row>
    <row r="39" spans="2:32" s="7" customFormat="1" ht="19.5" thickTop="1">
      <c r="B39" s="127"/>
      <c r="C39" s="62"/>
      <c r="D39" s="62"/>
      <c r="E39" s="63" t="s">
        <v>9</v>
      </c>
      <c r="F39" s="62"/>
      <c r="G39" s="64">
        <f>SUM(G8:G38)</f>
        <v>0</v>
      </c>
      <c r="H39" s="65"/>
      <c r="J39" s="127"/>
      <c r="K39" s="62"/>
      <c r="L39" s="62"/>
      <c r="M39" s="63" t="s">
        <v>9</v>
      </c>
      <c r="N39" s="62"/>
      <c r="O39" s="64">
        <f>SUM(O8:O38)</f>
        <v>0</v>
      </c>
      <c r="P39" s="65"/>
      <c r="R39" s="127"/>
      <c r="S39" s="62"/>
      <c r="T39" s="62"/>
      <c r="U39" s="63" t="s">
        <v>9</v>
      </c>
      <c r="V39" s="62"/>
      <c r="W39" s="64">
        <f>SUM(W8:W38)</f>
        <v>0</v>
      </c>
      <c r="X39" s="65"/>
      <c r="Z39" s="127"/>
      <c r="AA39" s="62"/>
      <c r="AB39" s="62"/>
      <c r="AC39" s="63" t="s">
        <v>9</v>
      </c>
      <c r="AD39" s="62"/>
      <c r="AE39" s="64">
        <f>SUM(AE8:AE23)</f>
        <v>0</v>
      </c>
      <c r="AF39" s="65"/>
    </row>
    <row r="40" spans="2:32" s="36" customFormat="1" ht="18.75">
      <c r="B40" s="128"/>
      <c r="C40" s="33"/>
      <c r="D40" s="33"/>
      <c r="E40" s="34" t="s">
        <v>10</v>
      </c>
      <c r="F40" s="33"/>
      <c r="G40" s="35"/>
      <c r="H40" s="32">
        <f>SUM(H8:H38)*24</f>
        <v>0</v>
      </c>
      <c r="J40" s="128"/>
      <c r="K40" s="33"/>
      <c r="L40" s="33"/>
      <c r="M40" s="34" t="s">
        <v>10</v>
      </c>
      <c r="N40" s="33"/>
      <c r="O40" s="35"/>
      <c r="P40" s="32">
        <f>SUM(P8:P38)*24</f>
        <v>0</v>
      </c>
      <c r="R40" s="128"/>
      <c r="S40" s="33"/>
      <c r="T40" s="33"/>
      <c r="U40" s="34" t="s">
        <v>10</v>
      </c>
      <c r="V40" s="33"/>
      <c r="W40" s="35"/>
      <c r="X40" s="32">
        <f>SUM(X8:X38)*24</f>
        <v>0</v>
      </c>
      <c r="Z40" s="128"/>
      <c r="AA40" s="33"/>
      <c r="AB40" s="33"/>
      <c r="AC40" s="34" t="s">
        <v>10</v>
      </c>
      <c r="AD40" s="33"/>
      <c r="AE40" s="35"/>
      <c r="AF40" s="32">
        <f>SUM(AF8:AF32)*24</f>
        <v>0</v>
      </c>
    </row>
    <row r="41" spans="2:32" s="7" customFormat="1" ht="15.75" thickBot="1">
      <c r="B41" s="129"/>
      <c r="C41" s="16"/>
      <c r="D41" s="16"/>
      <c r="E41" s="16"/>
      <c r="F41" s="16"/>
      <c r="G41" s="16"/>
      <c r="H41" s="17"/>
      <c r="J41" s="129"/>
      <c r="K41" s="16"/>
      <c r="L41" s="16"/>
      <c r="M41" s="16"/>
      <c r="N41" s="16"/>
      <c r="O41" s="16"/>
      <c r="P41" s="17"/>
      <c r="R41" s="129"/>
      <c r="S41" s="16"/>
      <c r="T41" s="16"/>
      <c r="U41" s="16"/>
      <c r="V41" s="16"/>
      <c r="W41" s="16"/>
      <c r="X41" s="17"/>
      <c r="Z41" s="129"/>
      <c r="AA41" s="16"/>
      <c r="AB41" s="16"/>
      <c r="AC41" s="16"/>
      <c r="AD41" s="16"/>
      <c r="AE41" s="16"/>
      <c r="AF41" s="17"/>
    </row>
    <row r="42" spans="2:32" ht="15.75" thickTop="1"/>
  </sheetData>
  <mergeCells count="4">
    <mergeCell ref="B5:H6"/>
    <mergeCell ref="J5:P6"/>
    <mergeCell ref="R5:X6"/>
    <mergeCell ref="Z5:AF6"/>
  </mergeCells>
  <conditionalFormatting sqref="B8:H38 J8:P38 R8:X38 Z8:AF38">
    <cfRule type="expression" dxfId="21" priority="3" stopIfTrue="1">
      <formula>AND($B8="D")</formula>
    </cfRule>
    <cfRule type="expression" dxfId="20" priority="4" stopIfTrue="1">
      <formula>AND($B8="S")</formula>
    </cfRule>
    <cfRule type="expression" dxfId="19" priority="2" stopIfTrue="1">
      <formula>COUNTIF(Feries,$C9)&gt;0</formula>
    </cfRule>
    <cfRule type="expression" dxfId="18" priority="1" stopIfTrue="1">
      <formula>COUNTIF(Fete,$C8)&gt;0</formula>
    </cfRule>
  </conditionalFormatting>
  <pageMargins left="0.7" right="0.7" top="0.75" bottom="0.75" header="0.3" footer="0.3"/>
  <pageSetup paperSize="9" orientation="portrait" horizontalDpi="4294967294" verticalDpi="4294967294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8">
    <tabColor theme="1" tint="0.249977111117893"/>
  </sheetPr>
  <dimension ref="B1:AF42"/>
  <sheetViews>
    <sheetView workbookViewId="0"/>
  </sheetViews>
  <sheetFormatPr baseColWidth="10" defaultRowHeight="15"/>
  <cols>
    <col min="1" max="1" width="1.42578125" customWidth="1"/>
    <col min="2" max="2" width="3.7109375" customWidth="1"/>
    <col min="3" max="8" width="9.5703125" style="1" customWidth="1"/>
    <col min="9" max="9" width="1.7109375" customWidth="1"/>
    <col min="10" max="10" width="3.7109375" customWidth="1"/>
    <col min="11" max="16" width="9.5703125" customWidth="1"/>
    <col min="17" max="17" width="1.7109375" customWidth="1"/>
    <col min="18" max="18" width="3.7109375" customWidth="1"/>
    <col min="19" max="24" width="9.5703125" customWidth="1"/>
    <col min="25" max="25" width="1.7109375" customWidth="1"/>
    <col min="26" max="26" width="3.7109375" customWidth="1"/>
    <col min="27" max="32" width="9.5703125" customWidth="1"/>
  </cols>
  <sheetData>
    <row r="1" spans="2:32">
      <c r="C1" s="56" t="s">
        <v>0</v>
      </c>
      <c r="D1" s="56"/>
      <c r="E1" s="56"/>
      <c r="F1" s="57">
        <v>0.33333333333333331</v>
      </c>
      <c r="G1" s="56" t="s">
        <v>1</v>
      </c>
      <c r="H1" s="56"/>
      <c r="L1" s="165"/>
      <c r="M1" s="165"/>
      <c r="N1" s="165"/>
    </row>
    <row r="2" spans="2:32">
      <c r="C2" s="56" t="s">
        <v>2</v>
      </c>
      <c r="D2" s="57">
        <v>0.33333333333333331</v>
      </c>
      <c r="E2" s="56" t="s">
        <v>3</v>
      </c>
      <c r="F2" s="56"/>
      <c r="G2" s="56"/>
      <c r="H2" s="56"/>
      <c r="L2" s="165"/>
      <c r="M2" s="165"/>
      <c r="N2" s="165"/>
    </row>
    <row r="3" spans="2:32">
      <c r="C3" s="56"/>
      <c r="D3" s="56"/>
      <c r="E3" s="56"/>
      <c r="F3" s="56"/>
      <c r="G3" s="56"/>
      <c r="H3" s="56"/>
      <c r="L3" s="165"/>
      <c r="M3" s="165"/>
      <c r="N3" s="165"/>
    </row>
    <row r="4" spans="2:32" ht="15.75" thickBot="1">
      <c r="C4" s="6"/>
    </row>
    <row r="5" spans="2:32" s="7" customFormat="1" ht="15.75" customHeight="1" thickTop="1">
      <c r="B5" s="338">
        <f>'Table '!C3</f>
        <v>1</v>
      </c>
      <c r="C5" s="339"/>
      <c r="D5" s="339" t="e">
        <f>'Table '!#REF!</f>
        <v>#REF!</v>
      </c>
      <c r="E5" s="339"/>
      <c r="F5" s="339"/>
      <c r="G5" s="339"/>
      <c r="H5" s="340"/>
      <c r="J5" s="344">
        <f>'Table '!G3</f>
        <v>2</v>
      </c>
      <c r="K5" s="345"/>
      <c r="L5" s="345" t="e">
        <f>'Table '!#REF!</f>
        <v>#REF!</v>
      </c>
      <c r="M5" s="345"/>
      <c r="N5" s="345"/>
      <c r="O5" s="345"/>
      <c r="P5" s="346"/>
      <c r="R5" s="350">
        <f>'Table '!C6</f>
        <v>3</v>
      </c>
      <c r="S5" s="351"/>
      <c r="T5" s="351" t="e">
        <f>'Table '!#REF!</f>
        <v>#REF!</v>
      </c>
      <c r="U5" s="351"/>
      <c r="V5" s="351"/>
      <c r="W5" s="351"/>
      <c r="X5" s="352"/>
      <c r="Z5" s="356">
        <f>'Table '!G6</f>
        <v>4</v>
      </c>
      <c r="AA5" s="357"/>
      <c r="AB5" s="357" t="e">
        <f>'Table '!#REF!</f>
        <v>#REF!</v>
      </c>
      <c r="AC5" s="357"/>
      <c r="AD5" s="357"/>
      <c r="AE5" s="357"/>
      <c r="AF5" s="358"/>
    </row>
    <row r="6" spans="2:32" s="7" customFormat="1" ht="15" customHeight="1">
      <c r="B6" s="341"/>
      <c r="C6" s="342"/>
      <c r="D6" s="342"/>
      <c r="E6" s="342"/>
      <c r="F6" s="342"/>
      <c r="G6" s="342"/>
      <c r="H6" s="343"/>
      <c r="J6" s="347"/>
      <c r="K6" s="348"/>
      <c r="L6" s="348"/>
      <c r="M6" s="348"/>
      <c r="N6" s="348"/>
      <c r="O6" s="348"/>
      <c r="P6" s="349"/>
      <c r="R6" s="353"/>
      <c r="S6" s="354"/>
      <c r="T6" s="354"/>
      <c r="U6" s="354"/>
      <c r="V6" s="354"/>
      <c r="W6" s="354"/>
      <c r="X6" s="355"/>
      <c r="Z6" s="359"/>
      <c r="AA6" s="360"/>
      <c r="AB6" s="360"/>
      <c r="AC6" s="360"/>
      <c r="AD6" s="360"/>
      <c r="AE6" s="360"/>
      <c r="AF6" s="361"/>
    </row>
    <row r="7" spans="2:32" s="11" customFormat="1" ht="39" customHeight="1">
      <c r="B7" s="8"/>
      <c r="C7" s="15"/>
      <c r="D7" s="9" t="s">
        <v>4</v>
      </c>
      <c r="E7" s="9" t="s">
        <v>5</v>
      </c>
      <c r="F7" s="9" t="s">
        <v>6</v>
      </c>
      <c r="G7" s="9" t="s">
        <v>7</v>
      </c>
      <c r="H7" s="10" t="s">
        <v>8</v>
      </c>
      <c r="J7" s="8"/>
      <c r="K7" s="15"/>
      <c r="L7" s="9" t="s">
        <v>4</v>
      </c>
      <c r="M7" s="9" t="s">
        <v>5</v>
      </c>
      <c r="N7" s="9" t="s">
        <v>6</v>
      </c>
      <c r="O7" s="9" t="s">
        <v>7</v>
      </c>
      <c r="P7" s="10" t="s">
        <v>8</v>
      </c>
      <c r="R7" s="8"/>
      <c r="S7" s="15"/>
      <c r="T7" s="9" t="s">
        <v>4</v>
      </c>
      <c r="U7" s="9" t="s">
        <v>5</v>
      </c>
      <c r="V7" s="9" t="s">
        <v>6</v>
      </c>
      <c r="W7" s="9" t="s">
        <v>7</v>
      </c>
      <c r="X7" s="10" t="s">
        <v>8</v>
      </c>
      <c r="Z7" s="8"/>
      <c r="AA7" s="15"/>
      <c r="AB7" s="9" t="s">
        <v>4</v>
      </c>
      <c r="AC7" s="9" t="s">
        <v>5</v>
      </c>
      <c r="AD7" s="9" t="s">
        <v>6</v>
      </c>
      <c r="AE7" s="9" t="s">
        <v>7</v>
      </c>
      <c r="AF7" s="10" t="s">
        <v>8</v>
      </c>
    </row>
    <row r="8" spans="2:32" s="7" customFormat="1">
      <c r="B8" s="8" t="str">
        <f>CHOOSE(WEEKDAY(C8),"D","L","M","M","J","V","S")</f>
        <v>D</v>
      </c>
      <c r="C8" s="164" t="str">
        <f>TEXT('Table '!AI6,"jj mmm aa")</f>
        <v>01 juil 18</v>
      </c>
      <c r="D8" s="12"/>
      <c r="E8" s="12"/>
      <c r="F8" s="12">
        <f>E8-D8</f>
        <v>0</v>
      </c>
      <c r="G8" s="13">
        <f t="shared" ref="G8:G36" si="0">IF(F8&gt;=$F$1,1,0)</f>
        <v>0</v>
      </c>
      <c r="H8" s="14">
        <f t="shared" ref="H8:H36" si="1">IF(F8&lt;$F$1,F8,0)</f>
        <v>0</v>
      </c>
      <c r="J8" s="8" t="str">
        <f>CHOOSE(WEEKDAY(C8),"D","L","M","M","J","V","S")</f>
        <v>D</v>
      </c>
      <c r="K8" s="151" t="str">
        <f>C8</f>
        <v>01 juil 18</v>
      </c>
      <c r="L8" s="12"/>
      <c r="M8" s="12"/>
      <c r="N8" s="12">
        <f>M8-L8</f>
        <v>0</v>
      </c>
      <c r="O8" s="13">
        <f t="shared" ref="O8:O38" si="2">IF(N8&gt;=$F$1,1,0)</f>
        <v>0</v>
      </c>
      <c r="P8" s="14">
        <f t="shared" ref="P8:P38" si="3">IF(N8&lt;$F$1,N8,0)</f>
        <v>0</v>
      </c>
      <c r="R8" s="8" t="str">
        <f>CHOOSE(WEEKDAY(C8),"D","L","M","M","J","V","S")</f>
        <v>D</v>
      </c>
      <c r="S8" s="151" t="str">
        <f>C8</f>
        <v>01 juil 18</v>
      </c>
      <c r="T8" s="12"/>
      <c r="U8" s="12"/>
      <c r="V8" s="12">
        <f>U8-T8</f>
        <v>0</v>
      </c>
      <c r="W8" s="13">
        <f t="shared" ref="W8:W38" si="4">IF(V8&gt;=$F$1,1,0)</f>
        <v>0</v>
      </c>
      <c r="X8" s="14">
        <f t="shared" ref="X8:X38" si="5">IF(V8&lt;$F$1,V8,0)</f>
        <v>0</v>
      </c>
      <c r="Y8" s="21"/>
      <c r="Z8" s="131" t="str">
        <f>CHOOSE(WEEKDAY(C8),"D","L","M","M","J","V","S")</f>
        <v>D</v>
      </c>
      <c r="AA8" s="138" t="str">
        <f>C8</f>
        <v>01 juil 18</v>
      </c>
      <c r="AB8" s="18"/>
      <c r="AC8" s="18"/>
      <c r="AD8" s="18">
        <f>AC8-AB8</f>
        <v>0</v>
      </c>
      <c r="AE8" s="146">
        <f t="shared" ref="AE8:AE38" si="6">IF(AD8&gt;=$F$1,1,0)</f>
        <v>0</v>
      </c>
      <c r="AF8" s="20">
        <f t="shared" ref="AF8:AF38" si="7">IF(AD8&lt;$F$1,AD8,0)</f>
        <v>0</v>
      </c>
    </row>
    <row r="9" spans="2:32" s="7" customFormat="1">
      <c r="B9" s="8" t="str">
        <f t="shared" ref="B9:B38" si="8">CHOOSE(WEEKDAY(C9),"D","L","M","M","J","V","S")</f>
        <v>L</v>
      </c>
      <c r="C9" s="164" t="str">
        <f>TEXT('Table '!AI7,"jj mmm aa")</f>
        <v>02 juil 18</v>
      </c>
      <c r="D9" s="12"/>
      <c r="E9" s="12"/>
      <c r="F9" s="12">
        <f t="shared" ref="F9:F36" si="9">E9-D9</f>
        <v>0</v>
      </c>
      <c r="G9" s="13">
        <f t="shared" si="0"/>
        <v>0</v>
      </c>
      <c r="H9" s="14">
        <f t="shared" si="1"/>
        <v>0</v>
      </c>
      <c r="J9" s="8" t="str">
        <f t="shared" ref="J9:J38" si="10">CHOOSE(WEEKDAY(C9),"D","L","M","M","J","V","S")</f>
        <v>L</v>
      </c>
      <c r="K9" s="151" t="str">
        <f t="shared" ref="K9:K38" si="11">C9</f>
        <v>02 juil 18</v>
      </c>
      <c r="L9" s="12"/>
      <c r="M9" s="12"/>
      <c r="N9" s="12">
        <f t="shared" ref="N9:N38" si="12">M9-L9</f>
        <v>0</v>
      </c>
      <c r="O9" s="13">
        <f t="shared" si="2"/>
        <v>0</v>
      </c>
      <c r="P9" s="14">
        <f t="shared" si="3"/>
        <v>0</v>
      </c>
      <c r="R9" s="8" t="str">
        <f t="shared" ref="R9:R38" si="13">CHOOSE(WEEKDAY(C9),"D","L","M","M","J","V","S")</f>
        <v>L</v>
      </c>
      <c r="S9" s="151" t="str">
        <f t="shared" ref="S9:S38" si="14">C9</f>
        <v>02 juil 18</v>
      </c>
      <c r="T9" s="12"/>
      <c r="U9" s="12"/>
      <c r="V9" s="12">
        <f t="shared" ref="V9:V38" si="15">U9-T9</f>
        <v>0</v>
      </c>
      <c r="W9" s="13">
        <f t="shared" si="4"/>
        <v>0</v>
      </c>
      <c r="X9" s="14">
        <f t="shared" si="5"/>
        <v>0</v>
      </c>
      <c r="Y9" s="21"/>
      <c r="Z9" s="131" t="str">
        <f t="shared" ref="Z9:Z38" si="16">CHOOSE(WEEKDAY(C9),"D","L","M","M","J","V","S")</f>
        <v>L</v>
      </c>
      <c r="AA9" s="138" t="str">
        <f t="shared" ref="AA9:AA38" si="17">C9</f>
        <v>02 juil 18</v>
      </c>
      <c r="AB9" s="18"/>
      <c r="AC9" s="18"/>
      <c r="AD9" s="18">
        <f t="shared" ref="AD9:AD38" si="18">AC9-AB9</f>
        <v>0</v>
      </c>
      <c r="AE9" s="146">
        <f t="shared" si="6"/>
        <v>0</v>
      </c>
      <c r="AF9" s="20">
        <f t="shared" si="7"/>
        <v>0</v>
      </c>
    </row>
    <row r="10" spans="2:32" s="7" customFormat="1">
      <c r="B10" s="8" t="str">
        <f t="shared" si="8"/>
        <v>M</v>
      </c>
      <c r="C10" s="164" t="str">
        <f>TEXT('Table '!AI8,"jj mmm aa")</f>
        <v>03 juil 18</v>
      </c>
      <c r="D10" s="12"/>
      <c r="E10" s="12"/>
      <c r="F10" s="12">
        <f t="shared" si="9"/>
        <v>0</v>
      </c>
      <c r="G10" s="13">
        <f t="shared" si="0"/>
        <v>0</v>
      </c>
      <c r="H10" s="14">
        <f t="shared" si="1"/>
        <v>0</v>
      </c>
      <c r="J10" s="8" t="str">
        <f t="shared" si="10"/>
        <v>M</v>
      </c>
      <c r="K10" s="151" t="str">
        <f t="shared" si="11"/>
        <v>03 juil 18</v>
      </c>
      <c r="L10" s="12"/>
      <c r="M10" s="12"/>
      <c r="N10" s="12">
        <f t="shared" si="12"/>
        <v>0</v>
      </c>
      <c r="O10" s="13">
        <f t="shared" si="2"/>
        <v>0</v>
      </c>
      <c r="P10" s="14">
        <f t="shared" si="3"/>
        <v>0</v>
      </c>
      <c r="R10" s="8" t="str">
        <f t="shared" si="13"/>
        <v>M</v>
      </c>
      <c r="S10" s="151" t="str">
        <f t="shared" si="14"/>
        <v>03 juil 18</v>
      </c>
      <c r="T10" s="12"/>
      <c r="U10" s="12"/>
      <c r="V10" s="12">
        <f t="shared" si="15"/>
        <v>0</v>
      </c>
      <c r="W10" s="13">
        <f t="shared" si="4"/>
        <v>0</v>
      </c>
      <c r="X10" s="14">
        <f t="shared" si="5"/>
        <v>0</v>
      </c>
      <c r="Y10" s="21"/>
      <c r="Z10" s="131" t="str">
        <f t="shared" si="16"/>
        <v>M</v>
      </c>
      <c r="AA10" s="138" t="str">
        <f t="shared" si="17"/>
        <v>03 juil 18</v>
      </c>
      <c r="AB10" s="18"/>
      <c r="AC10" s="18"/>
      <c r="AD10" s="18">
        <f t="shared" si="18"/>
        <v>0</v>
      </c>
      <c r="AE10" s="146">
        <f t="shared" si="6"/>
        <v>0</v>
      </c>
      <c r="AF10" s="20">
        <f t="shared" si="7"/>
        <v>0</v>
      </c>
    </row>
    <row r="11" spans="2:32" s="7" customFormat="1">
      <c r="B11" s="8" t="str">
        <f t="shared" si="8"/>
        <v>M</v>
      </c>
      <c r="C11" s="164" t="str">
        <f>TEXT('Table '!AI9,"jj mmm aa")</f>
        <v>04 juil 18</v>
      </c>
      <c r="D11" s="12"/>
      <c r="E11" s="12"/>
      <c r="F11" s="25">
        <f t="shared" si="9"/>
        <v>0</v>
      </c>
      <c r="G11" s="26">
        <f t="shared" si="0"/>
        <v>0</v>
      </c>
      <c r="H11" s="27">
        <f t="shared" si="1"/>
        <v>0</v>
      </c>
      <c r="I11" s="45"/>
      <c r="J11" s="8" t="str">
        <f t="shared" si="10"/>
        <v>M</v>
      </c>
      <c r="K11" s="151" t="str">
        <f t="shared" si="11"/>
        <v>04 juil 18</v>
      </c>
      <c r="L11" s="25"/>
      <c r="M11" s="25"/>
      <c r="N11" s="25">
        <f>M11-L11</f>
        <v>0</v>
      </c>
      <c r="O11" s="26">
        <f t="shared" si="2"/>
        <v>0</v>
      </c>
      <c r="P11" s="27">
        <f t="shared" si="3"/>
        <v>0</v>
      </c>
      <c r="R11" s="8" t="str">
        <f t="shared" si="13"/>
        <v>M</v>
      </c>
      <c r="S11" s="151" t="str">
        <f t="shared" si="14"/>
        <v>04 juil 18</v>
      </c>
      <c r="T11" s="12"/>
      <c r="U11" s="12"/>
      <c r="V11" s="12">
        <f t="shared" si="15"/>
        <v>0</v>
      </c>
      <c r="W11" s="13">
        <f t="shared" si="4"/>
        <v>0</v>
      </c>
      <c r="X11" s="14">
        <f t="shared" si="5"/>
        <v>0</v>
      </c>
      <c r="Y11" s="21"/>
      <c r="Z11" s="131" t="str">
        <f t="shared" si="16"/>
        <v>M</v>
      </c>
      <c r="AA11" s="138" t="str">
        <f t="shared" si="17"/>
        <v>04 juil 18</v>
      </c>
      <c r="AB11" s="18"/>
      <c r="AC11" s="18"/>
      <c r="AD11" s="18">
        <f t="shared" si="18"/>
        <v>0</v>
      </c>
      <c r="AE11" s="146">
        <f t="shared" si="6"/>
        <v>0</v>
      </c>
      <c r="AF11" s="20">
        <f t="shared" si="7"/>
        <v>0</v>
      </c>
    </row>
    <row r="12" spans="2:32" s="7" customFormat="1">
      <c r="B12" s="8" t="str">
        <f t="shared" si="8"/>
        <v>J</v>
      </c>
      <c r="C12" s="164" t="str">
        <f>TEXT('Table '!AI10,"jj mmm aa")</f>
        <v>05 juil 18</v>
      </c>
      <c r="D12" s="12"/>
      <c r="E12" s="12"/>
      <c r="F12" s="25">
        <f t="shared" si="9"/>
        <v>0</v>
      </c>
      <c r="G12" s="26">
        <f t="shared" si="0"/>
        <v>0</v>
      </c>
      <c r="H12" s="27">
        <f t="shared" si="1"/>
        <v>0</v>
      </c>
      <c r="I12" s="45"/>
      <c r="J12" s="8" t="str">
        <f t="shared" si="10"/>
        <v>J</v>
      </c>
      <c r="K12" s="151" t="str">
        <f t="shared" si="11"/>
        <v>05 juil 18</v>
      </c>
      <c r="L12" s="12"/>
      <c r="M12" s="12"/>
      <c r="N12" s="25">
        <f>M12-L12</f>
        <v>0</v>
      </c>
      <c r="O12" s="26">
        <f t="shared" si="2"/>
        <v>0</v>
      </c>
      <c r="P12" s="27">
        <f t="shared" si="3"/>
        <v>0</v>
      </c>
      <c r="R12" s="8" t="str">
        <f t="shared" si="13"/>
        <v>J</v>
      </c>
      <c r="S12" s="151" t="str">
        <f t="shared" si="14"/>
        <v>05 juil 18</v>
      </c>
      <c r="T12" s="12"/>
      <c r="U12" s="12"/>
      <c r="V12" s="12">
        <f t="shared" si="15"/>
        <v>0</v>
      </c>
      <c r="W12" s="13">
        <f t="shared" si="4"/>
        <v>0</v>
      </c>
      <c r="X12" s="14">
        <f t="shared" si="5"/>
        <v>0</v>
      </c>
      <c r="Y12" s="21"/>
      <c r="Z12" s="131" t="str">
        <f t="shared" si="16"/>
        <v>J</v>
      </c>
      <c r="AA12" s="138" t="str">
        <f t="shared" si="17"/>
        <v>05 juil 18</v>
      </c>
      <c r="AB12" s="18"/>
      <c r="AC12" s="18"/>
      <c r="AD12" s="18">
        <f t="shared" si="18"/>
        <v>0</v>
      </c>
      <c r="AE12" s="146">
        <f t="shared" si="6"/>
        <v>0</v>
      </c>
      <c r="AF12" s="20">
        <f t="shared" si="7"/>
        <v>0</v>
      </c>
    </row>
    <row r="13" spans="2:32" s="7" customFormat="1">
      <c r="B13" s="8" t="str">
        <f t="shared" si="8"/>
        <v>V</v>
      </c>
      <c r="C13" s="164" t="str">
        <f>TEXT('Table '!AI11,"jj mmm aa")</f>
        <v>06 juil 18</v>
      </c>
      <c r="D13" s="12"/>
      <c r="E13" s="12"/>
      <c r="F13" s="25">
        <f t="shared" si="9"/>
        <v>0</v>
      </c>
      <c r="G13" s="26">
        <f t="shared" si="0"/>
        <v>0</v>
      </c>
      <c r="H13" s="27">
        <f t="shared" si="1"/>
        <v>0</v>
      </c>
      <c r="I13" s="45"/>
      <c r="J13" s="8" t="str">
        <f t="shared" si="10"/>
        <v>V</v>
      </c>
      <c r="K13" s="151" t="str">
        <f t="shared" si="11"/>
        <v>06 juil 18</v>
      </c>
      <c r="L13" s="12"/>
      <c r="M13" s="12"/>
      <c r="N13" s="25">
        <f t="shared" si="12"/>
        <v>0</v>
      </c>
      <c r="O13" s="26">
        <f t="shared" si="2"/>
        <v>0</v>
      </c>
      <c r="P13" s="27">
        <f t="shared" si="3"/>
        <v>0</v>
      </c>
      <c r="R13" s="8" t="str">
        <f t="shared" si="13"/>
        <v>V</v>
      </c>
      <c r="S13" s="151" t="str">
        <f t="shared" si="14"/>
        <v>06 juil 18</v>
      </c>
      <c r="T13" s="12"/>
      <c r="U13" s="12"/>
      <c r="V13" s="12">
        <f t="shared" si="15"/>
        <v>0</v>
      </c>
      <c r="W13" s="13">
        <f t="shared" si="4"/>
        <v>0</v>
      </c>
      <c r="X13" s="14">
        <f t="shared" si="5"/>
        <v>0</v>
      </c>
      <c r="Y13" s="21"/>
      <c r="Z13" s="131" t="str">
        <f t="shared" si="16"/>
        <v>V</v>
      </c>
      <c r="AA13" s="138" t="str">
        <f t="shared" si="17"/>
        <v>06 juil 18</v>
      </c>
      <c r="AB13" s="18"/>
      <c r="AC13" s="18"/>
      <c r="AD13" s="18">
        <f t="shared" si="18"/>
        <v>0</v>
      </c>
      <c r="AE13" s="146">
        <f t="shared" si="6"/>
        <v>0</v>
      </c>
      <c r="AF13" s="20">
        <f t="shared" si="7"/>
        <v>0</v>
      </c>
    </row>
    <row r="14" spans="2:32" s="7" customFormat="1">
      <c r="B14" s="8" t="str">
        <f t="shared" si="8"/>
        <v>S</v>
      </c>
      <c r="C14" s="164" t="str">
        <f>TEXT('Table '!AI12,"jj mmm aa")</f>
        <v>07 juil 18</v>
      </c>
      <c r="D14" s="12"/>
      <c r="E14" s="12"/>
      <c r="F14" s="25">
        <f t="shared" si="9"/>
        <v>0</v>
      </c>
      <c r="G14" s="26">
        <f t="shared" si="0"/>
        <v>0</v>
      </c>
      <c r="H14" s="27">
        <f t="shared" si="1"/>
        <v>0</v>
      </c>
      <c r="I14" s="45"/>
      <c r="J14" s="8" t="str">
        <f t="shared" si="10"/>
        <v>S</v>
      </c>
      <c r="K14" s="151" t="str">
        <f t="shared" si="11"/>
        <v>07 juil 18</v>
      </c>
      <c r="L14" s="12"/>
      <c r="M14" s="12"/>
      <c r="N14" s="25">
        <f t="shared" si="12"/>
        <v>0</v>
      </c>
      <c r="O14" s="26">
        <f t="shared" si="2"/>
        <v>0</v>
      </c>
      <c r="P14" s="27">
        <f t="shared" si="3"/>
        <v>0</v>
      </c>
      <c r="R14" s="8" t="str">
        <f t="shared" si="13"/>
        <v>S</v>
      </c>
      <c r="S14" s="151" t="str">
        <f t="shared" si="14"/>
        <v>07 juil 18</v>
      </c>
      <c r="T14" s="12"/>
      <c r="U14" s="12"/>
      <c r="V14" s="12">
        <f t="shared" si="15"/>
        <v>0</v>
      </c>
      <c r="W14" s="13">
        <f t="shared" si="4"/>
        <v>0</v>
      </c>
      <c r="X14" s="14">
        <f t="shared" si="5"/>
        <v>0</v>
      </c>
      <c r="Y14" s="21"/>
      <c r="Z14" s="131" t="str">
        <f t="shared" si="16"/>
        <v>S</v>
      </c>
      <c r="AA14" s="138" t="str">
        <f t="shared" si="17"/>
        <v>07 juil 18</v>
      </c>
      <c r="AB14" s="18"/>
      <c r="AC14" s="18"/>
      <c r="AD14" s="18">
        <f t="shared" si="18"/>
        <v>0</v>
      </c>
      <c r="AE14" s="146">
        <f t="shared" si="6"/>
        <v>0</v>
      </c>
      <c r="AF14" s="20">
        <f t="shared" si="7"/>
        <v>0</v>
      </c>
    </row>
    <row r="15" spans="2:32" s="7" customFormat="1">
      <c r="B15" s="8" t="str">
        <f t="shared" si="8"/>
        <v>D</v>
      </c>
      <c r="C15" s="164" t="str">
        <f>TEXT('Table '!AI13,"jj mmm aa")</f>
        <v>08 juil 18</v>
      </c>
      <c r="D15" s="12"/>
      <c r="E15" s="12"/>
      <c r="F15" s="25">
        <f t="shared" si="9"/>
        <v>0</v>
      </c>
      <c r="G15" s="26">
        <f t="shared" si="0"/>
        <v>0</v>
      </c>
      <c r="H15" s="27">
        <f t="shared" si="1"/>
        <v>0</v>
      </c>
      <c r="I15" s="45"/>
      <c r="J15" s="8" t="str">
        <f t="shared" si="10"/>
        <v>D</v>
      </c>
      <c r="K15" s="151" t="str">
        <f t="shared" si="11"/>
        <v>08 juil 18</v>
      </c>
      <c r="L15" s="12"/>
      <c r="M15" s="12"/>
      <c r="N15" s="25">
        <f t="shared" si="12"/>
        <v>0</v>
      </c>
      <c r="O15" s="26">
        <f t="shared" si="2"/>
        <v>0</v>
      </c>
      <c r="P15" s="27">
        <f t="shared" si="3"/>
        <v>0</v>
      </c>
      <c r="R15" s="8" t="str">
        <f t="shared" si="13"/>
        <v>D</v>
      </c>
      <c r="S15" s="151" t="str">
        <f t="shared" si="14"/>
        <v>08 juil 18</v>
      </c>
      <c r="T15" s="12"/>
      <c r="U15" s="12"/>
      <c r="V15" s="12">
        <f t="shared" si="15"/>
        <v>0</v>
      </c>
      <c r="W15" s="13">
        <f t="shared" si="4"/>
        <v>0</v>
      </c>
      <c r="X15" s="14">
        <f t="shared" si="5"/>
        <v>0</v>
      </c>
      <c r="Y15" s="21"/>
      <c r="Z15" s="131" t="str">
        <f t="shared" si="16"/>
        <v>D</v>
      </c>
      <c r="AA15" s="138" t="str">
        <f t="shared" si="17"/>
        <v>08 juil 18</v>
      </c>
      <c r="AB15" s="18"/>
      <c r="AC15" s="18"/>
      <c r="AD15" s="18">
        <f t="shared" si="18"/>
        <v>0</v>
      </c>
      <c r="AE15" s="146">
        <f t="shared" si="6"/>
        <v>0</v>
      </c>
      <c r="AF15" s="20">
        <f t="shared" si="7"/>
        <v>0</v>
      </c>
    </row>
    <row r="16" spans="2:32" s="7" customFormat="1">
      <c r="B16" s="8" t="str">
        <f t="shared" si="8"/>
        <v>L</v>
      </c>
      <c r="C16" s="164" t="str">
        <f>TEXT('Table '!AI14,"jj mmm aa")</f>
        <v>09 juil 18</v>
      </c>
      <c r="D16" s="25"/>
      <c r="E16" s="25"/>
      <c r="F16" s="25">
        <f t="shared" si="9"/>
        <v>0</v>
      </c>
      <c r="G16" s="26">
        <f t="shared" si="0"/>
        <v>0</v>
      </c>
      <c r="H16" s="27">
        <f t="shared" si="1"/>
        <v>0</v>
      </c>
      <c r="I16" s="45"/>
      <c r="J16" s="8" t="str">
        <f t="shared" si="10"/>
        <v>L</v>
      </c>
      <c r="K16" s="151" t="str">
        <f t="shared" si="11"/>
        <v>09 juil 18</v>
      </c>
      <c r="L16" s="25"/>
      <c r="M16" s="25"/>
      <c r="N16" s="25">
        <f t="shared" si="12"/>
        <v>0</v>
      </c>
      <c r="O16" s="26">
        <f t="shared" si="2"/>
        <v>0</v>
      </c>
      <c r="P16" s="27">
        <f t="shared" si="3"/>
        <v>0</v>
      </c>
      <c r="R16" s="8" t="str">
        <f t="shared" si="13"/>
        <v>L</v>
      </c>
      <c r="S16" s="151" t="str">
        <f t="shared" si="14"/>
        <v>09 juil 18</v>
      </c>
      <c r="T16" s="12"/>
      <c r="U16" s="12"/>
      <c r="V16" s="12">
        <f t="shared" si="15"/>
        <v>0</v>
      </c>
      <c r="W16" s="13">
        <f t="shared" si="4"/>
        <v>0</v>
      </c>
      <c r="X16" s="14">
        <f t="shared" si="5"/>
        <v>0</v>
      </c>
      <c r="Y16" s="21"/>
      <c r="Z16" s="131" t="str">
        <f t="shared" si="16"/>
        <v>L</v>
      </c>
      <c r="AA16" s="138" t="str">
        <f t="shared" si="17"/>
        <v>09 juil 18</v>
      </c>
      <c r="AB16" s="18"/>
      <c r="AC16" s="18"/>
      <c r="AD16" s="18">
        <f t="shared" si="18"/>
        <v>0</v>
      </c>
      <c r="AE16" s="146">
        <f t="shared" si="6"/>
        <v>0</v>
      </c>
      <c r="AF16" s="20">
        <f t="shared" si="7"/>
        <v>0</v>
      </c>
    </row>
    <row r="17" spans="2:32" s="7" customFormat="1">
      <c r="B17" s="8" t="str">
        <f t="shared" si="8"/>
        <v>M</v>
      </c>
      <c r="C17" s="164" t="str">
        <f>TEXT('Table '!AI15,"jj mmm aa")</f>
        <v>10 juil 18</v>
      </c>
      <c r="D17" s="25"/>
      <c r="E17" s="25"/>
      <c r="F17" s="25">
        <f t="shared" si="9"/>
        <v>0</v>
      </c>
      <c r="G17" s="26">
        <f t="shared" si="0"/>
        <v>0</v>
      </c>
      <c r="H17" s="27">
        <f t="shared" si="1"/>
        <v>0</v>
      </c>
      <c r="I17" s="45"/>
      <c r="J17" s="8" t="str">
        <f t="shared" si="10"/>
        <v>M</v>
      </c>
      <c r="K17" s="151" t="str">
        <f t="shared" si="11"/>
        <v>10 juil 18</v>
      </c>
      <c r="L17" s="25"/>
      <c r="M17" s="25"/>
      <c r="N17" s="25">
        <f>M17-L17</f>
        <v>0</v>
      </c>
      <c r="O17" s="26">
        <f t="shared" si="2"/>
        <v>0</v>
      </c>
      <c r="P17" s="27">
        <f t="shared" si="3"/>
        <v>0</v>
      </c>
      <c r="R17" s="8" t="str">
        <f t="shared" si="13"/>
        <v>M</v>
      </c>
      <c r="S17" s="151" t="str">
        <f t="shared" si="14"/>
        <v>10 juil 18</v>
      </c>
      <c r="T17" s="44"/>
      <c r="U17" s="12"/>
      <c r="V17" s="12">
        <f t="shared" si="15"/>
        <v>0</v>
      </c>
      <c r="W17" s="13">
        <f t="shared" si="4"/>
        <v>0</v>
      </c>
      <c r="X17" s="14">
        <f t="shared" si="5"/>
        <v>0</v>
      </c>
      <c r="Y17" s="21"/>
      <c r="Z17" s="131" t="str">
        <f t="shared" si="16"/>
        <v>M</v>
      </c>
      <c r="AA17" s="138" t="str">
        <f t="shared" si="17"/>
        <v>10 juil 18</v>
      </c>
      <c r="AB17" s="18"/>
      <c r="AC17" s="18"/>
      <c r="AD17" s="18">
        <f t="shared" si="18"/>
        <v>0</v>
      </c>
      <c r="AE17" s="146">
        <f t="shared" si="6"/>
        <v>0</v>
      </c>
      <c r="AF17" s="20">
        <f t="shared" si="7"/>
        <v>0</v>
      </c>
    </row>
    <row r="18" spans="2:32" s="7" customFormat="1">
      <c r="B18" s="8" t="str">
        <f t="shared" si="8"/>
        <v>M</v>
      </c>
      <c r="C18" s="164" t="str">
        <f>TEXT('Table '!AI16,"jj mmm aa")</f>
        <v>11 juil 18</v>
      </c>
      <c r="D18" s="25"/>
      <c r="E18" s="25"/>
      <c r="F18" s="25">
        <f t="shared" si="9"/>
        <v>0</v>
      </c>
      <c r="G18" s="26">
        <f t="shared" si="0"/>
        <v>0</v>
      </c>
      <c r="H18" s="27">
        <f t="shared" si="1"/>
        <v>0</v>
      </c>
      <c r="I18" s="45"/>
      <c r="J18" s="8" t="str">
        <f t="shared" si="10"/>
        <v>M</v>
      </c>
      <c r="K18" s="151" t="str">
        <f t="shared" si="11"/>
        <v>11 juil 18</v>
      </c>
      <c r="L18" s="25"/>
      <c r="M18" s="25"/>
      <c r="N18" s="25">
        <f>M18-L18</f>
        <v>0</v>
      </c>
      <c r="O18" s="26">
        <f t="shared" si="2"/>
        <v>0</v>
      </c>
      <c r="P18" s="27">
        <f t="shared" si="3"/>
        <v>0</v>
      </c>
      <c r="R18" s="8" t="str">
        <f t="shared" si="13"/>
        <v>M</v>
      </c>
      <c r="S18" s="151" t="str">
        <f t="shared" si="14"/>
        <v>11 juil 18</v>
      </c>
      <c r="T18" s="12"/>
      <c r="U18" s="12"/>
      <c r="V18" s="12">
        <f t="shared" si="15"/>
        <v>0</v>
      </c>
      <c r="W18" s="13">
        <f t="shared" si="4"/>
        <v>0</v>
      </c>
      <c r="X18" s="14">
        <f t="shared" si="5"/>
        <v>0</v>
      </c>
      <c r="Y18" s="21"/>
      <c r="Z18" s="131" t="str">
        <f t="shared" si="16"/>
        <v>M</v>
      </c>
      <c r="AA18" s="138" t="str">
        <f t="shared" si="17"/>
        <v>11 juil 18</v>
      </c>
      <c r="AB18" s="18"/>
      <c r="AC18" s="18"/>
      <c r="AD18" s="18">
        <f t="shared" si="18"/>
        <v>0</v>
      </c>
      <c r="AE18" s="146">
        <f t="shared" si="6"/>
        <v>0</v>
      </c>
      <c r="AF18" s="20">
        <f t="shared" si="7"/>
        <v>0</v>
      </c>
    </row>
    <row r="19" spans="2:32" s="7" customFormat="1">
      <c r="B19" s="8" t="str">
        <f t="shared" si="8"/>
        <v>J</v>
      </c>
      <c r="C19" s="164" t="str">
        <f>TEXT('Table '!AI17,"jj mmm aa")</f>
        <v>12 juil 18</v>
      </c>
      <c r="D19" s="25"/>
      <c r="E19" s="25"/>
      <c r="F19" s="25">
        <f t="shared" si="9"/>
        <v>0</v>
      </c>
      <c r="G19" s="26">
        <f t="shared" si="0"/>
        <v>0</v>
      </c>
      <c r="H19" s="27">
        <f t="shared" si="1"/>
        <v>0</v>
      </c>
      <c r="I19" s="45"/>
      <c r="J19" s="8" t="str">
        <f t="shared" si="10"/>
        <v>J</v>
      </c>
      <c r="K19" s="151" t="str">
        <f t="shared" si="11"/>
        <v>12 juil 18</v>
      </c>
      <c r="L19" s="25"/>
      <c r="M19" s="25"/>
      <c r="N19" s="25">
        <f t="shared" si="12"/>
        <v>0</v>
      </c>
      <c r="O19" s="26">
        <f t="shared" si="2"/>
        <v>0</v>
      </c>
      <c r="P19" s="27">
        <f t="shared" si="3"/>
        <v>0</v>
      </c>
      <c r="R19" s="8" t="str">
        <f t="shared" si="13"/>
        <v>J</v>
      </c>
      <c r="S19" s="151" t="str">
        <f t="shared" si="14"/>
        <v>12 juil 18</v>
      </c>
      <c r="T19" s="12"/>
      <c r="U19" s="12"/>
      <c r="V19" s="12">
        <f t="shared" si="15"/>
        <v>0</v>
      </c>
      <c r="W19" s="13">
        <f t="shared" si="4"/>
        <v>0</v>
      </c>
      <c r="X19" s="14">
        <f t="shared" si="5"/>
        <v>0</v>
      </c>
      <c r="Y19" s="21"/>
      <c r="Z19" s="131" t="str">
        <f t="shared" si="16"/>
        <v>J</v>
      </c>
      <c r="AA19" s="138" t="str">
        <f t="shared" si="17"/>
        <v>12 juil 18</v>
      </c>
      <c r="AB19" s="18"/>
      <c r="AC19" s="18"/>
      <c r="AD19" s="18">
        <f t="shared" si="18"/>
        <v>0</v>
      </c>
      <c r="AE19" s="146">
        <f t="shared" si="6"/>
        <v>0</v>
      </c>
      <c r="AF19" s="20">
        <f t="shared" si="7"/>
        <v>0</v>
      </c>
    </row>
    <row r="20" spans="2:32" s="7" customFormat="1">
      <c r="B20" s="8" t="str">
        <f t="shared" si="8"/>
        <v>V</v>
      </c>
      <c r="C20" s="164" t="str">
        <f>TEXT('Table '!AI18,"jj mmm aa")</f>
        <v>13 juil 18</v>
      </c>
      <c r="D20" s="25"/>
      <c r="E20" s="25"/>
      <c r="F20" s="25">
        <f t="shared" si="9"/>
        <v>0</v>
      </c>
      <c r="G20" s="26">
        <f t="shared" si="0"/>
        <v>0</v>
      </c>
      <c r="H20" s="27">
        <f t="shared" si="1"/>
        <v>0</v>
      </c>
      <c r="I20" s="45"/>
      <c r="J20" s="8" t="str">
        <f t="shared" si="10"/>
        <v>V</v>
      </c>
      <c r="K20" s="151" t="str">
        <f t="shared" si="11"/>
        <v>13 juil 18</v>
      </c>
      <c r="L20" s="25"/>
      <c r="M20" s="25"/>
      <c r="N20" s="25">
        <f t="shared" si="12"/>
        <v>0</v>
      </c>
      <c r="O20" s="26">
        <f t="shared" si="2"/>
        <v>0</v>
      </c>
      <c r="P20" s="27">
        <f t="shared" si="3"/>
        <v>0</v>
      </c>
      <c r="R20" s="8" t="str">
        <f t="shared" si="13"/>
        <v>V</v>
      </c>
      <c r="S20" s="151" t="str">
        <f t="shared" si="14"/>
        <v>13 juil 18</v>
      </c>
      <c r="T20" s="12"/>
      <c r="U20" s="12"/>
      <c r="V20" s="12">
        <f t="shared" si="15"/>
        <v>0</v>
      </c>
      <c r="W20" s="13">
        <f t="shared" si="4"/>
        <v>0</v>
      </c>
      <c r="X20" s="14">
        <f t="shared" si="5"/>
        <v>0</v>
      </c>
      <c r="Y20" s="21"/>
      <c r="Z20" s="131" t="str">
        <f t="shared" si="16"/>
        <v>V</v>
      </c>
      <c r="AA20" s="138" t="str">
        <f t="shared" si="17"/>
        <v>13 juil 18</v>
      </c>
      <c r="AB20" s="18"/>
      <c r="AC20" s="18"/>
      <c r="AD20" s="18">
        <f t="shared" si="18"/>
        <v>0</v>
      </c>
      <c r="AE20" s="146">
        <f t="shared" si="6"/>
        <v>0</v>
      </c>
      <c r="AF20" s="20">
        <f t="shared" si="7"/>
        <v>0</v>
      </c>
    </row>
    <row r="21" spans="2:32" s="7" customFormat="1">
      <c r="B21" s="8" t="str">
        <f t="shared" si="8"/>
        <v>S</v>
      </c>
      <c r="C21" s="164" t="str">
        <f>TEXT('Table '!AI19,"jj mmm aa")</f>
        <v>14 juil 18</v>
      </c>
      <c r="D21" s="25"/>
      <c r="E21" s="25"/>
      <c r="F21" s="25">
        <f t="shared" si="9"/>
        <v>0</v>
      </c>
      <c r="G21" s="26">
        <f t="shared" si="0"/>
        <v>0</v>
      </c>
      <c r="H21" s="27">
        <f t="shared" si="1"/>
        <v>0</v>
      </c>
      <c r="I21" s="45"/>
      <c r="J21" s="8" t="str">
        <f t="shared" si="10"/>
        <v>S</v>
      </c>
      <c r="K21" s="151" t="str">
        <f t="shared" si="11"/>
        <v>14 juil 18</v>
      </c>
      <c r="L21" s="25"/>
      <c r="M21" s="25"/>
      <c r="N21" s="25">
        <f t="shared" si="12"/>
        <v>0</v>
      </c>
      <c r="O21" s="26">
        <f t="shared" si="2"/>
        <v>0</v>
      </c>
      <c r="P21" s="27">
        <f t="shared" si="3"/>
        <v>0</v>
      </c>
      <c r="R21" s="8" t="str">
        <f t="shared" si="13"/>
        <v>S</v>
      </c>
      <c r="S21" s="151" t="str">
        <f t="shared" si="14"/>
        <v>14 juil 18</v>
      </c>
      <c r="T21" s="12"/>
      <c r="U21" s="12"/>
      <c r="V21" s="12">
        <f t="shared" si="15"/>
        <v>0</v>
      </c>
      <c r="W21" s="13">
        <f t="shared" si="4"/>
        <v>0</v>
      </c>
      <c r="X21" s="14">
        <f t="shared" si="5"/>
        <v>0</v>
      </c>
      <c r="Y21" s="21"/>
      <c r="Z21" s="131" t="str">
        <f t="shared" si="16"/>
        <v>S</v>
      </c>
      <c r="AA21" s="138" t="str">
        <f t="shared" si="17"/>
        <v>14 juil 18</v>
      </c>
      <c r="AB21" s="18"/>
      <c r="AC21" s="18"/>
      <c r="AD21" s="18">
        <f t="shared" si="18"/>
        <v>0</v>
      </c>
      <c r="AE21" s="146">
        <f t="shared" si="6"/>
        <v>0</v>
      </c>
      <c r="AF21" s="20">
        <f t="shared" si="7"/>
        <v>0</v>
      </c>
    </row>
    <row r="22" spans="2:32" s="7" customFormat="1">
      <c r="B22" s="8" t="str">
        <f t="shared" si="8"/>
        <v>D</v>
      </c>
      <c r="C22" s="164" t="str">
        <f>TEXT('Table '!AI20,"jj mmm aa")</f>
        <v>15 juil 18</v>
      </c>
      <c r="D22" s="25"/>
      <c r="E22" s="25"/>
      <c r="F22" s="25">
        <f t="shared" si="9"/>
        <v>0</v>
      </c>
      <c r="G22" s="26">
        <f t="shared" si="0"/>
        <v>0</v>
      </c>
      <c r="H22" s="27">
        <f t="shared" si="1"/>
        <v>0</v>
      </c>
      <c r="I22" s="45"/>
      <c r="J22" s="8" t="str">
        <f t="shared" si="10"/>
        <v>D</v>
      </c>
      <c r="K22" s="151" t="str">
        <f t="shared" si="11"/>
        <v>15 juil 18</v>
      </c>
      <c r="L22" s="25"/>
      <c r="M22" s="25"/>
      <c r="N22" s="25">
        <f t="shared" si="12"/>
        <v>0</v>
      </c>
      <c r="O22" s="26">
        <f t="shared" si="2"/>
        <v>0</v>
      </c>
      <c r="P22" s="27">
        <f t="shared" si="3"/>
        <v>0</v>
      </c>
      <c r="R22" s="8" t="str">
        <f t="shared" si="13"/>
        <v>D</v>
      </c>
      <c r="S22" s="151" t="str">
        <f t="shared" si="14"/>
        <v>15 juil 18</v>
      </c>
      <c r="T22" s="12"/>
      <c r="U22" s="12"/>
      <c r="V22" s="12">
        <f t="shared" si="15"/>
        <v>0</v>
      </c>
      <c r="W22" s="13">
        <f t="shared" si="4"/>
        <v>0</v>
      </c>
      <c r="X22" s="14">
        <f t="shared" si="5"/>
        <v>0</v>
      </c>
      <c r="Y22" s="21"/>
      <c r="Z22" s="131" t="str">
        <f t="shared" si="16"/>
        <v>D</v>
      </c>
      <c r="AA22" s="138" t="str">
        <f t="shared" si="17"/>
        <v>15 juil 18</v>
      </c>
      <c r="AB22" s="18"/>
      <c r="AC22" s="18"/>
      <c r="AD22" s="18">
        <f t="shared" si="18"/>
        <v>0</v>
      </c>
      <c r="AE22" s="146">
        <f t="shared" si="6"/>
        <v>0</v>
      </c>
      <c r="AF22" s="20">
        <f t="shared" si="7"/>
        <v>0</v>
      </c>
    </row>
    <row r="23" spans="2:32" s="7" customFormat="1">
      <c r="B23" s="8" t="str">
        <f t="shared" si="8"/>
        <v>L</v>
      </c>
      <c r="C23" s="164" t="str">
        <f>TEXT('Table '!AI21,"jj mmm aa")</f>
        <v>16 juil 18</v>
      </c>
      <c r="D23" s="25"/>
      <c r="E23" s="25"/>
      <c r="F23" s="25">
        <f t="shared" si="9"/>
        <v>0</v>
      </c>
      <c r="G23" s="26">
        <f t="shared" si="0"/>
        <v>0</v>
      </c>
      <c r="H23" s="27">
        <f t="shared" si="1"/>
        <v>0</v>
      </c>
      <c r="I23" s="45"/>
      <c r="J23" s="8" t="str">
        <f t="shared" si="10"/>
        <v>L</v>
      </c>
      <c r="K23" s="151" t="str">
        <f t="shared" si="11"/>
        <v>16 juil 18</v>
      </c>
      <c r="L23" s="25"/>
      <c r="M23" s="25"/>
      <c r="N23" s="25">
        <f t="shared" si="12"/>
        <v>0</v>
      </c>
      <c r="O23" s="26">
        <f t="shared" si="2"/>
        <v>0</v>
      </c>
      <c r="P23" s="27">
        <f t="shared" si="3"/>
        <v>0</v>
      </c>
      <c r="R23" s="8" t="str">
        <f t="shared" si="13"/>
        <v>L</v>
      </c>
      <c r="S23" s="151" t="str">
        <f t="shared" si="14"/>
        <v>16 juil 18</v>
      </c>
      <c r="T23" s="12"/>
      <c r="U23" s="12"/>
      <c r="V23" s="12">
        <f t="shared" si="15"/>
        <v>0</v>
      </c>
      <c r="W23" s="13">
        <f t="shared" si="4"/>
        <v>0</v>
      </c>
      <c r="X23" s="14">
        <f t="shared" si="5"/>
        <v>0</v>
      </c>
      <c r="Y23" s="21"/>
      <c r="Z23" s="131" t="str">
        <f t="shared" si="16"/>
        <v>L</v>
      </c>
      <c r="AA23" s="138" t="str">
        <f t="shared" si="17"/>
        <v>16 juil 18</v>
      </c>
      <c r="AB23" s="18"/>
      <c r="AC23" s="18"/>
      <c r="AD23" s="18">
        <f t="shared" si="18"/>
        <v>0</v>
      </c>
      <c r="AE23" s="146">
        <f t="shared" si="6"/>
        <v>0</v>
      </c>
      <c r="AF23" s="20">
        <f t="shared" si="7"/>
        <v>0</v>
      </c>
    </row>
    <row r="24" spans="2:32" s="7" customFormat="1">
      <c r="B24" s="8" t="str">
        <f t="shared" si="8"/>
        <v>M</v>
      </c>
      <c r="C24" s="164" t="str">
        <f>TEXT('Table '!AI22,"jj mmm aa")</f>
        <v>17 juil 18</v>
      </c>
      <c r="D24" s="25"/>
      <c r="E24" s="25"/>
      <c r="F24" s="25">
        <f t="shared" si="9"/>
        <v>0</v>
      </c>
      <c r="G24" s="26">
        <f t="shared" si="0"/>
        <v>0</v>
      </c>
      <c r="H24" s="27">
        <f t="shared" si="1"/>
        <v>0</v>
      </c>
      <c r="I24" s="45"/>
      <c r="J24" s="8" t="str">
        <f t="shared" si="10"/>
        <v>M</v>
      </c>
      <c r="K24" s="151" t="str">
        <f t="shared" si="11"/>
        <v>17 juil 18</v>
      </c>
      <c r="L24" s="25"/>
      <c r="M24" s="25"/>
      <c r="N24" s="25">
        <f t="shared" si="12"/>
        <v>0</v>
      </c>
      <c r="O24" s="26">
        <f t="shared" si="2"/>
        <v>0</v>
      </c>
      <c r="P24" s="27">
        <f t="shared" si="3"/>
        <v>0</v>
      </c>
      <c r="R24" s="8" t="str">
        <f t="shared" si="13"/>
        <v>M</v>
      </c>
      <c r="S24" s="151" t="str">
        <f t="shared" si="14"/>
        <v>17 juil 18</v>
      </c>
      <c r="T24" s="12"/>
      <c r="U24" s="12"/>
      <c r="V24" s="12">
        <f t="shared" si="15"/>
        <v>0</v>
      </c>
      <c r="W24" s="13">
        <f t="shared" si="4"/>
        <v>0</v>
      </c>
      <c r="X24" s="14">
        <f t="shared" si="5"/>
        <v>0</v>
      </c>
      <c r="Y24" s="21"/>
      <c r="Z24" s="131" t="str">
        <f t="shared" si="16"/>
        <v>M</v>
      </c>
      <c r="AA24" s="138" t="str">
        <f t="shared" si="17"/>
        <v>17 juil 18</v>
      </c>
      <c r="AB24" s="18"/>
      <c r="AC24" s="18"/>
      <c r="AD24" s="18">
        <f t="shared" si="18"/>
        <v>0</v>
      </c>
      <c r="AE24" s="146">
        <f t="shared" si="6"/>
        <v>0</v>
      </c>
      <c r="AF24" s="20">
        <f t="shared" si="7"/>
        <v>0</v>
      </c>
    </row>
    <row r="25" spans="2:32" s="7" customFormat="1">
      <c r="B25" s="8" t="str">
        <f t="shared" si="8"/>
        <v>M</v>
      </c>
      <c r="C25" s="164" t="str">
        <f>TEXT('Table '!AI23,"jj mmm aa")</f>
        <v>18 juil 18</v>
      </c>
      <c r="D25" s="12"/>
      <c r="E25" s="12"/>
      <c r="F25" s="25">
        <f t="shared" si="9"/>
        <v>0</v>
      </c>
      <c r="G25" s="26">
        <f t="shared" si="0"/>
        <v>0</v>
      </c>
      <c r="H25" s="27">
        <f t="shared" si="1"/>
        <v>0</v>
      </c>
      <c r="I25" s="45"/>
      <c r="J25" s="8" t="str">
        <f t="shared" si="10"/>
        <v>M</v>
      </c>
      <c r="K25" s="151" t="str">
        <f t="shared" si="11"/>
        <v>18 juil 18</v>
      </c>
      <c r="L25" s="25"/>
      <c r="M25" s="25"/>
      <c r="N25" s="25">
        <f t="shared" si="12"/>
        <v>0</v>
      </c>
      <c r="O25" s="26">
        <f t="shared" si="2"/>
        <v>0</v>
      </c>
      <c r="P25" s="27">
        <f t="shared" si="3"/>
        <v>0</v>
      </c>
      <c r="R25" s="8" t="str">
        <f t="shared" si="13"/>
        <v>M</v>
      </c>
      <c r="S25" s="151" t="str">
        <f t="shared" si="14"/>
        <v>18 juil 18</v>
      </c>
      <c r="T25" s="12"/>
      <c r="U25" s="12"/>
      <c r="V25" s="12">
        <f t="shared" si="15"/>
        <v>0</v>
      </c>
      <c r="W25" s="13">
        <f t="shared" si="4"/>
        <v>0</v>
      </c>
      <c r="X25" s="14">
        <f t="shared" si="5"/>
        <v>0</v>
      </c>
      <c r="Y25" s="21"/>
      <c r="Z25" s="131" t="str">
        <f t="shared" si="16"/>
        <v>M</v>
      </c>
      <c r="AA25" s="138" t="str">
        <f t="shared" si="17"/>
        <v>18 juil 18</v>
      </c>
      <c r="AB25" s="18"/>
      <c r="AC25" s="18"/>
      <c r="AD25" s="18">
        <f t="shared" si="18"/>
        <v>0</v>
      </c>
      <c r="AE25" s="146">
        <f t="shared" si="6"/>
        <v>0</v>
      </c>
      <c r="AF25" s="20">
        <f t="shared" si="7"/>
        <v>0</v>
      </c>
    </row>
    <row r="26" spans="2:32" s="7" customFormat="1">
      <c r="B26" s="8" t="str">
        <f t="shared" si="8"/>
        <v>J</v>
      </c>
      <c r="C26" s="164" t="str">
        <f>TEXT('Table '!AI24,"jj mmm aa")</f>
        <v>19 juil 18</v>
      </c>
      <c r="D26" s="12"/>
      <c r="E26" s="12"/>
      <c r="F26" s="25">
        <f t="shared" si="9"/>
        <v>0</v>
      </c>
      <c r="G26" s="26">
        <f t="shared" si="0"/>
        <v>0</v>
      </c>
      <c r="H26" s="27">
        <f t="shared" si="1"/>
        <v>0</v>
      </c>
      <c r="I26" s="45"/>
      <c r="J26" s="8" t="str">
        <f t="shared" si="10"/>
        <v>J</v>
      </c>
      <c r="K26" s="151" t="str">
        <f t="shared" si="11"/>
        <v>19 juil 18</v>
      </c>
      <c r="L26" s="25"/>
      <c r="M26" s="25"/>
      <c r="N26" s="25">
        <f t="shared" si="12"/>
        <v>0</v>
      </c>
      <c r="O26" s="26">
        <f t="shared" si="2"/>
        <v>0</v>
      </c>
      <c r="P26" s="27">
        <f t="shared" si="3"/>
        <v>0</v>
      </c>
      <c r="R26" s="8" t="str">
        <f t="shared" si="13"/>
        <v>J</v>
      </c>
      <c r="S26" s="151" t="str">
        <f t="shared" si="14"/>
        <v>19 juil 18</v>
      </c>
      <c r="T26" s="12"/>
      <c r="U26" s="12"/>
      <c r="V26" s="12">
        <f t="shared" si="15"/>
        <v>0</v>
      </c>
      <c r="W26" s="13">
        <f t="shared" si="4"/>
        <v>0</v>
      </c>
      <c r="X26" s="14">
        <f t="shared" si="5"/>
        <v>0</v>
      </c>
      <c r="Y26" s="21"/>
      <c r="Z26" s="131" t="str">
        <f t="shared" si="16"/>
        <v>J</v>
      </c>
      <c r="AA26" s="138" t="str">
        <f t="shared" si="17"/>
        <v>19 juil 18</v>
      </c>
      <c r="AB26" s="18"/>
      <c r="AC26" s="18"/>
      <c r="AD26" s="18">
        <f t="shared" si="18"/>
        <v>0</v>
      </c>
      <c r="AE26" s="146">
        <f t="shared" si="6"/>
        <v>0</v>
      </c>
      <c r="AF26" s="20">
        <f t="shared" si="7"/>
        <v>0</v>
      </c>
    </row>
    <row r="27" spans="2:32" s="7" customFormat="1">
      <c r="B27" s="8" t="str">
        <f t="shared" si="8"/>
        <v>V</v>
      </c>
      <c r="C27" s="164" t="str">
        <f>TEXT('Table '!AI25,"jj mmm aa")</f>
        <v>20 juil 18</v>
      </c>
      <c r="D27" s="12"/>
      <c r="E27" s="12"/>
      <c r="F27" s="25">
        <f t="shared" si="9"/>
        <v>0</v>
      </c>
      <c r="G27" s="26">
        <f t="shared" si="0"/>
        <v>0</v>
      </c>
      <c r="H27" s="27">
        <f t="shared" si="1"/>
        <v>0</v>
      </c>
      <c r="I27" s="45"/>
      <c r="J27" s="8" t="str">
        <f t="shared" si="10"/>
        <v>V</v>
      </c>
      <c r="K27" s="151" t="str">
        <f t="shared" si="11"/>
        <v>20 juil 18</v>
      </c>
      <c r="L27" s="25"/>
      <c r="M27" s="25"/>
      <c r="N27" s="25">
        <f t="shared" si="12"/>
        <v>0</v>
      </c>
      <c r="O27" s="26">
        <f t="shared" si="2"/>
        <v>0</v>
      </c>
      <c r="P27" s="27">
        <f t="shared" si="3"/>
        <v>0</v>
      </c>
      <c r="R27" s="8" t="str">
        <f t="shared" si="13"/>
        <v>V</v>
      </c>
      <c r="S27" s="151" t="str">
        <f t="shared" si="14"/>
        <v>20 juil 18</v>
      </c>
      <c r="T27" s="12"/>
      <c r="U27" s="12"/>
      <c r="V27" s="12">
        <f t="shared" si="15"/>
        <v>0</v>
      </c>
      <c r="W27" s="13">
        <f t="shared" si="4"/>
        <v>0</v>
      </c>
      <c r="X27" s="14">
        <f t="shared" si="5"/>
        <v>0</v>
      </c>
      <c r="Y27" s="21"/>
      <c r="Z27" s="131" t="str">
        <f t="shared" si="16"/>
        <v>V</v>
      </c>
      <c r="AA27" s="138" t="str">
        <f t="shared" si="17"/>
        <v>20 juil 18</v>
      </c>
      <c r="AB27" s="18"/>
      <c r="AC27" s="18"/>
      <c r="AD27" s="18">
        <f t="shared" si="18"/>
        <v>0</v>
      </c>
      <c r="AE27" s="146">
        <f t="shared" si="6"/>
        <v>0</v>
      </c>
      <c r="AF27" s="20">
        <f t="shared" si="7"/>
        <v>0</v>
      </c>
    </row>
    <row r="28" spans="2:32" s="7" customFormat="1">
      <c r="B28" s="8" t="str">
        <f t="shared" si="8"/>
        <v>S</v>
      </c>
      <c r="C28" s="164" t="str">
        <f>TEXT('Table '!AI26,"jj mmm aa")</f>
        <v>21 juil 18</v>
      </c>
      <c r="D28" s="12"/>
      <c r="E28" s="12"/>
      <c r="F28" s="25">
        <f t="shared" si="9"/>
        <v>0</v>
      </c>
      <c r="G28" s="26">
        <f t="shared" si="0"/>
        <v>0</v>
      </c>
      <c r="H28" s="27">
        <f t="shared" si="1"/>
        <v>0</v>
      </c>
      <c r="I28" s="45"/>
      <c r="J28" s="8" t="str">
        <f t="shared" si="10"/>
        <v>S</v>
      </c>
      <c r="K28" s="151" t="str">
        <f t="shared" si="11"/>
        <v>21 juil 18</v>
      </c>
      <c r="L28" s="25"/>
      <c r="M28" s="25"/>
      <c r="N28" s="25">
        <f t="shared" si="12"/>
        <v>0</v>
      </c>
      <c r="O28" s="26">
        <f t="shared" si="2"/>
        <v>0</v>
      </c>
      <c r="P28" s="27">
        <f t="shared" si="3"/>
        <v>0</v>
      </c>
      <c r="R28" s="8" t="str">
        <f t="shared" si="13"/>
        <v>S</v>
      </c>
      <c r="S28" s="151" t="str">
        <f t="shared" si="14"/>
        <v>21 juil 18</v>
      </c>
      <c r="T28" s="12"/>
      <c r="U28" s="12"/>
      <c r="V28" s="12">
        <f t="shared" si="15"/>
        <v>0</v>
      </c>
      <c r="W28" s="13">
        <f t="shared" si="4"/>
        <v>0</v>
      </c>
      <c r="X28" s="14">
        <f t="shared" si="5"/>
        <v>0</v>
      </c>
      <c r="Y28" s="21"/>
      <c r="Z28" s="131" t="str">
        <f t="shared" si="16"/>
        <v>S</v>
      </c>
      <c r="AA28" s="138" t="str">
        <f t="shared" si="17"/>
        <v>21 juil 18</v>
      </c>
      <c r="AB28" s="18"/>
      <c r="AC28" s="18"/>
      <c r="AD28" s="18">
        <f t="shared" si="18"/>
        <v>0</v>
      </c>
      <c r="AE28" s="146">
        <f t="shared" si="6"/>
        <v>0</v>
      </c>
      <c r="AF28" s="20">
        <f t="shared" si="7"/>
        <v>0</v>
      </c>
    </row>
    <row r="29" spans="2:32" s="7" customFormat="1">
      <c r="B29" s="8" t="str">
        <f t="shared" si="8"/>
        <v>D</v>
      </c>
      <c r="C29" s="164" t="str">
        <f>TEXT('Table '!AI27,"jj mmm aa")</f>
        <v>22 juil 18</v>
      </c>
      <c r="D29" s="12"/>
      <c r="E29" s="12"/>
      <c r="F29" s="25">
        <f t="shared" si="9"/>
        <v>0</v>
      </c>
      <c r="G29" s="26">
        <f t="shared" si="0"/>
        <v>0</v>
      </c>
      <c r="H29" s="27">
        <f t="shared" si="1"/>
        <v>0</v>
      </c>
      <c r="I29" s="45"/>
      <c r="J29" s="8" t="str">
        <f t="shared" si="10"/>
        <v>D</v>
      </c>
      <c r="K29" s="151" t="str">
        <f t="shared" si="11"/>
        <v>22 juil 18</v>
      </c>
      <c r="L29" s="25"/>
      <c r="M29" s="25"/>
      <c r="N29" s="25">
        <f t="shared" si="12"/>
        <v>0</v>
      </c>
      <c r="O29" s="26">
        <f t="shared" si="2"/>
        <v>0</v>
      </c>
      <c r="P29" s="27">
        <f t="shared" si="3"/>
        <v>0</v>
      </c>
      <c r="R29" s="8" t="str">
        <f t="shared" si="13"/>
        <v>D</v>
      </c>
      <c r="S29" s="151" t="str">
        <f t="shared" si="14"/>
        <v>22 juil 18</v>
      </c>
      <c r="T29" s="12"/>
      <c r="U29" s="12"/>
      <c r="V29" s="12">
        <f t="shared" si="15"/>
        <v>0</v>
      </c>
      <c r="W29" s="13">
        <f t="shared" si="4"/>
        <v>0</v>
      </c>
      <c r="X29" s="14">
        <f t="shared" si="5"/>
        <v>0</v>
      </c>
      <c r="Y29" s="21"/>
      <c r="Z29" s="131" t="str">
        <f t="shared" si="16"/>
        <v>D</v>
      </c>
      <c r="AA29" s="138" t="str">
        <f t="shared" si="17"/>
        <v>22 juil 18</v>
      </c>
      <c r="AB29" s="18"/>
      <c r="AC29" s="18"/>
      <c r="AD29" s="18">
        <f t="shared" si="18"/>
        <v>0</v>
      </c>
      <c r="AE29" s="146">
        <f t="shared" si="6"/>
        <v>0</v>
      </c>
      <c r="AF29" s="20">
        <f t="shared" si="7"/>
        <v>0</v>
      </c>
    </row>
    <row r="30" spans="2:32" s="7" customFormat="1">
      <c r="B30" s="8" t="str">
        <f t="shared" si="8"/>
        <v>L</v>
      </c>
      <c r="C30" s="164" t="str">
        <f>TEXT('Table '!AI28,"jj mmm aa")</f>
        <v>23 juil 18</v>
      </c>
      <c r="D30" s="25"/>
      <c r="E30" s="25"/>
      <c r="F30" s="25">
        <f t="shared" si="9"/>
        <v>0</v>
      </c>
      <c r="G30" s="26">
        <f t="shared" si="0"/>
        <v>0</v>
      </c>
      <c r="H30" s="27">
        <f t="shared" si="1"/>
        <v>0</v>
      </c>
      <c r="I30" s="45"/>
      <c r="J30" s="8" t="str">
        <f t="shared" si="10"/>
        <v>L</v>
      </c>
      <c r="K30" s="151" t="str">
        <f t="shared" si="11"/>
        <v>23 juil 18</v>
      </c>
      <c r="L30" s="25"/>
      <c r="M30" s="25"/>
      <c r="N30" s="25">
        <f t="shared" si="12"/>
        <v>0</v>
      </c>
      <c r="O30" s="26">
        <f t="shared" si="2"/>
        <v>0</v>
      </c>
      <c r="P30" s="27">
        <f t="shared" si="3"/>
        <v>0</v>
      </c>
      <c r="R30" s="8" t="str">
        <f t="shared" si="13"/>
        <v>L</v>
      </c>
      <c r="S30" s="151" t="str">
        <f t="shared" si="14"/>
        <v>23 juil 18</v>
      </c>
      <c r="T30" s="12"/>
      <c r="U30" s="12"/>
      <c r="V30" s="12">
        <f t="shared" si="15"/>
        <v>0</v>
      </c>
      <c r="W30" s="13">
        <f t="shared" si="4"/>
        <v>0</v>
      </c>
      <c r="X30" s="14">
        <f t="shared" si="5"/>
        <v>0</v>
      </c>
      <c r="Y30" s="21"/>
      <c r="Z30" s="131" t="str">
        <f t="shared" si="16"/>
        <v>L</v>
      </c>
      <c r="AA30" s="138" t="str">
        <f t="shared" si="17"/>
        <v>23 juil 18</v>
      </c>
      <c r="AB30" s="18"/>
      <c r="AC30" s="18"/>
      <c r="AD30" s="18">
        <f t="shared" si="18"/>
        <v>0</v>
      </c>
      <c r="AE30" s="146">
        <f t="shared" si="6"/>
        <v>0</v>
      </c>
      <c r="AF30" s="20">
        <f t="shared" si="7"/>
        <v>0</v>
      </c>
    </row>
    <row r="31" spans="2:32" s="7" customFormat="1">
      <c r="B31" s="8" t="str">
        <f t="shared" si="8"/>
        <v>M</v>
      </c>
      <c r="C31" s="164" t="str">
        <f>TEXT('Table '!AI29,"jj mmm aa")</f>
        <v>24 juil 18</v>
      </c>
      <c r="D31" s="25"/>
      <c r="E31" s="25"/>
      <c r="F31" s="25">
        <f t="shared" si="9"/>
        <v>0</v>
      </c>
      <c r="G31" s="26">
        <f t="shared" si="0"/>
        <v>0</v>
      </c>
      <c r="H31" s="27">
        <f t="shared" si="1"/>
        <v>0</v>
      </c>
      <c r="I31" s="45"/>
      <c r="J31" s="8" t="str">
        <f t="shared" si="10"/>
        <v>M</v>
      </c>
      <c r="K31" s="151" t="str">
        <f t="shared" si="11"/>
        <v>24 juil 18</v>
      </c>
      <c r="L31" s="25"/>
      <c r="M31" s="25"/>
      <c r="N31" s="25">
        <f t="shared" si="12"/>
        <v>0</v>
      </c>
      <c r="O31" s="26">
        <f t="shared" si="2"/>
        <v>0</v>
      </c>
      <c r="P31" s="27">
        <f t="shared" si="3"/>
        <v>0</v>
      </c>
      <c r="R31" s="8" t="str">
        <f t="shared" si="13"/>
        <v>M</v>
      </c>
      <c r="S31" s="151" t="str">
        <f t="shared" si="14"/>
        <v>24 juil 18</v>
      </c>
      <c r="T31" s="12"/>
      <c r="U31" s="12"/>
      <c r="V31" s="12">
        <f t="shared" si="15"/>
        <v>0</v>
      </c>
      <c r="W31" s="13">
        <f t="shared" si="4"/>
        <v>0</v>
      </c>
      <c r="X31" s="14">
        <f t="shared" si="5"/>
        <v>0</v>
      </c>
      <c r="Y31" s="21"/>
      <c r="Z31" s="131" t="str">
        <f t="shared" si="16"/>
        <v>M</v>
      </c>
      <c r="AA31" s="138" t="str">
        <f t="shared" si="17"/>
        <v>24 juil 18</v>
      </c>
      <c r="AB31" s="18"/>
      <c r="AC31" s="18"/>
      <c r="AD31" s="18">
        <f t="shared" si="18"/>
        <v>0</v>
      </c>
      <c r="AE31" s="146">
        <f t="shared" si="6"/>
        <v>0</v>
      </c>
      <c r="AF31" s="20">
        <f t="shared" si="7"/>
        <v>0</v>
      </c>
    </row>
    <row r="32" spans="2:32" s="7" customFormat="1">
      <c r="B32" s="8" t="str">
        <f t="shared" si="8"/>
        <v>M</v>
      </c>
      <c r="C32" s="164" t="str">
        <f>TEXT('Table '!AI30,"jj mmm aa")</f>
        <v>25 juil 18</v>
      </c>
      <c r="D32" s="12"/>
      <c r="E32" s="12"/>
      <c r="F32" s="25">
        <f t="shared" si="9"/>
        <v>0</v>
      </c>
      <c r="G32" s="26">
        <f t="shared" si="0"/>
        <v>0</v>
      </c>
      <c r="H32" s="27">
        <f t="shared" si="1"/>
        <v>0</v>
      </c>
      <c r="I32" s="45"/>
      <c r="J32" s="8" t="str">
        <f t="shared" si="10"/>
        <v>M</v>
      </c>
      <c r="K32" s="151" t="str">
        <f t="shared" si="11"/>
        <v>25 juil 18</v>
      </c>
      <c r="L32" s="25"/>
      <c r="M32" s="25"/>
      <c r="N32" s="25">
        <f t="shared" si="12"/>
        <v>0</v>
      </c>
      <c r="O32" s="26">
        <f t="shared" si="2"/>
        <v>0</v>
      </c>
      <c r="P32" s="27">
        <f t="shared" si="3"/>
        <v>0</v>
      </c>
      <c r="R32" s="8" t="str">
        <f t="shared" si="13"/>
        <v>M</v>
      </c>
      <c r="S32" s="151" t="str">
        <f t="shared" si="14"/>
        <v>25 juil 18</v>
      </c>
      <c r="T32" s="12"/>
      <c r="U32" s="12"/>
      <c r="V32" s="12">
        <f t="shared" si="15"/>
        <v>0</v>
      </c>
      <c r="W32" s="13">
        <f t="shared" si="4"/>
        <v>0</v>
      </c>
      <c r="X32" s="14">
        <f t="shared" si="5"/>
        <v>0</v>
      </c>
      <c r="Y32" s="21"/>
      <c r="Z32" s="131" t="str">
        <f t="shared" si="16"/>
        <v>M</v>
      </c>
      <c r="AA32" s="138" t="str">
        <f t="shared" si="17"/>
        <v>25 juil 18</v>
      </c>
      <c r="AB32" s="18"/>
      <c r="AC32" s="18"/>
      <c r="AD32" s="18">
        <f t="shared" si="18"/>
        <v>0</v>
      </c>
      <c r="AE32" s="146">
        <f t="shared" si="6"/>
        <v>0</v>
      </c>
      <c r="AF32" s="20">
        <f t="shared" si="7"/>
        <v>0</v>
      </c>
    </row>
    <row r="33" spans="2:32" s="7" customFormat="1">
      <c r="B33" s="8" t="str">
        <f t="shared" si="8"/>
        <v>J</v>
      </c>
      <c r="C33" s="164" t="str">
        <f>TEXT('Table '!AI31,"jj mmm aa")</f>
        <v>26 juil 18</v>
      </c>
      <c r="D33" s="12"/>
      <c r="E33" s="12"/>
      <c r="F33" s="25">
        <f t="shared" si="9"/>
        <v>0</v>
      </c>
      <c r="G33" s="26">
        <f t="shared" si="0"/>
        <v>0</v>
      </c>
      <c r="H33" s="27">
        <f t="shared" si="1"/>
        <v>0</v>
      </c>
      <c r="I33" s="45"/>
      <c r="J33" s="8" t="str">
        <f t="shared" si="10"/>
        <v>J</v>
      </c>
      <c r="K33" s="151" t="str">
        <f t="shared" si="11"/>
        <v>26 juil 18</v>
      </c>
      <c r="L33" s="12"/>
      <c r="M33" s="12"/>
      <c r="N33" s="25">
        <f t="shared" si="12"/>
        <v>0</v>
      </c>
      <c r="O33" s="26">
        <f t="shared" si="2"/>
        <v>0</v>
      </c>
      <c r="P33" s="27">
        <f t="shared" si="3"/>
        <v>0</v>
      </c>
      <c r="R33" s="8" t="str">
        <f t="shared" si="13"/>
        <v>J</v>
      </c>
      <c r="S33" s="151" t="str">
        <f t="shared" si="14"/>
        <v>26 juil 18</v>
      </c>
      <c r="T33" s="12"/>
      <c r="U33" s="12"/>
      <c r="V33" s="12">
        <f t="shared" si="15"/>
        <v>0</v>
      </c>
      <c r="W33" s="13">
        <f t="shared" si="4"/>
        <v>0</v>
      </c>
      <c r="X33" s="14">
        <f t="shared" si="5"/>
        <v>0</v>
      </c>
      <c r="Y33" s="21"/>
      <c r="Z33" s="131" t="str">
        <f t="shared" si="16"/>
        <v>J</v>
      </c>
      <c r="AA33" s="138" t="str">
        <f t="shared" si="17"/>
        <v>26 juil 18</v>
      </c>
      <c r="AB33" s="18"/>
      <c r="AC33" s="18"/>
      <c r="AD33" s="18">
        <f t="shared" si="18"/>
        <v>0</v>
      </c>
      <c r="AE33" s="146">
        <f t="shared" si="6"/>
        <v>0</v>
      </c>
      <c r="AF33" s="20">
        <f t="shared" si="7"/>
        <v>0</v>
      </c>
    </row>
    <row r="34" spans="2:32" s="7" customFormat="1">
      <c r="B34" s="8" t="str">
        <f t="shared" si="8"/>
        <v>V</v>
      </c>
      <c r="C34" s="164" t="str">
        <f>TEXT('Table '!AI32,"jj mmm aa")</f>
        <v>27 juil 18</v>
      </c>
      <c r="D34" s="12"/>
      <c r="E34" s="12"/>
      <c r="F34" s="25">
        <f t="shared" si="9"/>
        <v>0</v>
      </c>
      <c r="G34" s="26">
        <f t="shared" si="0"/>
        <v>0</v>
      </c>
      <c r="H34" s="27">
        <f t="shared" si="1"/>
        <v>0</v>
      </c>
      <c r="I34" s="45"/>
      <c r="J34" s="8" t="str">
        <f t="shared" si="10"/>
        <v>V</v>
      </c>
      <c r="K34" s="151" t="str">
        <f t="shared" si="11"/>
        <v>27 juil 18</v>
      </c>
      <c r="L34" s="12"/>
      <c r="M34" s="12"/>
      <c r="N34" s="25">
        <f t="shared" si="12"/>
        <v>0</v>
      </c>
      <c r="O34" s="26">
        <f t="shared" si="2"/>
        <v>0</v>
      </c>
      <c r="P34" s="27">
        <f t="shared" si="3"/>
        <v>0</v>
      </c>
      <c r="R34" s="8" t="str">
        <f t="shared" si="13"/>
        <v>V</v>
      </c>
      <c r="S34" s="151" t="str">
        <f t="shared" si="14"/>
        <v>27 juil 18</v>
      </c>
      <c r="T34" s="12"/>
      <c r="U34" s="12"/>
      <c r="V34" s="12">
        <f t="shared" si="15"/>
        <v>0</v>
      </c>
      <c r="W34" s="13">
        <f t="shared" si="4"/>
        <v>0</v>
      </c>
      <c r="X34" s="14">
        <f t="shared" si="5"/>
        <v>0</v>
      </c>
      <c r="Y34" s="21"/>
      <c r="Z34" s="131" t="str">
        <f t="shared" si="16"/>
        <v>V</v>
      </c>
      <c r="AA34" s="138" t="str">
        <f t="shared" si="17"/>
        <v>27 juil 18</v>
      </c>
      <c r="AB34" s="18"/>
      <c r="AC34" s="18"/>
      <c r="AD34" s="18">
        <f t="shared" si="18"/>
        <v>0</v>
      </c>
      <c r="AE34" s="146">
        <f t="shared" si="6"/>
        <v>0</v>
      </c>
      <c r="AF34" s="20">
        <f t="shared" si="7"/>
        <v>0</v>
      </c>
    </row>
    <row r="35" spans="2:32" s="7" customFormat="1">
      <c r="B35" s="8" t="str">
        <f t="shared" si="8"/>
        <v>S</v>
      </c>
      <c r="C35" s="164" t="str">
        <f>TEXT('Table '!AI33,"jj mmm aa")</f>
        <v>28 juil 18</v>
      </c>
      <c r="D35" s="12"/>
      <c r="E35" s="12"/>
      <c r="F35" s="25">
        <f t="shared" si="9"/>
        <v>0</v>
      </c>
      <c r="G35" s="26">
        <f t="shared" si="0"/>
        <v>0</v>
      </c>
      <c r="H35" s="27">
        <f t="shared" si="1"/>
        <v>0</v>
      </c>
      <c r="I35" s="45"/>
      <c r="J35" s="8" t="str">
        <f t="shared" si="10"/>
        <v>S</v>
      </c>
      <c r="K35" s="151" t="str">
        <f t="shared" si="11"/>
        <v>28 juil 18</v>
      </c>
      <c r="L35" s="12"/>
      <c r="M35" s="12"/>
      <c r="N35" s="25">
        <f t="shared" si="12"/>
        <v>0</v>
      </c>
      <c r="O35" s="26">
        <f t="shared" si="2"/>
        <v>0</v>
      </c>
      <c r="P35" s="27">
        <f t="shared" si="3"/>
        <v>0</v>
      </c>
      <c r="R35" s="8" t="str">
        <f t="shared" si="13"/>
        <v>S</v>
      </c>
      <c r="S35" s="151" t="str">
        <f t="shared" si="14"/>
        <v>28 juil 18</v>
      </c>
      <c r="T35" s="12"/>
      <c r="U35" s="12"/>
      <c r="V35" s="12">
        <f t="shared" si="15"/>
        <v>0</v>
      </c>
      <c r="W35" s="13">
        <f t="shared" si="4"/>
        <v>0</v>
      </c>
      <c r="X35" s="14">
        <f t="shared" si="5"/>
        <v>0</v>
      </c>
      <c r="Y35" s="21"/>
      <c r="Z35" s="131" t="str">
        <f t="shared" si="16"/>
        <v>S</v>
      </c>
      <c r="AA35" s="138" t="str">
        <f t="shared" si="17"/>
        <v>28 juil 18</v>
      </c>
      <c r="AB35" s="18"/>
      <c r="AC35" s="18"/>
      <c r="AD35" s="18">
        <f t="shared" si="18"/>
        <v>0</v>
      </c>
      <c r="AE35" s="146">
        <f t="shared" si="6"/>
        <v>0</v>
      </c>
      <c r="AF35" s="20">
        <f t="shared" si="7"/>
        <v>0</v>
      </c>
    </row>
    <row r="36" spans="2:32" s="7" customFormat="1">
      <c r="B36" s="8" t="str">
        <f t="shared" si="8"/>
        <v>D</v>
      </c>
      <c r="C36" s="164" t="str">
        <f>TEXT('Table '!AI34,"jj mmm aa")</f>
        <v>29 juil 18</v>
      </c>
      <c r="D36" s="12"/>
      <c r="E36" s="12"/>
      <c r="F36" s="25">
        <f t="shared" si="9"/>
        <v>0</v>
      </c>
      <c r="G36" s="26">
        <f t="shared" si="0"/>
        <v>0</v>
      </c>
      <c r="H36" s="27">
        <f t="shared" si="1"/>
        <v>0</v>
      </c>
      <c r="I36" s="45"/>
      <c r="J36" s="8" t="str">
        <f t="shared" si="10"/>
        <v>D</v>
      </c>
      <c r="K36" s="151" t="str">
        <f t="shared" si="11"/>
        <v>29 juil 18</v>
      </c>
      <c r="L36" s="12"/>
      <c r="M36" s="12"/>
      <c r="N36" s="25">
        <f t="shared" si="12"/>
        <v>0</v>
      </c>
      <c r="O36" s="26">
        <f t="shared" si="2"/>
        <v>0</v>
      </c>
      <c r="P36" s="27">
        <f t="shared" si="3"/>
        <v>0</v>
      </c>
      <c r="R36" s="8" t="str">
        <f t="shared" si="13"/>
        <v>D</v>
      </c>
      <c r="S36" s="151" t="str">
        <f t="shared" si="14"/>
        <v>29 juil 18</v>
      </c>
      <c r="T36" s="12"/>
      <c r="U36" s="12"/>
      <c r="V36" s="12">
        <f t="shared" si="15"/>
        <v>0</v>
      </c>
      <c r="W36" s="13">
        <f t="shared" si="4"/>
        <v>0</v>
      </c>
      <c r="X36" s="14">
        <f t="shared" si="5"/>
        <v>0</v>
      </c>
      <c r="Y36" s="21"/>
      <c r="Z36" s="131" t="str">
        <f t="shared" si="16"/>
        <v>D</v>
      </c>
      <c r="AA36" s="138" t="str">
        <f t="shared" si="17"/>
        <v>29 juil 18</v>
      </c>
      <c r="AB36" s="18"/>
      <c r="AC36" s="18"/>
      <c r="AD36" s="18">
        <f t="shared" si="18"/>
        <v>0</v>
      </c>
      <c r="AE36" s="146">
        <f t="shared" si="6"/>
        <v>0</v>
      </c>
      <c r="AF36" s="20">
        <f t="shared" si="7"/>
        <v>0</v>
      </c>
    </row>
    <row r="37" spans="2:32" s="7" customFormat="1">
      <c r="B37" s="8" t="str">
        <f t="shared" si="8"/>
        <v>L</v>
      </c>
      <c r="C37" s="164" t="str">
        <f>TEXT('Table '!AI35,"jj mmm aa")</f>
        <v>30 juil 18</v>
      </c>
      <c r="D37" s="25"/>
      <c r="E37" s="25"/>
      <c r="F37" s="25">
        <f t="shared" ref="F37:F38" si="19">E37-D37</f>
        <v>0</v>
      </c>
      <c r="G37" s="26">
        <f t="shared" ref="G37:G38" si="20">IF(F37&gt;=$F$1,1,0)</f>
        <v>0</v>
      </c>
      <c r="H37" s="27">
        <f t="shared" ref="H37:H38" si="21">IF(F37&lt;$F$1,F37,0)</f>
        <v>0</v>
      </c>
      <c r="I37" s="45"/>
      <c r="J37" s="8" t="str">
        <f t="shared" si="10"/>
        <v>L</v>
      </c>
      <c r="K37" s="151" t="str">
        <f t="shared" si="11"/>
        <v>30 juil 18</v>
      </c>
      <c r="L37" s="25"/>
      <c r="M37" s="25"/>
      <c r="N37" s="25">
        <f t="shared" si="12"/>
        <v>0</v>
      </c>
      <c r="O37" s="26">
        <f t="shared" si="2"/>
        <v>0</v>
      </c>
      <c r="P37" s="27">
        <f t="shared" si="3"/>
        <v>0</v>
      </c>
      <c r="R37" s="8" t="str">
        <f t="shared" si="13"/>
        <v>L</v>
      </c>
      <c r="S37" s="151" t="str">
        <f t="shared" si="14"/>
        <v>30 juil 18</v>
      </c>
      <c r="T37" s="12"/>
      <c r="U37" s="12"/>
      <c r="V37" s="12">
        <f t="shared" si="15"/>
        <v>0</v>
      </c>
      <c r="W37" s="13">
        <f t="shared" si="4"/>
        <v>0</v>
      </c>
      <c r="X37" s="14">
        <f t="shared" si="5"/>
        <v>0</v>
      </c>
      <c r="Y37" s="21"/>
      <c r="Z37" s="131" t="str">
        <f t="shared" si="16"/>
        <v>L</v>
      </c>
      <c r="AA37" s="138" t="str">
        <f t="shared" si="17"/>
        <v>30 juil 18</v>
      </c>
      <c r="AB37" s="18"/>
      <c r="AC37" s="18"/>
      <c r="AD37" s="18">
        <f t="shared" si="18"/>
        <v>0</v>
      </c>
      <c r="AE37" s="146">
        <f t="shared" si="6"/>
        <v>0</v>
      </c>
      <c r="AF37" s="20">
        <f t="shared" si="7"/>
        <v>0</v>
      </c>
    </row>
    <row r="38" spans="2:32" s="7" customFormat="1" ht="15.75" thickBot="1">
      <c r="B38" s="8" t="str">
        <f t="shared" si="8"/>
        <v>M</v>
      </c>
      <c r="C38" s="164" t="str">
        <f>TEXT('Table '!AI36,"jj mmm aa")</f>
        <v>31 juil 18</v>
      </c>
      <c r="D38" s="156"/>
      <c r="E38" s="156"/>
      <c r="F38" s="156">
        <f t="shared" si="19"/>
        <v>0</v>
      </c>
      <c r="G38" s="157">
        <f t="shared" si="20"/>
        <v>0</v>
      </c>
      <c r="H38" s="158">
        <f t="shared" si="21"/>
        <v>0</v>
      </c>
      <c r="I38" s="21"/>
      <c r="J38" s="8" t="str">
        <f t="shared" si="10"/>
        <v>M</v>
      </c>
      <c r="K38" s="151" t="str">
        <f t="shared" si="11"/>
        <v>31 juil 18</v>
      </c>
      <c r="L38" s="156"/>
      <c r="M38" s="156"/>
      <c r="N38" s="156">
        <f t="shared" si="12"/>
        <v>0</v>
      </c>
      <c r="O38" s="157">
        <f t="shared" si="2"/>
        <v>0</v>
      </c>
      <c r="P38" s="158">
        <f t="shared" si="3"/>
        <v>0</v>
      </c>
      <c r="Q38" s="21"/>
      <c r="R38" s="8" t="str">
        <f t="shared" si="13"/>
        <v>M</v>
      </c>
      <c r="S38" s="151" t="str">
        <f t="shared" si="14"/>
        <v>31 juil 18</v>
      </c>
      <c r="T38" s="156"/>
      <c r="U38" s="156"/>
      <c r="V38" s="156">
        <f t="shared" si="15"/>
        <v>0</v>
      </c>
      <c r="W38" s="157">
        <f t="shared" si="4"/>
        <v>0</v>
      </c>
      <c r="X38" s="158">
        <f t="shared" si="5"/>
        <v>0</v>
      </c>
      <c r="Y38" s="21"/>
      <c r="Z38" s="131" t="str">
        <f t="shared" si="16"/>
        <v>M</v>
      </c>
      <c r="AA38" s="138" t="str">
        <f t="shared" si="17"/>
        <v>31 juil 18</v>
      </c>
      <c r="AB38" s="156"/>
      <c r="AC38" s="156"/>
      <c r="AD38" s="156">
        <f t="shared" si="18"/>
        <v>0</v>
      </c>
      <c r="AE38" s="157">
        <f t="shared" si="6"/>
        <v>0</v>
      </c>
      <c r="AF38" s="158">
        <f t="shared" si="7"/>
        <v>0</v>
      </c>
    </row>
    <row r="39" spans="2:32" s="7" customFormat="1" ht="19.5" thickTop="1">
      <c r="B39" s="127"/>
      <c r="C39" s="62"/>
      <c r="D39" s="62"/>
      <c r="E39" s="63" t="s">
        <v>9</v>
      </c>
      <c r="F39" s="62"/>
      <c r="G39" s="64">
        <f>SUM(G8:G38)</f>
        <v>0</v>
      </c>
      <c r="H39" s="65"/>
      <c r="J39" s="127"/>
      <c r="K39" s="62"/>
      <c r="L39" s="62"/>
      <c r="M39" s="63" t="s">
        <v>9</v>
      </c>
      <c r="N39" s="62"/>
      <c r="O39" s="64">
        <f>SUM(O8:O38)</f>
        <v>0</v>
      </c>
      <c r="P39" s="65"/>
      <c r="R39" s="127"/>
      <c r="S39" s="62"/>
      <c r="T39" s="62"/>
      <c r="U39" s="63" t="s">
        <v>9</v>
      </c>
      <c r="V39" s="62"/>
      <c r="W39" s="64">
        <f>SUM(W8:W38)</f>
        <v>0</v>
      </c>
      <c r="X39" s="65"/>
      <c r="Z39" s="127"/>
      <c r="AA39" s="62"/>
      <c r="AB39" s="62"/>
      <c r="AC39" s="63" t="s">
        <v>9</v>
      </c>
      <c r="AD39" s="62"/>
      <c r="AE39" s="64">
        <f>SUM(AE8:AE23)</f>
        <v>0</v>
      </c>
      <c r="AF39" s="65"/>
    </row>
    <row r="40" spans="2:32" s="36" customFormat="1" ht="18.75">
      <c r="B40" s="128"/>
      <c r="C40" s="33"/>
      <c r="D40" s="33"/>
      <c r="E40" s="34" t="s">
        <v>10</v>
      </c>
      <c r="F40" s="33"/>
      <c r="G40" s="35"/>
      <c r="H40" s="32">
        <f>SUM(H8:H38)*24</f>
        <v>0</v>
      </c>
      <c r="J40" s="128"/>
      <c r="K40" s="33"/>
      <c r="L40" s="33"/>
      <c r="M40" s="34" t="s">
        <v>10</v>
      </c>
      <c r="N40" s="33"/>
      <c r="O40" s="35"/>
      <c r="P40" s="32">
        <f>SUM(P8:P38)*24</f>
        <v>0</v>
      </c>
      <c r="R40" s="128"/>
      <c r="S40" s="33"/>
      <c r="T40" s="33"/>
      <c r="U40" s="34" t="s">
        <v>10</v>
      </c>
      <c r="V40" s="33"/>
      <c r="W40" s="35"/>
      <c r="X40" s="32">
        <f>SUM(X8:X38)*24</f>
        <v>0</v>
      </c>
      <c r="Z40" s="128"/>
      <c r="AA40" s="33"/>
      <c r="AB40" s="33"/>
      <c r="AC40" s="34" t="s">
        <v>10</v>
      </c>
      <c r="AD40" s="33"/>
      <c r="AE40" s="35"/>
      <c r="AF40" s="32">
        <f>SUM(AF8:AF32)*24</f>
        <v>0</v>
      </c>
    </row>
    <row r="41" spans="2:32" s="7" customFormat="1" ht="15.75" thickBot="1">
      <c r="B41" s="129"/>
      <c r="C41" s="16"/>
      <c r="D41" s="16"/>
      <c r="E41" s="16"/>
      <c r="F41" s="16"/>
      <c r="G41" s="16"/>
      <c r="H41" s="17"/>
      <c r="J41" s="129"/>
      <c r="K41" s="16"/>
      <c r="L41" s="16"/>
      <c r="M41" s="16"/>
      <c r="N41" s="16"/>
      <c r="O41" s="16"/>
      <c r="P41" s="17"/>
      <c r="R41" s="129"/>
      <c r="S41" s="16"/>
      <c r="T41" s="16"/>
      <c r="U41" s="16"/>
      <c r="V41" s="16"/>
      <c r="W41" s="16"/>
      <c r="X41" s="17"/>
      <c r="Z41" s="129"/>
      <c r="AA41" s="16"/>
      <c r="AB41" s="16"/>
      <c r="AC41" s="16"/>
      <c r="AD41" s="16"/>
      <c r="AE41" s="16"/>
      <c r="AF41" s="17"/>
    </row>
    <row r="42" spans="2:32" ht="15.75" thickTop="1"/>
  </sheetData>
  <mergeCells count="4">
    <mergeCell ref="B5:H6"/>
    <mergeCell ref="J5:P6"/>
    <mergeCell ref="R5:X6"/>
    <mergeCell ref="Z5:AF6"/>
  </mergeCells>
  <conditionalFormatting sqref="B8:H38 J8:P38 R8:X38 Z8:AF38">
    <cfRule type="expression" dxfId="17" priority="2">
      <formula>AND($B8="D")</formula>
    </cfRule>
    <cfRule type="expression" dxfId="16" priority="3">
      <formula>AND($B8="S")</formula>
    </cfRule>
    <cfRule type="expression" dxfId="15" priority="1">
      <formula>COUNTIF(Feries,$C8)&gt;0</formula>
    </cfRule>
  </conditionalFormatting>
  <pageMargins left="0.7" right="0.7" top="0.75" bottom="0.75" header="0.3" footer="0.3"/>
  <pageSetup paperSize="9" orientation="portrait" horizontalDpi="4294967294" verticalDpi="4294967294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9">
    <tabColor theme="0" tint="-0.249977111117893"/>
  </sheetPr>
  <dimension ref="B1:AF42"/>
  <sheetViews>
    <sheetView showGridLines="0" workbookViewId="0">
      <selection activeCell="L2" sqref="L2"/>
    </sheetView>
  </sheetViews>
  <sheetFormatPr baseColWidth="10" defaultRowHeight="15"/>
  <cols>
    <col min="1" max="1" width="1.42578125" customWidth="1"/>
    <col min="2" max="2" width="3.7109375" customWidth="1"/>
    <col min="3" max="8" width="9.5703125" style="1" customWidth="1"/>
    <col min="9" max="9" width="1.7109375" customWidth="1"/>
    <col min="10" max="10" width="3.7109375" customWidth="1"/>
    <col min="11" max="16" width="9.5703125" customWidth="1"/>
    <col min="17" max="17" width="1.7109375" customWidth="1"/>
    <col min="18" max="18" width="3.7109375" customWidth="1"/>
    <col min="19" max="24" width="9.5703125" customWidth="1"/>
    <col min="25" max="25" width="1.7109375" customWidth="1"/>
    <col min="26" max="26" width="3.7109375" customWidth="1"/>
    <col min="27" max="32" width="9.5703125" customWidth="1"/>
  </cols>
  <sheetData>
    <row r="1" spans="2:32">
      <c r="C1" s="56" t="s">
        <v>0</v>
      </c>
      <c r="D1" s="56"/>
      <c r="E1" s="56"/>
      <c r="F1" s="57">
        <v>0.33333333333333331</v>
      </c>
      <c r="G1" s="56" t="s">
        <v>1</v>
      </c>
      <c r="H1" s="56"/>
      <c r="L1" s="165"/>
      <c r="M1" s="165"/>
      <c r="N1" s="165"/>
    </row>
    <row r="2" spans="2:32">
      <c r="C2" s="56" t="s">
        <v>2</v>
      </c>
      <c r="D2" s="57">
        <v>0.33333333333333331</v>
      </c>
      <c r="E2" s="56" t="s">
        <v>3</v>
      </c>
      <c r="F2" s="56"/>
      <c r="G2" s="56"/>
      <c r="H2" s="56"/>
      <c r="L2" s="165"/>
      <c r="M2" s="165"/>
      <c r="N2" s="165"/>
    </row>
    <row r="3" spans="2:32">
      <c r="C3" s="56"/>
      <c r="D3" s="56"/>
      <c r="E3" s="56"/>
      <c r="F3" s="56"/>
      <c r="G3" s="56"/>
      <c r="H3" s="56"/>
      <c r="L3" s="165"/>
      <c r="M3" s="165"/>
      <c r="N3" s="165"/>
    </row>
    <row r="4" spans="2:32" ht="15.75" thickBot="1">
      <c r="C4" s="6"/>
    </row>
    <row r="5" spans="2:32" s="7" customFormat="1" ht="15.75" customHeight="1" thickTop="1">
      <c r="B5" s="338">
        <f>'Table '!C3</f>
        <v>1</v>
      </c>
      <c r="C5" s="339"/>
      <c r="D5" s="339" t="e">
        <f>'Table '!#REF!</f>
        <v>#REF!</v>
      </c>
      <c r="E5" s="339"/>
      <c r="F5" s="339"/>
      <c r="G5" s="339"/>
      <c r="H5" s="340"/>
      <c r="J5" s="344">
        <f>'Table '!G3</f>
        <v>2</v>
      </c>
      <c r="K5" s="345"/>
      <c r="L5" s="345" t="e">
        <f>'Table '!#REF!</f>
        <v>#REF!</v>
      </c>
      <c r="M5" s="345"/>
      <c r="N5" s="345"/>
      <c r="O5" s="345"/>
      <c r="P5" s="346"/>
      <c r="R5" s="350">
        <f>'Table '!C6</f>
        <v>3</v>
      </c>
      <c r="S5" s="351"/>
      <c r="T5" s="351" t="e">
        <f>'Table '!#REF!</f>
        <v>#REF!</v>
      </c>
      <c r="U5" s="351"/>
      <c r="V5" s="351"/>
      <c r="W5" s="351"/>
      <c r="X5" s="352"/>
      <c r="Z5" s="356">
        <f>'Table '!G6</f>
        <v>4</v>
      </c>
      <c r="AA5" s="357"/>
      <c r="AB5" s="357" t="e">
        <f>'Table '!#REF!</f>
        <v>#REF!</v>
      </c>
      <c r="AC5" s="357"/>
      <c r="AD5" s="357"/>
      <c r="AE5" s="357"/>
      <c r="AF5" s="358"/>
    </row>
    <row r="6" spans="2:32" s="7" customFormat="1" ht="15" customHeight="1">
      <c r="B6" s="341"/>
      <c r="C6" s="342"/>
      <c r="D6" s="342"/>
      <c r="E6" s="342"/>
      <c r="F6" s="342"/>
      <c r="G6" s="342"/>
      <c r="H6" s="343"/>
      <c r="J6" s="347"/>
      <c r="K6" s="348"/>
      <c r="L6" s="348"/>
      <c r="M6" s="348"/>
      <c r="N6" s="348"/>
      <c r="O6" s="348"/>
      <c r="P6" s="349"/>
      <c r="R6" s="353"/>
      <c r="S6" s="354"/>
      <c r="T6" s="354"/>
      <c r="U6" s="354"/>
      <c r="V6" s="354"/>
      <c r="W6" s="354"/>
      <c r="X6" s="355"/>
      <c r="Z6" s="359"/>
      <c r="AA6" s="360"/>
      <c r="AB6" s="360"/>
      <c r="AC6" s="360"/>
      <c r="AD6" s="360"/>
      <c r="AE6" s="360"/>
      <c r="AF6" s="361"/>
    </row>
    <row r="7" spans="2:32" s="11" customFormat="1" ht="39" customHeight="1">
      <c r="B7" s="8"/>
      <c r="C7" s="15"/>
      <c r="D7" s="9" t="s">
        <v>4</v>
      </c>
      <c r="E7" s="9" t="s">
        <v>5</v>
      </c>
      <c r="F7" s="9" t="s">
        <v>6</v>
      </c>
      <c r="G7" s="9" t="s">
        <v>7</v>
      </c>
      <c r="H7" s="10" t="s">
        <v>8</v>
      </c>
      <c r="J7" s="8"/>
      <c r="K7" s="15"/>
      <c r="L7" s="9" t="s">
        <v>4</v>
      </c>
      <c r="M7" s="9" t="s">
        <v>5</v>
      </c>
      <c r="N7" s="9" t="s">
        <v>6</v>
      </c>
      <c r="O7" s="9" t="s">
        <v>7</v>
      </c>
      <c r="P7" s="10" t="s">
        <v>8</v>
      </c>
      <c r="R7" s="8"/>
      <c r="S7" s="15"/>
      <c r="T7" s="9" t="s">
        <v>4</v>
      </c>
      <c r="U7" s="9" t="s">
        <v>5</v>
      </c>
      <c r="V7" s="9" t="s">
        <v>6</v>
      </c>
      <c r="W7" s="9" t="s">
        <v>7</v>
      </c>
      <c r="X7" s="10" t="s">
        <v>8</v>
      </c>
      <c r="Z7" s="8"/>
      <c r="AA7" s="15"/>
      <c r="AB7" s="9" t="s">
        <v>4</v>
      </c>
      <c r="AC7" s="9" t="s">
        <v>5</v>
      </c>
      <c r="AD7" s="9" t="s">
        <v>6</v>
      </c>
      <c r="AE7" s="9" t="s">
        <v>7</v>
      </c>
      <c r="AF7" s="10" t="s">
        <v>8</v>
      </c>
    </row>
    <row r="8" spans="2:32" s="7" customFormat="1">
      <c r="B8" s="8" t="str">
        <f>CHOOSE(WEEKDAY(C8),"D","L","M","M","J","V","S")</f>
        <v>M</v>
      </c>
      <c r="C8" s="164" t="str">
        <f>TEXT('Table '!AJ6,"jj mmm aa")</f>
        <v>01 août 18</v>
      </c>
      <c r="D8" s="12"/>
      <c r="E8" s="12"/>
      <c r="F8" s="12">
        <f>E8-D8</f>
        <v>0</v>
      </c>
      <c r="G8" s="13">
        <f t="shared" ref="G8:G36" si="0">IF(F8&gt;=$F$1,1,0)</f>
        <v>0</v>
      </c>
      <c r="H8" s="14">
        <f t="shared" ref="H8:H36" si="1">IF(F8&lt;$F$1,F8,0)</f>
        <v>0</v>
      </c>
      <c r="J8" s="8" t="str">
        <f>CHOOSE(WEEKDAY(C8),"D","L","M","M","J","V","S")</f>
        <v>M</v>
      </c>
      <c r="K8" s="151" t="str">
        <f>TEXT('Table '!AJ6,"jj mmm aa")</f>
        <v>01 août 18</v>
      </c>
      <c r="L8" s="12"/>
      <c r="M8" s="12"/>
      <c r="N8" s="12">
        <f>M8-L8</f>
        <v>0</v>
      </c>
      <c r="O8" s="13">
        <f t="shared" ref="O8:O38" si="2">IF(N8&gt;=$F$1,1,0)</f>
        <v>0</v>
      </c>
      <c r="P8" s="14">
        <f t="shared" ref="P8:P38" si="3">IF(N8&lt;$F$1,N8,0)</f>
        <v>0</v>
      </c>
      <c r="R8" s="8" t="str">
        <f>CHOOSE(WEEKDAY(C8),"D","L","M","M","J","V","S")</f>
        <v>M</v>
      </c>
      <c r="S8" s="151" t="str">
        <f>TEXT('Table '!AJ6,"jj mmm aa")</f>
        <v>01 août 18</v>
      </c>
      <c r="T8" s="12"/>
      <c r="U8" s="12"/>
      <c r="V8" s="12">
        <f>U8-T8</f>
        <v>0</v>
      </c>
      <c r="W8" s="13">
        <f t="shared" ref="W8:W38" si="4">IF(V8&gt;=$F$1,1,0)</f>
        <v>0</v>
      </c>
      <c r="X8" s="14">
        <f t="shared" ref="X8:X38" si="5">IF(V8&lt;$F$1,V8,0)</f>
        <v>0</v>
      </c>
      <c r="Y8" s="21"/>
      <c r="Z8" s="131" t="str">
        <f>CHOOSE(WEEKDAY(C8),"D","L","M","M","J","V","S")</f>
        <v>M</v>
      </c>
      <c r="AA8" s="138" t="str">
        <f>TEXT('Table '!AJ6,"jj mmm aa")</f>
        <v>01 août 18</v>
      </c>
      <c r="AB8" s="18"/>
      <c r="AC8" s="18"/>
      <c r="AD8" s="18">
        <f>AC8-AB8</f>
        <v>0</v>
      </c>
      <c r="AE8" s="146">
        <f t="shared" ref="AE8:AE38" si="6">IF(AD8&gt;=$F$1,1,0)</f>
        <v>0</v>
      </c>
      <c r="AF8" s="20">
        <f t="shared" ref="AF8:AF38" si="7">IF(AD8&lt;$F$1,AD8,0)</f>
        <v>0</v>
      </c>
    </row>
    <row r="9" spans="2:32" s="7" customFormat="1">
      <c r="B9" s="8" t="str">
        <f t="shared" ref="B9:B38" si="8">CHOOSE(WEEKDAY(C9),"D","L","M","M","J","V","S")</f>
        <v>J</v>
      </c>
      <c r="C9" s="164" t="str">
        <f>TEXT('Table '!AJ7,"jj mmm aa")</f>
        <v>02 août 18</v>
      </c>
      <c r="D9" s="12"/>
      <c r="E9" s="12"/>
      <c r="F9" s="12">
        <f t="shared" ref="F9:F36" si="9">E9-D9</f>
        <v>0</v>
      </c>
      <c r="G9" s="13">
        <f t="shared" si="0"/>
        <v>0</v>
      </c>
      <c r="H9" s="14">
        <f t="shared" si="1"/>
        <v>0</v>
      </c>
      <c r="J9" s="8" t="str">
        <f t="shared" ref="J9:J38" si="10">CHOOSE(WEEKDAY(C9),"D","L","M","M","J","V","S")</f>
        <v>J</v>
      </c>
      <c r="K9" s="151" t="str">
        <f>TEXT('Table '!AJ7,"jj mmm aa")</f>
        <v>02 août 18</v>
      </c>
      <c r="L9" s="12"/>
      <c r="M9" s="12"/>
      <c r="N9" s="12">
        <f t="shared" ref="N9:N38" si="11">M9-L9</f>
        <v>0</v>
      </c>
      <c r="O9" s="13">
        <f t="shared" si="2"/>
        <v>0</v>
      </c>
      <c r="P9" s="14">
        <f t="shared" si="3"/>
        <v>0</v>
      </c>
      <c r="R9" s="8" t="str">
        <f t="shared" ref="R9:R38" si="12">CHOOSE(WEEKDAY(C9),"D","L","M","M","J","V","S")</f>
        <v>J</v>
      </c>
      <c r="S9" s="151" t="str">
        <f>TEXT('Table '!AJ7,"jj mmm aa")</f>
        <v>02 août 18</v>
      </c>
      <c r="T9" s="12"/>
      <c r="U9" s="12"/>
      <c r="V9" s="12">
        <f t="shared" ref="V9:V38" si="13">U9-T9</f>
        <v>0</v>
      </c>
      <c r="W9" s="13">
        <f t="shared" si="4"/>
        <v>0</v>
      </c>
      <c r="X9" s="14">
        <f t="shared" si="5"/>
        <v>0</v>
      </c>
      <c r="Y9" s="21"/>
      <c r="Z9" s="131" t="str">
        <f t="shared" ref="Z9:Z38" si="14">CHOOSE(WEEKDAY(C9),"D","L","M","M","J","V","S")</f>
        <v>J</v>
      </c>
      <c r="AA9" s="138" t="str">
        <f>TEXT('Table '!AJ7,"jj mmm aa")</f>
        <v>02 août 18</v>
      </c>
      <c r="AB9" s="18"/>
      <c r="AC9" s="18"/>
      <c r="AD9" s="18">
        <f t="shared" ref="AD9:AD38" si="15">AC9-AB9</f>
        <v>0</v>
      </c>
      <c r="AE9" s="146">
        <f t="shared" si="6"/>
        <v>0</v>
      </c>
      <c r="AF9" s="20">
        <f t="shared" si="7"/>
        <v>0</v>
      </c>
    </row>
    <row r="10" spans="2:32" s="7" customFormat="1">
      <c r="B10" s="8" t="str">
        <f t="shared" si="8"/>
        <v>V</v>
      </c>
      <c r="C10" s="164" t="str">
        <f>TEXT('Table '!AJ8,"jj mmm aa")</f>
        <v>03 août 18</v>
      </c>
      <c r="D10" s="12"/>
      <c r="E10" s="12"/>
      <c r="F10" s="12">
        <f t="shared" si="9"/>
        <v>0</v>
      </c>
      <c r="G10" s="13">
        <f t="shared" si="0"/>
        <v>0</v>
      </c>
      <c r="H10" s="14">
        <f t="shared" si="1"/>
        <v>0</v>
      </c>
      <c r="J10" s="8" t="str">
        <f t="shared" si="10"/>
        <v>V</v>
      </c>
      <c r="K10" s="151" t="str">
        <f>TEXT('Table '!AJ8,"jj mmm aa")</f>
        <v>03 août 18</v>
      </c>
      <c r="L10" s="12"/>
      <c r="M10" s="12"/>
      <c r="N10" s="12">
        <f t="shared" si="11"/>
        <v>0</v>
      </c>
      <c r="O10" s="13">
        <f t="shared" si="2"/>
        <v>0</v>
      </c>
      <c r="P10" s="14">
        <f t="shared" si="3"/>
        <v>0</v>
      </c>
      <c r="R10" s="8" t="str">
        <f t="shared" si="12"/>
        <v>V</v>
      </c>
      <c r="S10" s="151" t="str">
        <f>TEXT('Table '!AJ8,"jj mmm aa")</f>
        <v>03 août 18</v>
      </c>
      <c r="T10" s="12"/>
      <c r="U10" s="12"/>
      <c r="V10" s="12">
        <f t="shared" si="13"/>
        <v>0</v>
      </c>
      <c r="W10" s="13">
        <f t="shared" si="4"/>
        <v>0</v>
      </c>
      <c r="X10" s="14">
        <f t="shared" si="5"/>
        <v>0</v>
      </c>
      <c r="Y10" s="21"/>
      <c r="Z10" s="131" t="str">
        <f t="shared" si="14"/>
        <v>V</v>
      </c>
      <c r="AA10" s="138" t="str">
        <f>TEXT('Table '!AJ8,"jj mmm aa")</f>
        <v>03 août 18</v>
      </c>
      <c r="AB10" s="18"/>
      <c r="AC10" s="18"/>
      <c r="AD10" s="18">
        <f t="shared" si="15"/>
        <v>0</v>
      </c>
      <c r="AE10" s="146">
        <f t="shared" si="6"/>
        <v>0</v>
      </c>
      <c r="AF10" s="20">
        <f t="shared" si="7"/>
        <v>0</v>
      </c>
    </row>
    <row r="11" spans="2:32" s="7" customFormat="1">
      <c r="B11" s="8" t="str">
        <f t="shared" si="8"/>
        <v>S</v>
      </c>
      <c r="C11" s="164" t="str">
        <f>TEXT('Table '!AJ9,"jj mmm aa")</f>
        <v>04 août 18</v>
      </c>
      <c r="D11" s="12"/>
      <c r="E11" s="12"/>
      <c r="F11" s="25">
        <f t="shared" si="9"/>
        <v>0</v>
      </c>
      <c r="G11" s="26">
        <f t="shared" si="0"/>
        <v>0</v>
      </c>
      <c r="H11" s="27">
        <f t="shared" si="1"/>
        <v>0</v>
      </c>
      <c r="I11" s="45"/>
      <c r="J11" s="8" t="str">
        <f t="shared" si="10"/>
        <v>S</v>
      </c>
      <c r="K11" s="151" t="str">
        <f>TEXT('Table '!AJ9,"jj mmm aa")</f>
        <v>04 août 18</v>
      </c>
      <c r="L11" s="25"/>
      <c r="M11" s="25"/>
      <c r="N11" s="25">
        <f>M11-L11</f>
        <v>0</v>
      </c>
      <c r="O11" s="26">
        <f t="shared" si="2"/>
        <v>0</v>
      </c>
      <c r="P11" s="27">
        <f t="shared" si="3"/>
        <v>0</v>
      </c>
      <c r="R11" s="8" t="str">
        <f t="shared" si="12"/>
        <v>S</v>
      </c>
      <c r="S11" s="151" t="str">
        <f>TEXT('Table '!AJ9,"jj mmm aa")</f>
        <v>04 août 18</v>
      </c>
      <c r="T11" s="12"/>
      <c r="U11" s="12"/>
      <c r="V11" s="12">
        <f t="shared" si="13"/>
        <v>0</v>
      </c>
      <c r="W11" s="13">
        <f t="shared" si="4"/>
        <v>0</v>
      </c>
      <c r="X11" s="14">
        <f t="shared" si="5"/>
        <v>0</v>
      </c>
      <c r="Y11" s="21"/>
      <c r="Z11" s="131" t="str">
        <f t="shared" si="14"/>
        <v>S</v>
      </c>
      <c r="AA11" s="138" t="str">
        <f>TEXT('Table '!AJ9,"jj mmm aa")</f>
        <v>04 août 18</v>
      </c>
      <c r="AB11" s="18"/>
      <c r="AC11" s="18"/>
      <c r="AD11" s="18">
        <f t="shared" si="15"/>
        <v>0</v>
      </c>
      <c r="AE11" s="146">
        <f t="shared" si="6"/>
        <v>0</v>
      </c>
      <c r="AF11" s="20">
        <f t="shared" si="7"/>
        <v>0</v>
      </c>
    </row>
    <row r="12" spans="2:32" s="7" customFormat="1">
      <c r="B12" s="8" t="str">
        <f t="shared" si="8"/>
        <v>D</v>
      </c>
      <c r="C12" s="164" t="str">
        <f>TEXT('Table '!AJ10,"jj mmm aa")</f>
        <v>05 août 18</v>
      </c>
      <c r="D12" s="12"/>
      <c r="E12" s="12"/>
      <c r="F12" s="25">
        <f t="shared" si="9"/>
        <v>0</v>
      </c>
      <c r="G12" s="26">
        <f t="shared" si="0"/>
        <v>0</v>
      </c>
      <c r="H12" s="27">
        <f t="shared" si="1"/>
        <v>0</v>
      </c>
      <c r="I12" s="45"/>
      <c r="J12" s="8" t="str">
        <f t="shared" si="10"/>
        <v>D</v>
      </c>
      <c r="K12" s="151" t="str">
        <f>TEXT('Table '!AJ10,"jj mmm aa")</f>
        <v>05 août 18</v>
      </c>
      <c r="L12" s="12"/>
      <c r="M12" s="12"/>
      <c r="N12" s="25">
        <f>M12-L12</f>
        <v>0</v>
      </c>
      <c r="O12" s="26">
        <f t="shared" si="2"/>
        <v>0</v>
      </c>
      <c r="P12" s="27">
        <f t="shared" si="3"/>
        <v>0</v>
      </c>
      <c r="R12" s="8" t="str">
        <f t="shared" si="12"/>
        <v>D</v>
      </c>
      <c r="S12" s="151" t="str">
        <f>TEXT('Table '!AJ10,"jj mmm aa")</f>
        <v>05 août 18</v>
      </c>
      <c r="T12" s="12"/>
      <c r="U12" s="12"/>
      <c r="V12" s="12">
        <f t="shared" si="13"/>
        <v>0</v>
      </c>
      <c r="W12" s="13">
        <f t="shared" si="4"/>
        <v>0</v>
      </c>
      <c r="X12" s="14">
        <f t="shared" si="5"/>
        <v>0</v>
      </c>
      <c r="Y12" s="21"/>
      <c r="Z12" s="131" t="str">
        <f t="shared" si="14"/>
        <v>D</v>
      </c>
      <c r="AA12" s="138" t="str">
        <f>TEXT('Table '!AJ10,"jj mmm aa")</f>
        <v>05 août 18</v>
      </c>
      <c r="AB12" s="18"/>
      <c r="AC12" s="18"/>
      <c r="AD12" s="18">
        <f t="shared" si="15"/>
        <v>0</v>
      </c>
      <c r="AE12" s="146">
        <f t="shared" si="6"/>
        <v>0</v>
      </c>
      <c r="AF12" s="20">
        <f t="shared" si="7"/>
        <v>0</v>
      </c>
    </row>
    <row r="13" spans="2:32" s="7" customFormat="1">
      <c r="B13" s="8" t="str">
        <f t="shared" si="8"/>
        <v>L</v>
      </c>
      <c r="C13" s="164" t="str">
        <f>TEXT('Table '!AJ11,"jj mmm aa")</f>
        <v>06 août 18</v>
      </c>
      <c r="D13" s="12"/>
      <c r="E13" s="12"/>
      <c r="F13" s="25">
        <f t="shared" si="9"/>
        <v>0</v>
      </c>
      <c r="G13" s="26">
        <f t="shared" si="0"/>
        <v>0</v>
      </c>
      <c r="H13" s="27">
        <f t="shared" si="1"/>
        <v>0</v>
      </c>
      <c r="I13" s="45"/>
      <c r="J13" s="8" t="str">
        <f t="shared" si="10"/>
        <v>L</v>
      </c>
      <c r="K13" s="151" t="str">
        <f>TEXT('Table '!AJ11,"jj mmm aa")</f>
        <v>06 août 18</v>
      </c>
      <c r="L13" s="12"/>
      <c r="M13" s="12"/>
      <c r="N13" s="25">
        <f t="shared" si="11"/>
        <v>0</v>
      </c>
      <c r="O13" s="26">
        <f t="shared" si="2"/>
        <v>0</v>
      </c>
      <c r="P13" s="27">
        <f t="shared" si="3"/>
        <v>0</v>
      </c>
      <c r="R13" s="8" t="str">
        <f t="shared" si="12"/>
        <v>L</v>
      </c>
      <c r="S13" s="151" t="str">
        <f>TEXT('Table '!AJ11,"jj mmm aa")</f>
        <v>06 août 18</v>
      </c>
      <c r="T13" s="12"/>
      <c r="U13" s="12"/>
      <c r="V13" s="12">
        <f t="shared" si="13"/>
        <v>0</v>
      </c>
      <c r="W13" s="13">
        <f t="shared" si="4"/>
        <v>0</v>
      </c>
      <c r="X13" s="14">
        <f t="shared" si="5"/>
        <v>0</v>
      </c>
      <c r="Y13" s="21"/>
      <c r="Z13" s="131" t="str">
        <f t="shared" si="14"/>
        <v>L</v>
      </c>
      <c r="AA13" s="138" t="str">
        <f>TEXT('Table '!AJ11,"jj mmm aa")</f>
        <v>06 août 18</v>
      </c>
      <c r="AB13" s="18"/>
      <c r="AC13" s="18"/>
      <c r="AD13" s="18">
        <f t="shared" si="15"/>
        <v>0</v>
      </c>
      <c r="AE13" s="146">
        <f t="shared" si="6"/>
        <v>0</v>
      </c>
      <c r="AF13" s="20">
        <f t="shared" si="7"/>
        <v>0</v>
      </c>
    </row>
    <row r="14" spans="2:32" s="7" customFormat="1">
      <c r="B14" s="8" t="str">
        <f t="shared" si="8"/>
        <v>M</v>
      </c>
      <c r="C14" s="164" t="str">
        <f>TEXT('Table '!AJ12,"jj mmm aa")</f>
        <v>07 août 18</v>
      </c>
      <c r="D14" s="12"/>
      <c r="E14" s="12"/>
      <c r="F14" s="25">
        <f t="shared" si="9"/>
        <v>0</v>
      </c>
      <c r="G14" s="26">
        <f t="shared" si="0"/>
        <v>0</v>
      </c>
      <c r="H14" s="27">
        <f t="shared" si="1"/>
        <v>0</v>
      </c>
      <c r="I14" s="45"/>
      <c r="J14" s="8" t="str">
        <f t="shared" si="10"/>
        <v>M</v>
      </c>
      <c r="K14" s="151" t="str">
        <f>TEXT('Table '!AJ12,"jj mmm aa")</f>
        <v>07 août 18</v>
      </c>
      <c r="L14" s="12"/>
      <c r="M14" s="12"/>
      <c r="N14" s="25">
        <f t="shared" si="11"/>
        <v>0</v>
      </c>
      <c r="O14" s="26">
        <f t="shared" si="2"/>
        <v>0</v>
      </c>
      <c r="P14" s="27">
        <f t="shared" si="3"/>
        <v>0</v>
      </c>
      <c r="R14" s="8" t="str">
        <f t="shared" si="12"/>
        <v>M</v>
      </c>
      <c r="S14" s="151" t="str">
        <f>TEXT('Table '!AJ12,"jj mmm aa")</f>
        <v>07 août 18</v>
      </c>
      <c r="T14" s="12"/>
      <c r="U14" s="12"/>
      <c r="V14" s="12">
        <f t="shared" si="13"/>
        <v>0</v>
      </c>
      <c r="W14" s="13">
        <f t="shared" si="4"/>
        <v>0</v>
      </c>
      <c r="X14" s="14">
        <f t="shared" si="5"/>
        <v>0</v>
      </c>
      <c r="Y14" s="21"/>
      <c r="Z14" s="131" t="str">
        <f t="shared" si="14"/>
        <v>M</v>
      </c>
      <c r="AA14" s="138" t="str">
        <f>TEXT('Table '!AJ12,"jj mmm aa")</f>
        <v>07 août 18</v>
      </c>
      <c r="AB14" s="18"/>
      <c r="AC14" s="18"/>
      <c r="AD14" s="18">
        <f t="shared" si="15"/>
        <v>0</v>
      </c>
      <c r="AE14" s="146">
        <f t="shared" si="6"/>
        <v>0</v>
      </c>
      <c r="AF14" s="20">
        <f t="shared" si="7"/>
        <v>0</v>
      </c>
    </row>
    <row r="15" spans="2:32" s="7" customFormat="1">
      <c r="B15" s="8" t="str">
        <f t="shared" si="8"/>
        <v>M</v>
      </c>
      <c r="C15" s="164" t="str">
        <f>TEXT('Table '!AJ13,"jj mmm aa")</f>
        <v>08 août 18</v>
      </c>
      <c r="D15" s="12"/>
      <c r="E15" s="12"/>
      <c r="F15" s="25">
        <f t="shared" si="9"/>
        <v>0</v>
      </c>
      <c r="G15" s="26">
        <f t="shared" si="0"/>
        <v>0</v>
      </c>
      <c r="H15" s="27">
        <f t="shared" si="1"/>
        <v>0</v>
      </c>
      <c r="I15" s="45"/>
      <c r="J15" s="8" t="str">
        <f t="shared" si="10"/>
        <v>M</v>
      </c>
      <c r="K15" s="151" t="str">
        <f>TEXT('Table '!AJ13,"jj mmm aa")</f>
        <v>08 août 18</v>
      </c>
      <c r="L15" s="12"/>
      <c r="M15" s="12"/>
      <c r="N15" s="25">
        <f t="shared" si="11"/>
        <v>0</v>
      </c>
      <c r="O15" s="26">
        <f t="shared" si="2"/>
        <v>0</v>
      </c>
      <c r="P15" s="27">
        <f t="shared" si="3"/>
        <v>0</v>
      </c>
      <c r="R15" s="8" t="str">
        <f t="shared" si="12"/>
        <v>M</v>
      </c>
      <c r="S15" s="151" t="str">
        <f>TEXT('Table '!AJ13,"jj mmm aa")</f>
        <v>08 août 18</v>
      </c>
      <c r="T15" s="12"/>
      <c r="U15" s="12"/>
      <c r="V15" s="12">
        <f t="shared" si="13"/>
        <v>0</v>
      </c>
      <c r="W15" s="13">
        <f t="shared" si="4"/>
        <v>0</v>
      </c>
      <c r="X15" s="14">
        <f t="shared" si="5"/>
        <v>0</v>
      </c>
      <c r="Y15" s="21"/>
      <c r="Z15" s="131" t="str">
        <f t="shared" si="14"/>
        <v>M</v>
      </c>
      <c r="AA15" s="138" t="str">
        <f>TEXT('Table '!AJ13,"jj mmm aa")</f>
        <v>08 août 18</v>
      </c>
      <c r="AB15" s="18"/>
      <c r="AC15" s="18"/>
      <c r="AD15" s="18">
        <f t="shared" si="15"/>
        <v>0</v>
      </c>
      <c r="AE15" s="146">
        <f t="shared" si="6"/>
        <v>0</v>
      </c>
      <c r="AF15" s="20">
        <f t="shared" si="7"/>
        <v>0</v>
      </c>
    </row>
    <row r="16" spans="2:32" s="7" customFormat="1">
      <c r="B16" s="8" t="str">
        <f t="shared" si="8"/>
        <v>J</v>
      </c>
      <c r="C16" s="164" t="str">
        <f>TEXT('Table '!AJ14,"jj mmm aa")</f>
        <v>09 août 18</v>
      </c>
      <c r="D16" s="25"/>
      <c r="E16" s="25"/>
      <c r="F16" s="25">
        <f t="shared" si="9"/>
        <v>0</v>
      </c>
      <c r="G16" s="26">
        <f t="shared" si="0"/>
        <v>0</v>
      </c>
      <c r="H16" s="27">
        <f t="shared" si="1"/>
        <v>0</v>
      </c>
      <c r="I16" s="45"/>
      <c r="J16" s="8" t="str">
        <f t="shared" si="10"/>
        <v>J</v>
      </c>
      <c r="K16" s="151" t="str">
        <f>TEXT('Table '!AJ14,"jj mmm aa")</f>
        <v>09 août 18</v>
      </c>
      <c r="L16" s="25"/>
      <c r="M16" s="25"/>
      <c r="N16" s="25">
        <f t="shared" si="11"/>
        <v>0</v>
      </c>
      <c r="O16" s="26">
        <f t="shared" si="2"/>
        <v>0</v>
      </c>
      <c r="P16" s="27">
        <f t="shared" si="3"/>
        <v>0</v>
      </c>
      <c r="R16" s="8" t="str">
        <f t="shared" si="12"/>
        <v>J</v>
      </c>
      <c r="S16" s="151" t="str">
        <f>TEXT('Table '!AJ14,"jj mmm aa")</f>
        <v>09 août 18</v>
      </c>
      <c r="T16" s="12"/>
      <c r="U16" s="12"/>
      <c r="V16" s="12">
        <f t="shared" si="13"/>
        <v>0</v>
      </c>
      <c r="W16" s="13">
        <f t="shared" si="4"/>
        <v>0</v>
      </c>
      <c r="X16" s="14">
        <f t="shared" si="5"/>
        <v>0</v>
      </c>
      <c r="Y16" s="21"/>
      <c r="Z16" s="131" t="str">
        <f t="shared" si="14"/>
        <v>J</v>
      </c>
      <c r="AA16" s="138" t="str">
        <f>TEXT('Table '!AJ14,"jj mmm aa")</f>
        <v>09 août 18</v>
      </c>
      <c r="AB16" s="18"/>
      <c r="AC16" s="18"/>
      <c r="AD16" s="18">
        <f t="shared" si="15"/>
        <v>0</v>
      </c>
      <c r="AE16" s="146">
        <f t="shared" si="6"/>
        <v>0</v>
      </c>
      <c r="AF16" s="20">
        <f t="shared" si="7"/>
        <v>0</v>
      </c>
    </row>
    <row r="17" spans="2:32" s="7" customFormat="1">
      <c r="B17" s="8" t="str">
        <f t="shared" si="8"/>
        <v>V</v>
      </c>
      <c r="C17" s="164" t="str">
        <f>TEXT('Table '!AJ15,"jj mmm aa")</f>
        <v>10 août 18</v>
      </c>
      <c r="D17" s="25"/>
      <c r="E17" s="25"/>
      <c r="F17" s="25">
        <f t="shared" si="9"/>
        <v>0</v>
      </c>
      <c r="G17" s="26">
        <f t="shared" si="0"/>
        <v>0</v>
      </c>
      <c r="H17" s="27">
        <f t="shared" si="1"/>
        <v>0</v>
      </c>
      <c r="I17" s="45"/>
      <c r="J17" s="8" t="str">
        <f t="shared" si="10"/>
        <v>V</v>
      </c>
      <c r="K17" s="151" t="str">
        <f>TEXT('Table '!AJ15,"jj mmm aa")</f>
        <v>10 août 18</v>
      </c>
      <c r="L17" s="25"/>
      <c r="M17" s="25"/>
      <c r="N17" s="25">
        <f>M17-L17</f>
        <v>0</v>
      </c>
      <c r="O17" s="26">
        <f t="shared" si="2"/>
        <v>0</v>
      </c>
      <c r="P17" s="27">
        <f t="shared" si="3"/>
        <v>0</v>
      </c>
      <c r="R17" s="8" t="str">
        <f t="shared" si="12"/>
        <v>V</v>
      </c>
      <c r="S17" s="151" t="str">
        <f>TEXT('Table '!AJ15,"jj mmm aa")</f>
        <v>10 août 18</v>
      </c>
      <c r="T17" s="44"/>
      <c r="U17" s="12"/>
      <c r="V17" s="12">
        <f t="shared" si="13"/>
        <v>0</v>
      </c>
      <c r="W17" s="13">
        <f t="shared" si="4"/>
        <v>0</v>
      </c>
      <c r="X17" s="14">
        <f t="shared" si="5"/>
        <v>0</v>
      </c>
      <c r="Y17" s="21"/>
      <c r="Z17" s="131" t="str">
        <f t="shared" si="14"/>
        <v>V</v>
      </c>
      <c r="AA17" s="138" t="str">
        <f>TEXT('Table '!AJ15,"jj mmm aa")</f>
        <v>10 août 18</v>
      </c>
      <c r="AB17" s="18"/>
      <c r="AC17" s="18"/>
      <c r="AD17" s="18">
        <f t="shared" si="15"/>
        <v>0</v>
      </c>
      <c r="AE17" s="146">
        <f t="shared" si="6"/>
        <v>0</v>
      </c>
      <c r="AF17" s="20">
        <f t="shared" si="7"/>
        <v>0</v>
      </c>
    </row>
    <row r="18" spans="2:32" s="7" customFormat="1">
      <c r="B18" s="8" t="str">
        <f t="shared" si="8"/>
        <v>S</v>
      </c>
      <c r="C18" s="164" t="str">
        <f>TEXT('Table '!AJ16,"jj mmm aa")</f>
        <v>11 août 18</v>
      </c>
      <c r="D18" s="25"/>
      <c r="E18" s="25"/>
      <c r="F18" s="25">
        <f t="shared" si="9"/>
        <v>0</v>
      </c>
      <c r="G18" s="26">
        <f t="shared" si="0"/>
        <v>0</v>
      </c>
      <c r="H18" s="27">
        <f t="shared" si="1"/>
        <v>0</v>
      </c>
      <c r="I18" s="45"/>
      <c r="J18" s="8" t="str">
        <f t="shared" si="10"/>
        <v>S</v>
      </c>
      <c r="K18" s="151" t="str">
        <f>TEXT('Table '!AJ16,"jj mmm aa")</f>
        <v>11 août 18</v>
      </c>
      <c r="L18" s="25"/>
      <c r="M18" s="25"/>
      <c r="N18" s="25">
        <f>M18-L18</f>
        <v>0</v>
      </c>
      <c r="O18" s="26">
        <f t="shared" si="2"/>
        <v>0</v>
      </c>
      <c r="P18" s="27">
        <f t="shared" si="3"/>
        <v>0</v>
      </c>
      <c r="R18" s="8" t="str">
        <f t="shared" si="12"/>
        <v>S</v>
      </c>
      <c r="S18" s="151" t="str">
        <f>TEXT('Table '!AJ16,"jj mmm aa")</f>
        <v>11 août 18</v>
      </c>
      <c r="T18" s="12"/>
      <c r="U18" s="12"/>
      <c r="V18" s="12">
        <f t="shared" si="13"/>
        <v>0</v>
      </c>
      <c r="W18" s="13">
        <f t="shared" si="4"/>
        <v>0</v>
      </c>
      <c r="X18" s="14">
        <f t="shared" si="5"/>
        <v>0</v>
      </c>
      <c r="Y18" s="21"/>
      <c r="Z18" s="131" t="str">
        <f t="shared" si="14"/>
        <v>S</v>
      </c>
      <c r="AA18" s="138" t="str">
        <f>TEXT('Table '!AJ16,"jj mmm aa")</f>
        <v>11 août 18</v>
      </c>
      <c r="AB18" s="18"/>
      <c r="AC18" s="18"/>
      <c r="AD18" s="18">
        <f t="shared" si="15"/>
        <v>0</v>
      </c>
      <c r="AE18" s="146">
        <f t="shared" si="6"/>
        <v>0</v>
      </c>
      <c r="AF18" s="20">
        <f t="shared" si="7"/>
        <v>0</v>
      </c>
    </row>
    <row r="19" spans="2:32" s="7" customFormat="1">
      <c r="B19" s="8" t="str">
        <f t="shared" si="8"/>
        <v>D</v>
      </c>
      <c r="C19" s="164" t="str">
        <f>TEXT('Table '!AJ17,"jj mmm aa")</f>
        <v>12 août 18</v>
      </c>
      <c r="D19" s="25"/>
      <c r="E19" s="25"/>
      <c r="F19" s="25">
        <f t="shared" si="9"/>
        <v>0</v>
      </c>
      <c r="G19" s="26">
        <f t="shared" si="0"/>
        <v>0</v>
      </c>
      <c r="H19" s="27">
        <f t="shared" si="1"/>
        <v>0</v>
      </c>
      <c r="I19" s="45"/>
      <c r="J19" s="8" t="str">
        <f t="shared" si="10"/>
        <v>D</v>
      </c>
      <c r="K19" s="151" t="str">
        <f>TEXT('Table '!AJ17,"jj mmm aa")</f>
        <v>12 août 18</v>
      </c>
      <c r="L19" s="25"/>
      <c r="M19" s="25"/>
      <c r="N19" s="25">
        <f t="shared" si="11"/>
        <v>0</v>
      </c>
      <c r="O19" s="26">
        <f t="shared" si="2"/>
        <v>0</v>
      </c>
      <c r="P19" s="27">
        <f t="shared" si="3"/>
        <v>0</v>
      </c>
      <c r="R19" s="8" t="str">
        <f t="shared" si="12"/>
        <v>D</v>
      </c>
      <c r="S19" s="151" t="str">
        <f>TEXT('Table '!AJ17,"jj mmm aa")</f>
        <v>12 août 18</v>
      </c>
      <c r="T19" s="12"/>
      <c r="U19" s="12"/>
      <c r="V19" s="12">
        <f t="shared" si="13"/>
        <v>0</v>
      </c>
      <c r="W19" s="13">
        <f t="shared" si="4"/>
        <v>0</v>
      </c>
      <c r="X19" s="14">
        <f t="shared" si="5"/>
        <v>0</v>
      </c>
      <c r="Y19" s="21"/>
      <c r="Z19" s="131" t="str">
        <f t="shared" si="14"/>
        <v>D</v>
      </c>
      <c r="AA19" s="138" t="str">
        <f>TEXT('Table '!AJ17,"jj mmm aa")</f>
        <v>12 août 18</v>
      </c>
      <c r="AB19" s="18"/>
      <c r="AC19" s="18"/>
      <c r="AD19" s="18">
        <f t="shared" si="15"/>
        <v>0</v>
      </c>
      <c r="AE19" s="146">
        <f t="shared" si="6"/>
        <v>0</v>
      </c>
      <c r="AF19" s="20">
        <f t="shared" si="7"/>
        <v>0</v>
      </c>
    </row>
    <row r="20" spans="2:32" s="7" customFormat="1">
      <c r="B20" s="8" t="str">
        <f t="shared" si="8"/>
        <v>L</v>
      </c>
      <c r="C20" s="164" t="str">
        <f>TEXT('Table '!AJ18,"jj mmm aa")</f>
        <v>13 août 18</v>
      </c>
      <c r="D20" s="25"/>
      <c r="E20" s="25"/>
      <c r="F20" s="25">
        <f t="shared" si="9"/>
        <v>0</v>
      </c>
      <c r="G20" s="26">
        <f t="shared" si="0"/>
        <v>0</v>
      </c>
      <c r="H20" s="27">
        <f t="shared" si="1"/>
        <v>0</v>
      </c>
      <c r="I20" s="45"/>
      <c r="J20" s="8" t="str">
        <f t="shared" si="10"/>
        <v>L</v>
      </c>
      <c r="K20" s="151" t="str">
        <f>TEXT('Table '!AJ18,"jj mmm aa")</f>
        <v>13 août 18</v>
      </c>
      <c r="L20" s="25"/>
      <c r="M20" s="25"/>
      <c r="N20" s="25">
        <f t="shared" si="11"/>
        <v>0</v>
      </c>
      <c r="O20" s="26">
        <f t="shared" si="2"/>
        <v>0</v>
      </c>
      <c r="P20" s="27">
        <f t="shared" si="3"/>
        <v>0</v>
      </c>
      <c r="R20" s="8" t="str">
        <f t="shared" si="12"/>
        <v>L</v>
      </c>
      <c r="S20" s="151" t="str">
        <f>TEXT('Table '!AJ18,"jj mmm aa")</f>
        <v>13 août 18</v>
      </c>
      <c r="T20" s="12"/>
      <c r="U20" s="12"/>
      <c r="V20" s="12">
        <f t="shared" si="13"/>
        <v>0</v>
      </c>
      <c r="W20" s="13">
        <f t="shared" si="4"/>
        <v>0</v>
      </c>
      <c r="X20" s="14">
        <f t="shared" si="5"/>
        <v>0</v>
      </c>
      <c r="Y20" s="21"/>
      <c r="Z20" s="131" t="str">
        <f t="shared" si="14"/>
        <v>L</v>
      </c>
      <c r="AA20" s="138" t="str">
        <f>TEXT('Table '!AJ18,"jj mmm aa")</f>
        <v>13 août 18</v>
      </c>
      <c r="AB20" s="18"/>
      <c r="AC20" s="18"/>
      <c r="AD20" s="18">
        <f t="shared" si="15"/>
        <v>0</v>
      </c>
      <c r="AE20" s="146">
        <f t="shared" si="6"/>
        <v>0</v>
      </c>
      <c r="AF20" s="20">
        <f t="shared" si="7"/>
        <v>0</v>
      </c>
    </row>
    <row r="21" spans="2:32" s="7" customFormat="1">
      <c r="B21" s="8" t="str">
        <f t="shared" si="8"/>
        <v>M</v>
      </c>
      <c r="C21" s="164" t="str">
        <f>TEXT('Table '!AJ19,"jj mmm aa")</f>
        <v>14 août 18</v>
      </c>
      <c r="D21" s="25"/>
      <c r="E21" s="25"/>
      <c r="F21" s="25">
        <f t="shared" si="9"/>
        <v>0</v>
      </c>
      <c r="G21" s="26">
        <f t="shared" si="0"/>
        <v>0</v>
      </c>
      <c r="H21" s="27">
        <f t="shared" si="1"/>
        <v>0</v>
      </c>
      <c r="I21" s="45"/>
      <c r="J21" s="8" t="str">
        <f t="shared" si="10"/>
        <v>M</v>
      </c>
      <c r="K21" s="151" t="str">
        <f>TEXT('Table '!AJ19,"jj mmm aa")</f>
        <v>14 août 18</v>
      </c>
      <c r="L21" s="25"/>
      <c r="M21" s="25"/>
      <c r="N21" s="25">
        <f t="shared" si="11"/>
        <v>0</v>
      </c>
      <c r="O21" s="26">
        <f t="shared" si="2"/>
        <v>0</v>
      </c>
      <c r="P21" s="27">
        <f t="shared" si="3"/>
        <v>0</v>
      </c>
      <c r="R21" s="8" t="str">
        <f t="shared" si="12"/>
        <v>M</v>
      </c>
      <c r="S21" s="151" t="str">
        <f>TEXT('Table '!AJ19,"jj mmm aa")</f>
        <v>14 août 18</v>
      </c>
      <c r="T21" s="12"/>
      <c r="U21" s="12"/>
      <c r="V21" s="12">
        <f t="shared" si="13"/>
        <v>0</v>
      </c>
      <c r="W21" s="13">
        <f t="shared" si="4"/>
        <v>0</v>
      </c>
      <c r="X21" s="14">
        <f t="shared" si="5"/>
        <v>0</v>
      </c>
      <c r="Y21" s="21"/>
      <c r="Z21" s="131" t="str">
        <f t="shared" si="14"/>
        <v>M</v>
      </c>
      <c r="AA21" s="138" t="str">
        <f>TEXT('Table '!AJ19,"jj mmm aa")</f>
        <v>14 août 18</v>
      </c>
      <c r="AB21" s="18"/>
      <c r="AC21" s="18"/>
      <c r="AD21" s="18">
        <f t="shared" si="15"/>
        <v>0</v>
      </c>
      <c r="AE21" s="146">
        <f t="shared" si="6"/>
        <v>0</v>
      </c>
      <c r="AF21" s="20">
        <f t="shared" si="7"/>
        <v>0</v>
      </c>
    </row>
    <row r="22" spans="2:32" s="7" customFormat="1">
      <c r="B22" s="8" t="str">
        <f t="shared" si="8"/>
        <v>M</v>
      </c>
      <c r="C22" s="164" t="str">
        <f>TEXT('Table '!AJ20,"jj mmm aa")</f>
        <v>15 août 18</v>
      </c>
      <c r="D22" s="25"/>
      <c r="E22" s="25"/>
      <c r="F22" s="25">
        <f t="shared" si="9"/>
        <v>0</v>
      </c>
      <c r="G22" s="26">
        <f t="shared" si="0"/>
        <v>0</v>
      </c>
      <c r="H22" s="27">
        <f t="shared" si="1"/>
        <v>0</v>
      </c>
      <c r="I22" s="45"/>
      <c r="J22" s="8" t="str">
        <f t="shared" si="10"/>
        <v>M</v>
      </c>
      <c r="K22" s="151" t="str">
        <f>TEXT('Table '!AJ20,"jj mmm aa")</f>
        <v>15 août 18</v>
      </c>
      <c r="L22" s="25"/>
      <c r="M22" s="25"/>
      <c r="N22" s="25">
        <f t="shared" si="11"/>
        <v>0</v>
      </c>
      <c r="O22" s="26">
        <f t="shared" si="2"/>
        <v>0</v>
      </c>
      <c r="P22" s="27">
        <f t="shared" si="3"/>
        <v>0</v>
      </c>
      <c r="R22" s="8" t="str">
        <f t="shared" si="12"/>
        <v>M</v>
      </c>
      <c r="S22" s="151" t="str">
        <f>TEXT('Table '!AJ20,"jj mmm aa")</f>
        <v>15 août 18</v>
      </c>
      <c r="T22" s="12"/>
      <c r="U22" s="12"/>
      <c r="V22" s="12">
        <f t="shared" si="13"/>
        <v>0</v>
      </c>
      <c r="W22" s="13">
        <f t="shared" si="4"/>
        <v>0</v>
      </c>
      <c r="X22" s="14">
        <f t="shared" si="5"/>
        <v>0</v>
      </c>
      <c r="Y22" s="21"/>
      <c r="Z22" s="131" t="str">
        <f t="shared" si="14"/>
        <v>M</v>
      </c>
      <c r="AA22" s="138" t="str">
        <f>TEXT('Table '!AJ20,"jj mmm aa")</f>
        <v>15 août 18</v>
      </c>
      <c r="AB22" s="18"/>
      <c r="AC22" s="18"/>
      <c r="AD22" s="18">
        <f t="shared" si="15"/>
        <v>0</v>
      </c>
      <c r="AE22" s="146">
        <f t="shared" si="6"/>
        <v>0</v>
      </c>
      <c r="AF22" s="20">
        <f t="shared" si="7"/>
        <v>0</v>
      </c>
    </row>
    <row r="23" spans="2:32" s="7" customFormat="1">
      <c r="B23" s="8" t="str">
        <f t="shared" si="8"/>
        <v>J</v>
      </c>
      <c r="C23" s="164" t="str">
        <f>TEXT('Table '!AJ21,"jj mmm aa")</f>
        <v>16 août 18</v>
      </c>
      <c r="D23" s="25"/>
      <c r="E23" s="25"/>
      <c r="F23" s="25">
        <f t="shared" si="9"/>
        <v>0</v>
      </c>
      <c r="G23" s="26">
        <f t="shared" si="0"/>
        <v>0</v>
      </c>
      <c r="H23" s="27">
        <f t="shared" si="1"/>
        <v>0</v>
      </c>
      <c r="I23" s="45"/>
      <c r="J23" s="8" t="str">
        <f t="shared" si="10"/>
        <v>J</v>
      </c>
      <c r="K23" s="151" t="str">
        <f>TEXT('Table '!AJ21,"jj mmm aa")</f>
        <v>16 août 18</v>
      </c>
      <c r="L23" s="25"/>
      <c r="M23" s="25"/>
      <c r="N23" s="25">
        <f t="shared" si="11"/>
        <v>0</v>
      </c>
      <c r="O23" s="26">
        <f t="shared" si="2"/>
        <v>0</v>
      </c>
      <c r="P23" s="27">
        <f t="shared" si="3"/>
        <v>0</v>
      </c>
      <c r="R23" s="8" t="str">
        <f t="shared" si="12"/>
        <v>J</v>
      </c>
      <c r="S23" s="151" t="str">
        <f>TEXT('Table '!AJ21,"jj mmm aa")</f>
        <v>16 août 18</v>
      </c>
      <c r="T23" s="12"/>
      <c r="U23" s="12"/>
      <c r="V23" s="12">
        <f t="shared" si="13"/>
        <v>0</v>
      </c>
      <c r="W23" s="13">
        <f t="shared" si="4"/>
        <v>0</v>
      </c>
      <c r="X23" s="14">
        <f t="shared" si="5"/>
        <v>0</v>
      </c>
      <c r="Y23" s="21"/>
      <c r="Z23" s="131" t="str">
        <f t="shared" si="14"/>
        <v>J</v>
      </c>
      <c r="AA23" s="138" t="str">
        <f>TEXT('Table '!AJ21,"jj mmm aa")</f>
        <v>16 août 18</v>
      </c>
      <c r="AB23" s="18"/>
      <c r="AC23" s="18"/>
      <c r="AD23" s="18">
        <f t="shared" si="15"/>
        <v>0</v>
      </c>
      <c r="AE23" s="146">
        <f t="shared" si="6"/>
        <v>0</v>
      </c>
      <c r="AF23" s="20">
        <f t="shared" si="7"/>
        <v>0</v>
      </c>
    </row>
    <row r="24" spans="2:32" s="7" customFormat="1">
      <c r="B24" s="8" t="str">
        <f t="shared" si="8"/>
        <v>V</v>
      </c>
      <c r="C24" s="164" t="str">
        <f>TEXT('Table '!AJ22,"jj mmm aa")</f>
        <v>17 août 18</v>
      </c>
      <c r="D24" s="25"/>
      <c r="E24" s="25"/>
      <c r="F24" s="25">
        <f t="shared" si="9"/>
        <v>0</v>
      </c>
      <c r="G24" s="26">
        <f t="shared" si="0"/>
        <v>0</v>
      </c>
      <c r="H24" s="27">
        <f t="shared" si="1"/>
        <v>0</v>
      </c>
      <c r="I24" s="45"/>
      <c r="J24" s="8" t="str">
        <f t="shared" si="10"/>
        <v>V</v>
      </c>
      <c r="K24" s="151" t="str">
        <f>TEXT('Table '!AJ22,"jj mmm aa")</f>
        <v>17 août 18</v>
      </c>
      <c r="L24" s="25"/>
      <c r="M24" s="25"/>
      <c r="N24" s="25">
        <f t="shared" si="11"/>
        <v>0</v>
      </c>
      <c r="O24" s="26">
        <f t="shared" si="2"/>
        <v>0</v>
      </c>
      <c r="P24" s="27">
        <f t="shared" si="3"/>
        <v>0</v>
      </c>
      <c r="R24" s="8" t="str">
        <f t="shared" si="12"/>
        <v>V</v>
      </c>
      <c r="S24" s="151" t="str">
        <f>TEXT('Table '!AJ22,"jj mmm aa")</f>
        <v>17 août 18</v>
      </c>
      <c r="T24" s="12"/>
      <c r="U24" s="12"/>
      <c r="V24" s="12">
        <f t="shared" si="13"/>
        <v>0</v>
      </c>
      <c r="W24" s="13">
        <f t="shared" si="4"/>
        <v>0</v>
      </c>
      <c r="X24" s="14">
        <f t="shared" si="5"/>
        <v>0</v>
      </c>
      <c r="Y24" s="21"/>
      <c r="Z24" s="131" t="str">
        <f t="shared" si="14"/>
        <v>V</v>
      </c>
      <c r="AA24" s="138" t="str">
        <f>TEXT('Table '!AJ22,"jj mmm aa")</f>
        <v>17 août 18</v>
      </c>
      <c r="AB24" s="18"/>
      <c r="AC24" s="18"/>
      <c r="AD24" s="18">
        <f t="shared" si="15"/>
        <v>0</v>
      </c>
      <c r="AE24" s="146">
        <f t="shared" si="6"/>
        <v>0</v>
      </c>
      <c r="AF24" s="20">
        <f t="shared" si="7"/>
        <v>0</v>
      </c>
    </row>
    <row r="25" spans="2:32" s="7" customFormat="1">
      <c r="B25" s="8" t="str">
        <f t="shared" si="8"/>
        <v>S</v>
      </c>
      <c r="C25" s="164" t="str">
        <f>TEXT('Table '!AJ23,"jj mmm aa")</f>
        <v>18 août 18</v>
      </c>
      <c r="D25" s="12"/>
      <c r="E25" s="12"/>
      <c r="F25" s="25">
        <f t="shared" si="9"/>
        <v>0</v>
      </c>
      <c r="G25" s="26">
        <f t="shared" si="0"/>
        <v>0</v>
      </c>
      <c r="H25" s="27">
        <f t="shared" si="1"/>
        <v>0</v>
      </c>
      <c r="I25" s="45"/>
      <c r="J25" s="8" t="str">
        <f t="shared" si="10"/>
        <v>S</v>
      </c>
      <c r="K25" s="151" t="str">
        <f>TEXT('Table '!AJ23,"jj mmm aa")</f>
        <v>18 août 18</v>
      </c>
      <c r="L25" s="25"/>
      <c r="M25" s="25"/>
      <c r="N25" s="25">
        <f t="shared" si="11"/>
        <v>0</v>
      </c>
      <c r="O25" s="26">
        <f t="shared" si="2"/>
        <v>0</v>
      </c>
      <c r="P25" s="27">
        <f t="shared" si="3"/>
        <v>0</v>
      </c>
      <c r="R25" s="8" t="str">
        <f t="shared" si="12"/>
        <v>S</v>
      </c>
      <c r="S25" s="151" t="str">
        <f>TEXT('Table '!AJ23,"jj mmm aa")</f>
        <v>18 août 18</v>
      </c>
      <c r="T25" s="12"/>
      <c r="U25" s="12"/>
      <c r="V25" s="12">
        <f t="shared" si="13"/>
        <v>0</v>
      </c>
      <c r="W25" s="13">
        <f t="shared" si="4"/>
        <v>0</v>
      </c>
      <c r="X25" s="14">
        <f t="shared" si="5"/>
        <v>0</v>
      </c>
      <c r="Y25" s="21"/>
      <c r="Z25" s="131" t="str">
        <f t="shared" si="14"/>
        <v>S</v>
      </c>
      <c r="AA25" s="138" t="str">
        <f>TEXT('Table '!AJ23,"jj mmm aa")</f>
        <v>18 août 18</v>
      </c>
      <c r="AB25" s="18"/>
      <c r="AC25" s="18"/>
      <c r="AD25" s="18">
        <f t="shared" si="15"/>
        <v>0</v>
      </c>
      <c r="AE25" s="146">
        <f t="shared" si="6"/>
        <v>0</v>
      </c>
      <c r="AF25" s="20">
        <f t="shared" si="7"/>
        <v>0</v>
      </c>
    </row>
    <row r="26" spans="2:32" s="7" customFormat="1">
      <c r="B26" s="8" t="str">
        <f t="shared" si="8"/>
        <v>D</v>
      </c>
      <c r="C26" s="164" t="str">
        <f>TEXT('Table '!AJ24,"jj mmm aa")</f>
        <v>19 août 18</v>
      </c>
      <c r="D26" s="12"/>
      <c r="E26" s="12"/>
      <c r="F26" s="25">
        <f t="shared" si="9"/>
        <v>0</v>
      </c>
      <c r="G26" s="26">
        <f t="shared" si="0"/>
        <v>0</v>
      </c>
      <c r="H26" s="27">
        <f t="shared" si="1"/>
        <v>0</v>
      </c>
      <c r="I26" s="45"/>
      <c r="J26" s="8" t="str">
        <f t="shared" si="10"/>
        <v>D</v>
      </c>
      <c r="K26" s="151" t="str">
        <f>TEXT('Table '!AJ24,"jj mmm aa")</f>
        <v>19 août 18</v>
      </c>
      <c r="L26" s="25"/>
      <c r="M26" s="25"/>
      <c r="N26" s="25">
        <f t="shared" si="11"/>
        <v>0</v>
      </c>
      <c r="O26" s="26">
        <f t="shared" si="2"/>
        <v>0</v>
      </c>
      <c r="P26" s="27">
        <f t="shared" si="3"/>
        <v>0</v>
      </c>
      <c r="R26" s="8" t="str">
        <f t="shared" si="12"/>
        <v>D</v>
      </c>
      <c r="S26" s="151" t="str">
        <f>TEXT('Table '!AJ24,"jj mmm aa")</f>
        <v>19 août 18</v>
      </c>
      <c r="T26" s="12"/>
      <c r="U26" s="12"/>
      <c r="V26" s="12">
        <f t="shared" si="13"/>
        <v>0</v>
      </c>
      <c r="W26" s="13">
        <f t="shared" si="4"/>
        <v>0</v>
      </c>
      <c r="X26" s="14">
        <f t="shared" si="5"/>
        <v>0</v>
      </c>
      <c r="Y26" s="21"/>
      <c r="Z26" s="131" t="str">
        <f t="shared" si="14"/>
        <v>D</v>
      </c>
      <c r="AA26" s="138" t="str">
        <f>TEXT('Table '!AJ24,"jj mmm aa")</f>
        <v>19 août 18</v>
      </c>
      <c r="AB26" s="18"/>
      <c r="AC26" s="18"/>
      <c r="AD26" s="18">
        <f t="shared" si="15"/>
        <v>0</v>
      </c>
      <c r="AE26" s="146">
        <f t="shared" si="6"/>
        <v>0</v>
      </c>
      <c r="AF26" s="20">
        <f t="shared" si="7"/>
        <v>0</v>
      </c>
    </row>
    <row r="27" spans="2:32" s="7" customFormat="1">
      <c r="B27" s="8" t="str">
        <f t="shared" si="8"/>
        <v>L</v>
      </c>
      <c r="C27" s="164" t="str">
        <f>TEXT('Table '!AJ25,"jj mmm aa")</f>
        <v>20 août 18</v>
      </c>
      <c r="D27" s="12"/>
      <c r="E27" s="12"/>
      <c r="F27" s="25">
        <f t="shared" si="9"/>
        <v>0</v>
      </c>
      <c r="G27" s="26">
        <f t="shared" si="0"/>
        <v>0</v>
      </c>
      <c r="H27" s="27">
        <f t="shared" si="1"/>
        <v>0</v>
      </c>
      <c r="I27" s="45"/>
      <c r="J27" s="8" t="str">
        <f t="shared" si="10"/>
        <v>L</v>
      </c>
      <c r="K27" s="151" t="str">
        <f>TEXT('Table '!AJ25,"jj mmm aa")</f>
        <v>20 août 18</v>
      </c>
      <c r="L27" s="25"/>
      <c r="M27" s="25"/>
      <c r="N27" s="25">
        <f t="shared" si="11"/>
        <v>0</v>
      </c>
      <c r="O27" s="26">
        <f t="shared" si="2"/>
        <v>0</v>
      </c>
      <c r="P27" s="27">
        <f t="shared" si="3"/>
        <v>0</v>
      </c>
      <c r="R27" s="8" t="str">
        <f t="shared" si="12"/>
        <v>L</v>
      </c>
      <c r="S27" s="151" t="str">
        <f>TEXT('Table '!AJ25,"jj mmm aa")</f>
        <v>20 août 18</v>
      </c>
      <c r="T27" s="12"/>
      <c r="U27" s="12"/>
      <c r="V27" s="12">
        <f t="shared" si="13"/>
        <v>0</v>
      </c>
      <c r="W27" s="13">
        <f t="shared" si="4"/>
        <v>0</v>
      </c>
      <c r="X27" s="14">
        <f t="shared" si="5"/>
        <v>0</v>
      </c>
      <c r="Y27" s="21"/>
      <c r="Z27" s="131" t="str">
        <f t="shared" si="14"/>
        <v>L</v>
      </c>
      <c r="AA27" s="138" t="str">
        <f>TEXT('Table '!AJ25,"jj mmm aa")</f>
        <v>20 août 18</v>
      </c>
      <c r="AB27" s="18"/>
      <c r="AC27" s="18"/>
      <c r="AD27" s="18">
        <f t="shared" si="15"/>
        <v>0</v>
      </c>
      <c r="AE27" s="146">
        <f t="shared" si="6"/>
        <v>0</v>
      </c>
      <c r="AF27" s="20">
        <f t="shared" si="7"/>
        <v>0</v>
      </c>
    </row>
    <row r="28" spans="2:32" s="7" customFormat="1">
      <c r="B28" s="8" t="str">
        <f t="shared" si="8"/>
        <v>M</v>
      </c>
      <c r="C28" s="164" t="str">
        <f>TEXT('Table '!AJ26,"jj mmm aa")</f>
        <v>21 août 18</v>
      </c>
      <c r="D28" s="12"/>
      <c r="E28" s="12"/>
      <c r="F28" s="25">
        <f t="shared" si="9"/>
        <v>0</v>
      </c>
      <c r="G28" s="26">
        <f t="shared" si="0"/>
        <v>0</v>
      </c>
      <c r="H28" s="27">
        <f t="shared" si="1"/>
        <v>0</v>
      </c>
      <c r="I28" s="45"/>
      <c r="J28" s="8" t="str">
        <f t="shared" si="10"/>
        <v>M</v>
      </c>
      <c r="K28" s="151" t="str">
        <f>TEXT('Table '!AJ26,"jj mmm aa")</f>
        <v>21 août 18</v>
      </c>
      <c r="L28" s="25"/>
      <c r="M28" s="25"/>
      <c r="N28" s="25">
        <f t="shared" si="11"/>
        <v>0</v>
      </c>
      <c r="O28" s="26">
        <f t="shared" si="2"/>
        <v>0</v>
      </c>
      <c r="P28" s="27">
        <f t="shared" si="3"/>
        <v>0</v>
      </c>
      <c r="R28" s="8" t="str">
        <f t="shared" si="12"/>
        <v>M</v>
      </c>
      <c r="S28" s="151" t="str">
        <f>TEXT('Table '!AJ26,"jj mmm aa")</f>
        <v>21 août 18</v>
      </c>
      <c r="T28" s="12"/>
      <c r="U28" s="12"/>
      <c r="V28" s="12">
        <f t="shared" si="13"/>
        <v>0</v>
      </c>
      <c r="W28" s="13">
        <f t="shared" si="4"/>
        <v>0</v>
      </c>
      <c r="X28" s="14">
        <f t="shared" si="5"/>
        <v>0</v>
      </c>
      <c r="Y28" s="21"/>
      <c r="Z28" s="131" t="str">
        <f t="shared" si="14"/>
        <v>M</v>
      </c>
      <c r="AA28" s="138" t="str">
        <f>TEXT('Table '!AJ26,"jj mmm aa")</f>
        <v>21 août 18</v>
      </c>
      <c r="AB28" s="18"/>
      <c r="AC28" s="18"/>
      <c r="AD28" s="18">
        <f t="shared" si="15"/>
        <v>0</v>
      </c>
      <c r="AE28" s="146">
        <f t="shared" si="6"/>
        <v>0</v>
      </c>
      <c r="AF28" s="20">
        <f t="shared" si="7"/>
        <v>0</v>
      </c>
    </row>
    <row r="29" spans="2:32" s="7" customFormat="1">
      <c r="B29" s="8" t="str">
        <f t="shared" si="8"/>
        <v>M</v>
      </c>
      <c r="C29" s="164" t="str">
        <f>TEXT('Table '!AJ27,"jj mmm aa")</f>
        <v>22 août 18</v>
      </c>
      <c r="D29" s="12"/>
      <c r="E29" s="12"/>
      <c r="F29" s="25">
        <f t="shared" si="9"/>
        <v>0</v>
      </c>
      <c r="G29" s="26">
        <f t="shared" si="0"/>
        <v>0</v>
      </c>
      <c r="H29" s="27">
        <f t="shared" si="1"/>
        <v>0</v>
      </c>
      <c r="I29" s="45"/>
      <c r="J29" s="8" t="str">
        <f t="shared" si="10"/>
        <v>M</v>
      </c>
      <c r="K29" s="151" t="str">
        <f>TEXT('Table '!AJ27,"jj mmm aa")</f>
        <v>22 août 18</v>
      </c>
      <c r="L29" s="25"/>
      <c r="M29" s="25"/>
      <c r="N29" s="25">
        <f t="shared" si="11"/>
        <v>0</v>
      </c>
      <c r="O29" s="26">
        <f t="shared" si="2"/>
        <v>0</v>
      </c>
      <c r="P29" s="27">
        <f t="shared" si="3"/>
        <v>0</v>
      </c>
      <c r="R29" s="8" t="str">
        <f t="shared" si="12"/>
        <v>M</v>
      </c>
      <c r="S29" s="151" t="str">
        <f>TEXT('Table '!AJ27,"jj mmm aa")</f>
        <v>22 août 18</v>
      </c>
      <c r="T29" s="12"/>
      <c r="U29" s="12"/>
      <c r="V29" s="12">
        <f t="shared" si="13"/>
        <v>0</v>
      </c>
      <c r="W29" s="13">
        <f t="shared" si="4"/>
        <v>0</v>
      </c>
      <c r="X29" s="14">
        <f t="shared" si="5"/>
        <v>0</v>
      </c>
      <c r="Y29" s="21"/>
      <c r="Z29" s="131" t="str">
        <f t="shared" si="14"/>
        <v>M</v>
      </c>
      <c r="AA29" s="138" t="str">
        <f>TEXT('Table '!AJ27,"jj mmm aa")</f>
        <v>22 août 18</v>
      </c>
      <c r="AB29" s="18"/>
      <c r="AC29" s="18"/>
      <c r="AD29" s="18">
        <f t="shared" si="15"/>
        <v>0</v>
      </c>
      <c r="AE29" s="146">
        <f t="shared" si="6"/>
        <v>0</v>
      </c>
      <c r="AF29" s="20">
        <f t="shared" si="7"/>
        <v>0</v>
      </c>
    </row>
    <row r="30" spans="2:32" s="7" customFormat="1">
      <c r="B30" s="8" t="str">
        <f t="shared" si="8"/>
        <v>J</v>
      </c>
      <c r="C30" s="164" t="str">
        <f>TEXT('Table '!AJ28,"jj mmm aa")</f>
        <v>23 août 18</v>
      </c>
      <c r="D30" s="25"/>
      <c r="E30" s="25"/>
      <c r="F30" s="25">
        <f t="shared" si="9"/>
        <v>0</v>
      </c>
      <c r="G30" s="26">
        <f t="shared" si="0"/>
        <v>0</v>
      </c>
      <c r="H30" s="27">
        <f t="shared" si="1"/>
        <v>0</v>
      </c>
      <c r="I30" s="45"/>
      <c r="J30" s="8" t="str">
        <f t="shared" si="10"/>
        <v>J</v>
      </c>
      <c r="K30" s="151" t="str">
        <f>TEXT('Table '!AJ28,"jj mmm aa")</f>
        <v>23 août 18</v>
      </c>
      <c r="L30" s="25"/>
      <c r="M30" s="25"/>
      <c r="N30" s="25">
        <f t="shared" si="11"/>
        <v>0</v>
      </c>
      <c r="O30" s="26">
        <f t="shared" si="2"/>
        <v>0</v>
      </c>
      <c r="P30" s="27">
        <f t="shared" si="3"/>
        <v>0</v>
      </c>
      <c r="R30" s="8" t="str">
        <f t="shared" si="12"/>
        <v>J</v>
      </c>
      <c r="S30" s="151" t="str">
        <f>TEXT('Table '!AJ28,"jj mmm aa")</f>
        <v>23 août 18</v>
      </c>
      <c r="T30" s="12"/>
      <c r="U30" s="12"/>
      <c r="V30" s="12">
        <f t="shared" si="13"/>
        <v>0</v>
      </c>
      <c r="W30" s="13">
        <f t="shared" si="4"/>
        <v>0</v>
      </c>
      <c r="X30" s="14">
        <f t="shared" si="5"/>
        <v>0</v>
      </c>
      <c r="Y30" s="21"/>
      <c r="Z30" s="131" t="str">
        <f t="shared" si="14"/>
        <v>J</v>
      </c>
      <c r="AA30" s="138" t="str">
        <f>TEXT('Table '!AJ28,"jj mmm aa")</f>
        <v>23 août 18</v>
      </c>
      <c r="AB30" s="18"/>
      <c r="AC30" s="18"/>
      <c r="AD30" s="18">
        <f t="shared" si="15"/>
        <v>0</v>
      </c>
      <c r="AE30" s="146">
        <f t="shared" si="6"/>
        <v>0</v>
      </c>
      <c r="AF30" s="20">
        <f t="shared" si="7"/>
        <v>0</v>
      </c>
    </row>
    <row r="31" spans="2:32" s="7" customFormat="1">
      <c r="B31" s="8" t="str">
        <f t="shared" si="8"/>
        <v>V</v>
      </c>
      <c r="C31" s="164" t="str">
        <f>TEXT('Table '!AJ29,"jj mmm aa")</f>
        <v>24 août 18</v>
      </c>
      <c r="D31" s="25"/>
      <c r="E31" s="25"/>
      <c r="F31" s="25">
        <f t="shared" si="9"/>
        <v>0</v>
      </c>
      <c r="G31" s="26">
        <f t="shared" si="0"/>
        <v>0</v>
      </c>
      <c r="H31" s="27">
        <f t="shared" si="1"/>
        <v>0</v>
      </c>
      <c r="I31" s="45"/>
      <c r="J31" s="8" t="str">
        <f t="shared" si="10"/>
        <v>V</v>
      </c>
      <c r="K31" s="151" t="str">
        <f>TEXT('Table '!AJ29,"jj mmm aa")</f>
        <v>24 août 18</v>
      </c>
      <c r="L31" s="25"/>
      <c r="M31" s="25"/>
      <c r="N31" s="25">
        <f t="shared" si="11"/>
        <v>0</v>
      </c>
      <c r="O31" s="26">
        <f t="shared" si="2"/>
        <v>0</v>
      </c>
      <c r="P31" s="27">
        <f t="shared" si="3"/>
        <v>0</v>
      </c>
      <c r="R31" s="8" t="str">
        <f t="shared" si="12"/>
        <v>V</v>
      </c>
      <c r="S31" s="151" t="str">
        <f>TEXT('Table '!AJ29,"jj mmm aa")</f>
        <v>24 août 18</v>
      </c>
      <c r="T31" s="12"/>
      <c r="U31" s="12"/>
      <c r="V31" s="12">
        <f t="shared" si="13"/>
        <v>0</v>
      </c>
      <c r="W31" s="13">
        <f t="shared" si="4"/>
        <v>0</v>
      </c>
      <c r="X31" s="14">
        <f t="shared" si="5"/>
        <v>0</v>
      </c>
      <c r="Y31" s="21"/>
      <c r="Z31" s="131" t="str">
        <f t="shared" si="14"/>
        <v>V</v>
      </c>
      <c r="AA31" s="138" t="str">
        <f>TEXT('Table '!AJ29,"jj mmm aa")</f>
        <v>24 août 18</v>
      </c>
      <c r="AB31" s="18"/>
      <c r="AC31" s="18"/>
      <c r="AD31" s="18">
        <f t="shared" si="15"/>
        <v>0</v>
      </c>
      <c r="AE31" s="146">
        <f t="shared" si="6"/>
        <v>0</v>
      </c>
      <c r="AF31" s="20">
        <f t="shared" si="7"/>
        <v>0</v>
      </c>
    </row>
    <row r="32" spans="2:32" s="7" customFormat="1">
      <c r="B32" s="8" t="str">
        <f t="shared" si="8"/>
        <v>S</v>
      </c>
      <c r="C32" s="164" t="str">
        <f>TEXT('Table '!AJ30,"jj mmm aa")</f>
        <v>25 août 18</v>
      </c>
      <c r="D32" s="12"/>
      <c r="E32" s="12"/>
      <c r="F32" s="25">
        <f t="shared" si="9"/>
        <v>0</v>
      </c>
      <c r="G32" s="26">
        <f t="shared" si="0"/>
        <v>0</v>
      </c>
      <c r="H32" s="27">
        <f t="shared" si="1"/>
        <v>0</v>
      </c>
      <c r="I32" s="45"/>
      <c r="J32" s="8" t="str">
        <f t="shared" si="10"/>
        <v>S</v>
      </c>
      <c r="K32" s="151" t="str">
        <f>TEXT('Table '!AJ30,"jj mmm aa")</f>
        <v>25 août 18</v>
      </c>
      <c r="L32" s="25"/>
      <c r="M32" s="25"/>
      <c r="N32" s="25">
        <f t="shared" si="11"/>
        <v>0</v>
      </c>
      <c r="O32" s="26">
        <f t="shared" si="2"/>
        <v>0</v>
      </c>
      <c r="P32" s="27">
        <f t="shared" si="3"/>
        <v>0</v>
      </c>
      <c r="R32" s="8" t="str">
        <f t="shared" si="12"/>
        <v>S</v>
      </c>
      <c r="S32" s="151" t="str">
        <f>TEXT('Table '!AJ30,"jj mmm aa")</f>
        <v>25 août 18</v>
      </c>
      <c r="T32" s="12"/>
      <c r="U32" s="12"/>
      <c r="V32" s="12">
        <f t="shared" si="13"/>
        <v>0</v>
      </c>
      <c r="W32" s="13">
        <f t="shared" si="4"/>
        <v>0</v>
      </c>
      <c r="X32" s="14">
        <f t="shared" si="5"/>
        <v>0</v>
      </c>
      <c r="Y32" s="21"/>
      <c r="Z32" s="131" t="str">
        <f t="shared" si="14"/>
        <v>S</v>
      </c>
      <c r="AA32" s="138" t="str">
        <f>TEXT('Table '!AJ30,"jj mmm aa")</f>
        <v>25 août 18</v>
      </c>
      <c r="AB32" s="18"/>
      <c r="AC32" s="18"/>
      <c r="AD32" s="18">
        <f t="shared" si="15"/>
        <v>0</v>
      </c>
      <c r="AE32" s="146">
        <f t="shared" si="6"/>
        <v>0</v>
      </c>
      <c r="AF32" s="20">
        <f t="shared" si="7"/>
        <v>0</v>
      </c>
    </row>
    <row r="33" spans="2:32" s="7" customFormat="1">
      <c r="B33" s="8" t="str">
        <f t="shared" si="8"/>
        <v>D</v>
      </c>
      <c r="C33" s="164" t="str">
        <f>TEXT('Table '!AJ31,"jj mmm aa")</f>
        <v>26 août 18</v>
      </c>
      <c r="D33" s="12"/>
      <c r="E33" s="12"/>
      <c r="F33" s="25">
        <f t="shared" si="9"/>
        <v>0</v>
      </c>
      <c r="G33" s="26">
        <f t="shared" si="0"/>
        <v>0</v>
      </c>
      <c r="H33" s="27">
        <f t="shared" si="1"/>
        <v>0</v>
      </c>
      <c r="I33" s="45"/>
      <c r="J33" s="8" t="str">
        <f t="shared" si="10"/>
        <v>D</v>
      </c>
      <c r="K33" s="151" t="str">
        <f>TEXT('Table '!AJ31,"jj mmm aa")</f>
        <v>26 août 18</v>
      </c>
      <c r="L33" s="12"/>
      <c r="M33" s="12"/>
      <c r="N33" s="25">
        <f t="shared" si="11"/>
        <v>0</v>
      </c>
      <c r="O33" s="26">
        <f t="shared" si="2"/>
        <v>0</v>
      </c>
      <c r="P33" s="27">
        <f t="shared" si="3"/>
        <v>0</v>
      </c>
      <c r="R33" s="8" t="str">
        <f t="shared" si="12"/>
        <v>D</v>
      </c>
      <c r="S33" s="151" t="str">
        <f>TEXT('Table '!AJ31,"jj mmm aa")</f>
        <v>26 août 18</v>
      </c>
      <c r="T33" s="12"/>
      <c r="U33" s="12"/>
      <c r="V33" s="12">
        <f t="shared" si="13"/>
        <v>0</v>
      </c>
      <c r="W33" s="13">
        <f t="shared" si="4"/>
        <v>0</v>
      </c>
      <c r="X33" s="14">
        <f t="shared" si="5"/>
        <v>0</v>
      </c>
      <c r="Y33" s="21"/>
      <c r="Z33" s="131" t="str">
        <f t="shared" si="14"/>
        <v>D</v>
      </c>
      <c r="AA33" s="138" t="str">
        <f>TEXT('Table '!AJ31,"jj mmm aa")</f>
        <v>26 août 18</v>
      </c>
      <c r="AB33" s="18"/>
      <c r="AC33" s="18"/>
      <c r="AD33" s="18">
        <f t="shared" si="15"/>
        <v>0</v>
      </c>
      <c r="AE33" s="146">
        <f t="shared" si="6"/>
        <v>0</v>
      </c>
      <c r="AF33" s="20">
        <f t="shared" si="7"/>
        <v>0</v>
      </c>
    </row>
    <row r="34" spans="2:32" s="7" customFormat="1">
      <c r="B34" s="8" t="str">
        <f t="shared" si="8"/>
        <v>L</v>
      </c>
      <c r="C34" s="164" t="str">
        <f>TEXT('Table '!AJ32,"jj mmm aa")</f>
        <v>27 août 18</v>
      </c>
      <c r="D34" s="12"/>
      <c r="E34" s="12"/>
      <c r="F34" s="25">
        <f t="shared" si="9"/>
        <v>0</v>
      </c>
      <c r="G34" s="26">
        <f t="shared" si="0"/>
        <v>0</v>
      </c>
      <c r="H34" s="27">
        <f t="shared" si="1"/>
        <v>0</v>
      </c>
      <c r="I34" s="45"/>
      <c r="J34" s="8" t="str">
        <f t="shared" si="10"/>
        <v>L</v>
      </c>
      <c r="K34" s="151" t="str">
        <f>TEXT('Table '!AJ32,"jj mmm aa")</f>
        <v>27 août 18</v>
      </c>
      <c r="L34" s="12"/>
      <c r="M34" s="12"/>
      <c r="N34" s="25">
        <f t="shared" si="11"/>
        <v>0</v>
      </c>
      <c r="O34" s="26">
        <f t="shared" si="2"/>
        <v>0</v>
      </c>
      <c r="P34" s="27">
        <f t="shared" si="3"/>
        <v>0</v>
      </c>
      <c r="R34" s="8" t="str">
        <f t="shared" si="12"/>
        <v>L</v>
      </c>
      <c r="S34" s="151" t="str">
        <f>TEXT('Table '!AJ32,"jj mmm aa")</f>
        <v>27 août 18</v>
      </c>
      <c r="T34" s="12"/>
      <c r="U34" s="12"/>
      <c r="V34" s="12">
        <f t="shared" si="13"/>
        <v>0</v>
      </c>
      <c r="W34" s="13">
        <f t="shared" si="4"/>
        <v>0</v>
      </c>
      <c r="X34" s="14">
        <f t="shared" si="5"/>
        <v>0</v>
      </c>
      <c r="Y34" s="21"/>
      <c r="Z34" s="131" t="str">
        <f t="shared" si="14"/>
        <v>L</v>
      </c>
      <c r="AA34" s="138" t="str">
        <f>TEXT('Table '!AJ32,"jj mmm aa")</f>
        <v>27 août 18</v>
      </c>
      <c r="AB34" s="18"/>
      <c r="AC34" s="18"/>
      <c r="AD34" s="18">
        <f t="shared" si="15"/>
        <v>0</v>
      </c>
      <c r="AE34" s="146">
        <f t="shared" si="6"/>
        <v>0</v>
      </c>
      <c r="AF34" s="20">
        <f t="shared" si="7"/>
        <v>0</v>
      </c>
    </row>
    <row r="35" spans="2:32" s="7" customFormat="1">
      <c r="B35" s="8" t="str">
        <f t="shared" si="8"/>
        <v>M</v>
      </c>
      <c r="C35" s="164" t="str">
        <f>TEXT('Table '!AJ33,"jj mmm aa")</f>
        <v>28 août 18</v>
      </c>
      <c r="D35" s="12"/>
      <c r="E35" s="12"/>
      <c r="F35" s="25">
        <f t="shared" si="9"/>
        <v>0</v>
      </c>
      <c r="G35" s="26">
        <f t="shared" si="0"/>
        <v>0</v>
      </c>
      <c r="H35" s="27">
        <f t="shared" si="1"/>
        <v>0</v>
      </c>
      <c r="I35" s="45"/>
      <c r="J35" s="8" t="str">
        <f t="shared" si="10"/>
        <v>M</v>
      </c>
      <c r="K35" s="151" t="str">
        <f>TEXT('Table '!AJ33,"jj mmm aa")</f>
        <v>28 août 18</v>
      </c>
      <c r="L35" s="12"/>
      <c r="M35" s="12"/>
      <c r="N35" s="25">
        <f t="shared" si="11"/>
        <v>0</v>
      </c>
      <c r="O35" s="26">
        <f t="shared" si="2"/>
        <v>0</v>
      </c>
      <c r="P35" s="27">
        <f t="shared" si="3"/>
        <v>0</v>
      </c>
      <c r="R35" s="8" t="str">
        <f t="shared" si="12"/>
        <v>M</v>
      </c>
      <c r="S35" s="151" t="str">
        <f>TEXT('Table '!AJ33,"jj mmm aa")</f>
        <v>28 août 18</v>
      </c>
      <c r="T35" s="12"/>
      <c r="U35" s="12"/>
      <c r="V35" s="12">
        <f t="shared" si="13"/>
        <v>0</v>
      </c>
      <c r="W35" s="13">
        <f t="shared" si="4"/>
        <v>0</v>
      </c>
      <c r="X35" s="14">
        <f t="shared" si="5"/>
        <v>0</v>
      </c>
      <c r="Y35" s="21"/>
      <c r="Z35" s="131" t="str">
        <f t="shared" si="14"/>
        <v>M</v>
      </c>
      <c r="AA35" s="138" t="str">
        <f>TEXT('Table '!AJ33,"jj mmm aa")</f>
        <v>28 août 18</v>
      </c>
      <c r="AB35" s="18"/>
      <c r="AC35" s="18"/>
      <c r="AD35" s="18">
        <f t="shared" si="15"/>
        <v>0</v>
      </c>
      <c r="AE35" s="146">
        <f t="shared" si="6"/>
        <v>0</v>
      </c>
      <c r="AF35" s="20">
        <f t="shared" si="7"/>
        <v>0</v>
      </c>
    </row>
    <row r="36" spans="2:32" s="7" customFormat="1">
      <c r="B36" s="8" t="str">
        <f t="shared" si="8"/>
        <v>M</v>
      </c>
      <c r="C36" s="164" t="str">
        <f>TEXT('Table '!AJ34,"jj mmm aa")</f>
        <v>29 août 18</v>
      </c>
      <c r="D36" s="12"/>
      <c r="E36" s="12"/>
      <c r="F36" s="25">
        <f t="shared" si="9"/>
        <v>0</v>
      </c>
      <c r="G36" s="26">
        <f t="shared" si="0"/>
        <v>0</v>
      </c>
      <c r="H36" s="27">
        <f t="shared" si="1"/>
        <v>0</v>
      </c>
      <c r="I36" s="45"/>
      <c r="J36" s="8" t="str">
        <f t="shared" si="10"/>
        <v>M</v>
      </c>
      <c r="K36" s="151" t="str">
        <f>TEXT('Table '!AJ34,"jj mmm aa")</f>
        <v>29 août 18</v>
      </c>
      <c r="L36" s="12"/>
      <c r="M36" s="12"/>
      <c r="N36" s="25">
        <f t="shared" si="11"/>
        <v>0</v>
      </c>
      <c r="O36" s="26">
        <f t="shared" si="2"/>
        <v>0</v>
      </c>
      <c r="P36" s="27">
        <f t="shared" si="3"/>
        <v>0</v>
      </c>
      <c r="R36" s="8" t="str">
        <f t="shared" si="12"/>
        <v>M</v>
      </c>
      <c r="S36" s="151" t="str">
        <f>TEXT('Table '!AJ34,"jj mmm aa")</f>
        <v>29 août 18</v>
      </c>
      <c r="T36" s="12"/>
      <c r="U36" s="12"/>
      <c r="V36" s="12">
        <f t="shared" si="13"/>
        <v>0</v>
      </c>
      <c r="W36" s="13">
        <f t="shared" si="4"/>
        <v>0</v>
      </c>
      <c r="X36" s="14">
        <f t="shared" si="5"/>
        <v>0</v>
      </c>
      <c r="Y36" s="21"/>
      <c r="Z36" s="131" t="str">
        <f t="shared" si="14"/>
        <v>M</v>
      </c>
      <c r="AA36" s="138" t="str">
        <f>TEXT('Table '!AJ34,"jj mmm aa")</f>
        <v>29 août 18</v>
      </c>
      <c r="AB36" s="18"/>
      <c r="AC36" s="18"/>
      <c r="AD36" s="18">
        <f t="shared" si="15"/>
        <v>0</v>
      </c>
      <c r="AE36" s="146">
        <f t="shared" si="6"/>
        <v>0</v>
      </c>
      <c r="AF36" s="20">
        <f t="shared" si="7"/>
        <v>0</v>
      </c>
    </row>
    <row r="37" spans="2:32" s="7" customFormat="1">
      <c r="B37" s="8" t="str">
        <f t="shared" si="8"/>
        <v>J</v>
      </c>
      <c r="C37" s="164" t="str">
        <f>TEXT('Table '!AJ35,"jj mmm aa")</f>
        <v>30 août 18</v>
      </c>
      <c r="D37" s="25"/>
      <c r="E37" s="25"/>
      <c r="F37" s="25">
        <f t="shared" ref="F37:F38" si="16">E37-D37</f>
        <v>0</v>
      </c>
      <c r="G37" s="26">
        <f t="shared" ref="G37:G38" si="17">IF(F37&gt;=$F$1,1,0)</f>
        <v>0</v>
      </c>
      <c r="H37" s="27">
        <f t="shared" ref="H37:H38" si="18">IF(F37&lt;$F$1,F37,0)</f>
        <v>0</v>
      </c>
      <c r="I37" s="45"/>
      <c r="J37" s="8" t="str">
        <f t="shared" si="10"/>
        <v>J</v>
      </c>
      <c r="K37" s="151" t="str">
        <f>TEXT('Table '!AJ35,"jj mmm aa")</f>
        <v>30 août 18</v>
      </c>
      <c r="L37" s="25"/>
      <c r="M37" s="25"/>
      <c r="N37" s="25">
        <f t="shared" si="11"/>
        <v>0</v>
      </c>
      <c r="O37" s="26">
        <f t="shared" si="2"/>
        <v>0</v>
      </c>
      <c r="P37" s="27">
        <f t="shared" si="3"/>
        <v>0</v>
      </c>
      <c r="R37" s="8" t="str">
        <f t="shared" si="12"/>
        <v>J</v>
      </c>
      <c r="S37" s="151" t="str">
        <f>TEXT('Table '!AJ35,"jj mmm aa")</f>
        <v>30 août 18</v>
      </c>
      <c r="T37" s="12"/>
      <c r="U37" s="12"/>
      <c r="V37" s="12">
        <f t="shared" si="13"/>
        <v>0</v>
      </c>
      <c r="W37" s="13">
        <f t="shared" si="4"/>
        <v>0</v>
      </c>
      <c r="X37" s="14">
        <f t="shared" si="5"/>
        <v>0</v>
      </c>
      <c r="Y37" s="21"/>
      <c r="Z37" s="131" t="str">
        <f t="shared" si="14"/>
        <v>J</v>
      </c>
      <c r="AA37" s="138" t="str">
        <f>TEXT('Table '!AJ35,"jj mmm aa")</f>
        <v>30 août 18</v>
      </c>
      <c r="AB37" s="18"/>
      <c r="AC37" s="18"/>
      <c r="AD37" s="18">
        <f t="shared" si="15"/>
        <v>0</v>
      </c>
      <c r="AE37" s="146">
        <f t="shared" si="6"/>
        <v>0</v>
      </c>
      <c r="AF37" s="20">
        <f t="shared" si="7"/>
        <v>0</v>
      </c>
    </row>
    <row r="38" spans="2:32" s="7" customFormat="1" ht="15.75" thickBot="1">
      <c r="B38" s="8" t="str">
        <f t="shared" si="8"/>
        <v>V</v>
      </c>
      <c r="C38" s="164" t="str">
        <f>TEXT('Table '!AJ36,"jj mmm aa")</f>
        <v>31 août 18</v>
      </c>
      <c r="D38" s="156"/>
      <c r="E38" s="156"/>
      <c r="F38" s="156">
        <f t="shared" si="16"/>
        <v>0</v>
      </c>
      <c r="G38" s="157">
        <f t="shared" si="17"/>
        <v>0</v>
      </c>
      <c r="H38" s="158">
        <f t="shared" si="18"/>
        <v>0</v>
      </c>
      <c r="I38" s="21"/>
      <c r="J38" s="8" t="str">
        <f t="shared" si="10"/>
        <v>V</v>
      </c>
      <c r="K38" s="151" t="str">
        <f>TEXT('Table '!AJ36,"jj mmm aa")</f>
        <v>31 août 18</v>
      </c>
      <c r="L38" s="156"/>
      <c r="M38" s="156"/>
      <c r="N38" s="156">
        <f t="shared" si="11"/>
        <v>0</v>
      </c>
      <c r="O38" s="157">
        <f t="shared" si="2"/>
        <v>0</v>
      </c>
      <c r="P38" s="158">
        <f t="shared" si="3"/>
        <v>0</v>
      </c>
      <c r="Q38" s="21"/>
      <c r="R38" s="8" t="str">
        <f t="shared" si="12"/>
        <v>V</v>
      </c>
      <c r="S38" s="151" t="str">
        <f>TEXT('Table '!AJ36,"jj mmm aa")</f>
        <v>31 août 18</v>
      </c>
      <c r="T38" s="156"/>
      <c r="U38" s="156"/>
      <c r="V38" s="156">
        <f t="shared" si="13"/>
        <v>0</v>
      </c>
      <c r="W38" s="157">
        <f t="shared" si="4"/>
        <v>0</v>
      </c>
      <c r="X38" s="158">
        <f t="shared" si="5"/>
        <v>0</v>
      </c>
      <c r="Y38" s="21"/>
      <c r="Z38" s="131" t="str">
        <f t="shared" si="14"/>
        <v>V</v>
      </c>
      <c r="AA38" s="138" t="str">
        <f>TEXT('Table '!AJ36,"jj mmm aa")</f>
        <v>31 août 18</v>
      </c>
      <c r="AB38" s="156"/>
      <c r="AC38" s="156"/>
      <c r="AD38" s="156">
        <f t="shared" si="15"/>
        <v>0</v>
      </c>
      <c r="AE38" s="157">
        <f t="shared" si="6"/>
        <v>0</v>
      </c>
      <c r="AF38" s="158">
        <f t="shared" si="7"/>
        <v>0</v>
      </c>
    </row>
    <row r="39" spans="2:32" s="7" customFormat="1" ht="19.5" thickTop="1">
      <c r="B39" s="127"/>
      <c r="C39" s="62"/>
      <c r="D39" s="62"/>
      <c r="E39" s="63" t="s">
        <v>9</v>
      </c>
      <c r="F39" s="62"/>
      <c r="G39" s="64">
        <f>SUM(G8:G38)</f>
        <v>0</v>
      </c>
      <c r="H39" s="65"/>
      <c r="J39" s="127"/>
      <c r="K39" s="62"/>
      <c r="L39" s="62"/>
      <c r="M39" s="63" t="s">
        <v>9</v>
      </c>
      <c r="N39" s="62"/>
      <c r="O39" s="64">
        <f>SUM(O8:O38)</f>
        <v>0</v>
      </c>
      <c r="P39" s="65"/>
      <c r="R39" s="127"/>
      <c r="S39" s="62"/>
      <c r="T39" s="62"/>
      <c r="U39" s="63" t="s">
        <v>9</v>
      </c>
      <c r="V39" s="62"/>
      <c r="W39" s="64">
        <f>SUM(W8:W38)</f>
        <v>0</v>
      </c>
      <c r="X39" s="65"/>
      <c r="Z39" s="127"/>
      <c r="AA39" s="62"/>
      <c r="AB39" s="62"/>
      <c r="AC39" s="63" t="s">
        <v>9</v>
      </c>
      <c r="AD39" s="62"/>
      <c r="AE39" s="64">
        <f>SUM(AE8:AE38)</f>
        <v>0</v>
      </c>
      <c r="AF39" s="65"/>
    </row>
    <row r="40" spans="2:32" s="36" customFormat="1" ht="18.75">
      <c r="B40" s="128"/>
      <c r="C40" s="33"/>
      <c r="D40" s="33"/>
      <c r="E40" s="34" t="s">
        <v>10</v>
      </c>
      <c r="F40" s="33"/>
      <c r="G40" s="35"/>
      <c r="H40" s="32">
        <f>SUM(H8:H38)*24</f>
        <v>0</v>
      </c>
      <c r="J40" s="128"/>
      <c r="K40" s="33"/>
      <c r="L40" s="33"/>
      <c r="M40" s="34" t="s">
        <v>10</v>
      </c>
      <c r="N40" s="33"/>
      <c r="O40" s="35"/>
      <c r="P40" s="32">
        <f>SUM(P8:P38)*24</f>
        <v>0</v>
      </c>
      <c r="R40" s="128"/>
      <c r="S40" s="33"/>
      <c r="T40" s="33"/>
      <c r="U40" s="34" t="s">
        <v>10</v>
      </c>
      <c r="V40" s="33"/>
      <c r="W40" s="35"/>
      <c r="X40" s="32">
        <f>SUM(X8:X38)*24</f>
        <v>0</v>
      </c>
      <c r="Z40" s="128"/>
      <c r="AA40" s="33"/>
      <c r="AB40" s="33"/>
      <c r="AC40" s="34" t="s">
        <v>10</v>
      </c>
      <c r="AD40" s="33"/>
      <c r="AE40" s="35"/>
      <c r="AF40" s="32">
        <f>SUM(AF8:AF38)*24</f>
        <v>0</v>
      </c>
    </row>
    <row r="41" spans="2:32" s="7" customFormat="1" ht="15.75" thickBot="1">
      <c r="B41" s="129"/>
      <c r="C41" s="16"/>
      <c r="D41" s="16"/>
      <c r="E41" s="16"/>
      <c r="F41" s="16"/>
      <c r="G41" s="16"/>
      <c r="H41" s="17"/>
      <c r="J41" s="129"/>
      <c r="K41" s="16"/>
      <c r="L41" s="16"/>
      <c r="M41" s="16"/>
      <c r="N41" s="16"/>
      <c r="O41" s="16"/>
      <c r="P41" s="17"/>
      <c r="R41" s="129"/>
      <c r="S41" s="16"/>
      <c r="T41" s="16"/>
      <c r="U41" s="16"/>
      <c r="V41" s="16"/>
      <c r="W41" s="16"/>
      <c r="X41" s="17"/>
      <c r="Z41" s="129"/>
      <c r="AA41" s="16"/>
      <c r="AB41" s="16"/>
      <c r="AC41" s="16"/>
      <c r="AD41" s="16"/>
      <c r="AE41" s="16"/>
      <c r="AF41" s="17"/>
    </row>
    <row r="42" spans="2:32" ht="15.75" thickTop="1"/>
  </sheetData>
  <mergeCells count="4">
    <mergeCell ref="B5:H6"/>
    <mergeCell ref="J5:P6"/>
    <mergeCell ref="R5:X6"/>
    <mergeCell ref="Z5:AF6"/>
  </mergeCells>
  <conditionalFormatting sqref="B8:H38 J8:P38 R8:X38 Z8:AF38">
    <cfRule type="expression" dxfId="14" priority="2">
      <formula>AND($B8="D")</formula>
    </cfRule>
    <cfRule type="expression" dxfId="13" priority="3">
      <formula>AND($B8="S")</formula>
    </cfRule>
    <cfRule type="expression" dxfId="12" priority="1">
      <formula>COUNTIF(Feries,$C8)&gt;0</formula>
    </cfRule>
  </conditionalFormatting>
  <pageMargins left="0.7" right="0.7" top="0.75" bottom="0.75" header="0.3" footer="0.3"/>
  <pageSetup paperSize="9" orientation="portrait" horizontalDpi="4294967294" verticalDpi="4294967294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0">
    <tabColor rgb="FFFF5050"/>
  </sheetPr>
  <dimension ref="B1:AF42"/>
  <sheetViews>
    <sheetView showGridLines="0" workbookViewId="0"/>
  </sheetViews>
  <sheetFormatPr baseColWidth="10" defaultRowHeight="15"/>
  <cols>
    <col min="1" max="1" width="1.42578125" customWidth="1"/>
    <col min="2" max="2" width="3.7109375" customWidth="1"/>
    <col min="3" max="3" width="12.85546875" style="1" customWidth="1"/>
    <col min="4" max="8" width="9.5703125" style="1" customWidth="1"/>
    <col min="9" max="9" width="1.7109375" customWidth="1"/>
    <col min="10" max="10" width="3.7109375" customWidth="1"/>
    <col min="11" max="16" width="9.5703125" customWidth="1"/>
    <col min="17" max="17" width="1.7109375" customWidth="1"/>
    <col min="18" max="18" width="3.7109375" customWidth="1"/>
    <col min="19" max="24" width="9.5703125" customWidth="1"/>
    <col min="25" max="25" width="1.7109375" customWidth="1"/>
    <col min="26" max="26" width="3.7109375" customWidth="1"/>
    <col min="27" max="32" width="9.5703125" customWidth="1"/>
  </cols>
  <sheetData>
    <row r="1" spans="2:32">
      <c r="C1" s="56" t="s">
        <v>0</v>
      </c>
      <c r="D1" s="56"/>
      <c r="E1" s="56"/>
      <c r="F1" s="57">
        <v>0.33333333333333331</v>
      </c>
      <c r="G1" s="56" t="s">
        <v>1</v>
      </c>
      <c r="H1" s="56"/>
      <c r="L1" s="165"/>
      <c r="M1" s="165"/>
      <c r="N1" s="165"/>
    </row>
    <row r="2" spans="2:32">
      <c r="C2" s="56" t="s">
        <v>2</v>
      </c>
      <c r="D2" s="57">
        <v>0.33333333333333331</v>
      </c>
      <c r="E2" s="56" t="s">
        <v>3</v>
      </c>
      <c r="F2" s="56"/>
      <c r="G2" s="56"/>
      <c r="H2" s="56"/>
      <c r="L2" s="165"/>
      <c r="M2" s="165"/>
      <c r="N2" s="165"/>
    </row>
    <row r="3" spans="2:32">
      <c r="C3" s="56"/>
      <c r="D3" s="56"/>
      <c r="E3" s="56"/>
      <c r="F3" s="56"/>
      <c r="G3" s="56"/>
      <c r="H3" s="56"/>
      <c r="L3" s="165"/>
      <c r="M3" s="165"/>
      <c r="N3" s="165"/>
    </row>
    <row r="4" spans="2:32" ht="15.75" thickBot="1">
      <c r="C4" s="6"/>
    </row>
    <row r="5" spans="2:32" s="7" customFormat="1" ht="15.75" customHeight="1" thickTop="1">
      <c r="B5" s="338">
        <f>'Table '!C3</f>
        <v>1</v>
      </c>
      <c r="C5" s="339"/>
      <c r="D5" s="339" t="e">
        <f>'Table '!#REF!</f>
        <v>#REF!</v>
      </c>
      <c r="E5" s="339"/>
      <c r="F5" s="339"/>
      <c r="G5" s="339"/>
      <c r="H5" s="340"/>
      <c r="J5" s="344">
        <f>'Table '!G3</f>
        <v>2</v>
      </c>
      <c r="K5" s="345"/>
      <c r="L5" s="345" t="e">
        <f>'Table '!#REF!</f>
        <v>#REF!</v>
      </c>
      <c r="M5" s="345"/>
      <c r="N5" s="345"/>
      <c r="O5" s="345"/>
      <c r="P5" s="346"/>
      <c r="R5" s="350">
        <f>'Table '!C6</f>
        <v>3</v>
      </c>
      <c r="S5" s="351"/>
      <c r="T5" s="351" t="e">
        <f>'Table '!#REF!</f>
        <v>#REF!</v>
      </c>
      <c r="U5" s="351"/>
      <c r="V5" s="351"/>
      <c r="W5" s="351"/>
      <c r="X5" s="352"/>
      <c r="Z5" s="356">
        <f>'Table '!G6</f>
        <v>4</v>
      </c>
      <c r="AA5" s="357"/>
      <c r="AB5" s="357" t="e">
        <f>'Table '!#REF!</f>
        <v>#REF!</v>
      </c>
      <c r="AC5" s="357"/>
      <c r="AD5" s="357"/>
      <c r="AE5" s="357"/>
      <c r="AF5" s="358"/>
    </row>
    <row r="6" spans="2:32" s="7" customFormat="1" ht="15" customHeight="1">
      <c r="B6" s="341"/>
      <c r="C6" s="342"/>
      <c r="D6" s="342"/>
      <c r="E6" s="342"/>
      <c r="F6" s="342"/>
      <c r="G6" s="342"/>
      <c r="H6" s="343"/>
      <c r="J6" s="347"/>
      <c r="K6" s="348"/>
      <c r="L6" s="348"/>
      <c r="M6" s="348"/>
      <c r="N6" s="348"/>
      <c r="O6" s="348"/>
      <c r="P6" s="349"/>
      <c r="R6" s="353"/>
      <c r="S6" s="354"/>
      <c r="T6" s="354"/>
      <c r="U6" s="354"/>
      <c r="V6" s="354"/>
      <c r="W6" s="354"/>
      <c r="X6" s="355"/>
      <c r="Z6" s="359"/>
      <c r="AA6" s="360"/>
      <c r="AB6" s="360"/>
      <c r="AC6" s="360"/>
      <c r="AD6" s="360"/>
      <c r="AE6" s="360"/>
      <c r="AF6" s="361"/>
    </row>
    <row r="7" spans="2:32" s="11" customFormat="1" ht="39" customHeight="1">
      <c r="B7" s="8"/>
      <c r="C7" s="15"/>
      <c r="D7" s="9" t="s">
        <v>4</v>
      </c>
      <c r="E7" s="9" t="s">
        <v>5</v>
      </c>
      <c r="F7" s="9" t="s">
        <v>6</v>
      </c>
      <c r="G7" s="9" t="s">
        <v>7</v>
      </c>
      <c r="H7" s="10" t="s">
        <v>8</v>
      </c>
      <c r="J7" s="8"/>
      <c r="K7" s="15"/>
      <c r="L7" s="9" t="s">
        <v>4</v>
      </c>
      <c r="M7" s="9" t="s">
        <v>5</v>
      </c>
      <c r="N7" s="9" t="s">
        <v>6</v>
      </c>
      <c r="O7" s="9" t="s">
        <v>7</v>
      </c>
      <c r="P7" s="10" t="s">
        <v>8</v>
      </c>
      <c r="R7" s="8"/>
      <c r="S7" s="15"/>
      <c r="T7" s="9" t="s">
        <v>4</v>
      </c>
      <c r="U7" s="9" t="s">
        <v>5</v>
      </c>
      <c r="V7" s="9" t="s">
        <v>6</v>
      </c>
      <c r="W7" s="9" t="s">
        <v>7</v>
      </c>
      <c r="X7" s="10" t="s">
        <v>8</v>
      </c>
      <c r="Z7" s="8"/>
      <c r="AA7" s="15"/>
      <c r="AB7" s="9" t="s">
        <v>4</v>
      </c>
      <c r="AC7" s="9" t="s">
        <v>5</v>
      </c>
      <c r="AD7" s="9" t="s">
        <v>6</v>
      </c>
      <c r="AE7" s="9" t="s">
        <v>7</v>
      </c>
      <c r="AF7" s="10" t="s">
        <v>8</v>
      </c>
    </row>
    <row r="8" spans="2:32" s="7" customFormat="1">
      <c r="B8" s="8" t="str">
        <f>CHOOSE(WEEKDAY(C8),"D","L","M","M","J","V","S")</f>
        <v>S</v>
      </c>
      <c r="C8" s="164" t="str">
        <f>TEXT('Table '!AK6,"jj mmm aa")</f>
        <v>01 sept 18</v>
      </c>
      <c r="D8" s="12"/>
      <c r="E8" s="12"/>
      <c r="F8" s="12">
        <f>E8-D8</f>
        <v>0</v>
      </c>
      <c r="G8" s="13">
        <f t="shared" ref="G8:G36" si="0">IF(F8&gt;=$F$1,1,0)</f>
        <v>0</v>
      </c>
      <c r="H8" s="14">
        <f t="shared" ref="H8:H36" si="1">IF(F8&lt;$F$1,F8,0)</f>
        <v>0</v>
      </c>
      <c r="J8" s="8" t="str">
        <f>CHOOSE(WEEKDAY(C8),"D","L","M","M","J","V","S")</f>
        <v>S</v>
      </c>
      <c r="K8" s="151" t="str">
        <f>TEXT('Table '!AK6,"jj mmm aa")</f>
        <v>01 sept 18</v>
      </c>
      <c r="L8" s="12"/>
      <c r="M8" s="12"/>
      <c r="N8" s="12">
        <f>M8-L8</f>
        <v>0</v>
      </c>
      <c r="O8" s="13">
        <f t="shared" ref="O8:O38" si="2">IF(N8&gt;=$F$1,1,0)</f>
        <v>0</v>
      </c>
      <c r="P8" s="14">
        <f t="shared" ref="P8:P38" si="3">IF(N8&lt;$F$1,N8,0)</f>
        <v>0</v>
      </c>
      <c r="R8" s="8" t="str">
        <f>CHOOSE(WEEKDAY(C8),"D","L","M","M","J","V","S")</f>
        <v>S</v>
      </c>
      <c r="S8" s="151" t="str">
        <f>TEXT('Table '!AK6,"jj mmm aa")</f>
        <v>01 sept 18</v>
      </c>
      <c r="T8" s="12"/>
      <c r="U8" s="12"/>
      <c r="V8" s="12">
        <f>U8-T8</f>
        <v>0</v>
      </c>
      <c r="W8" s="13">
        <f t="shared" ref="W8:W38" si="4">IF(V8&gt;=$F$1,1,0)</f>
        <v>0</v>
      </c>
      <c r="X8" s="14">
        <f t="shared" ref="X8:X38" si="5">IF(V8&lt;$F$1,V8,0)</f>
        <v>0</v>
      </c>
      <c r="Y8" s="21"/>
      <c r="Z8" s="131" t="str">
        <f>CHOOSE(WEEKDAY(C8),"D","L","M","M","J","V","S")</f>
        <v>S</v>
      </c>
      <c r="AA8" s="138" t="str">
        <f>TEXT('Table '!AK6,"jj mmm aa")</f>
        <v>01 sept 18</v>
      </c>
      <c r="AB8" s="18"/>
      <c r="AC8" s="18"/>
      <c r="AD8" s="18">
        <f>AC8-AB8</f>
        <v>0</v>
      </c>
      <c r="AE8" s="146">
        <f t="shared" ref="AE8:AE38" si="6">IF(AD8&gt;=$F$1,1,0)</f>
        <v>0</v>
      </c>
      <c r="AF8" s="20">
        <f t="shared" ref="AF8:AF38" si="7">IF(AD8&lt;$F$1,AD8,0)</f>
        <v>0</v>
      </c>
    </row>
    <row r="9" spans="2:32" s="7" customFormat="1">
      <c r="B9" s="8" t="str">
        <f t="shared" ref="B9:B37" si="8">CHOOSE(WEEKDAY(C9),"D","L","M","M","J","V","S")</f>
        <v>D</v>
      </c>
      <c r="C9" s="164" t="str">
        <f>TEXT('Table '!AK7,"jj mmm aa")</f>
        <v>02 sept 18</v>
      </c>
      <c r="D9" s="12"/>
      <c r="E9" s="12"/>
      <c r="F9" s="12">
        <f t="shared" ref="F9:F38" si="9">E9-D9</f>
        <v>0</v>
      </c>
      <c r="G9" s="13">
        <f t="shared" si="0"/>
        <v>0</v>
      </c>
      <c r="H9" s="14">
        <f t="shared" si="1"/>
        <v>0</v>
      </c>
      <c r="J9" s="8" t="str">
        <f t="shared" ref="J9:J37" si="10">CHOOSE(WEEKDAY(C9),"D","L","M","M","J","V","S")</f>
        <v>D</v>
      </c>
      <c r="K9" s="151" t="str">
        <f>TEXT('Table '!AK7,"jj mmm aa")</f>
        <v>02 sept 18</v>
      </c>
      <c r="L9" s="12"/>
      <c r="M9" s="12"/>
      <c r="N9" s="12">
        <f t="shared" ref="N9:N38" si="11">M9-L9</f>
        <v>0</v>
      </c>
      <c r="O9" s="13">
        <f t="shared" si="2"/>
        <v>0</v>
      </c>
      <c r="P9" s="14">
        <f t="shared" si="3"/>
        <v>0</v>
      </c>
      <c r="R9" s="8" t="str">
        <f t="shared" ref="R9:R37" si="12">CHOOSE(WEEKDAY(C9),"D","L","M","M","J","V","S")</f>
        <v>D</v>
      </c>
      <c r="S9" s="151" t="str">
        <f>TEXT('Table '!AK7,"jj mmm aa")</f>
        <v>02 sept 18</v>
      </c>
      <c r="T9" s="12"/>
      <c r="U9" s="12"/>
      <c r="V9" s="12">
        <f t="shared" ref="V9:V38" si="13">U9-T9</f>
        <v>0</v>
      </c>
      <c r="W9" s="13">
        <f t="shared" si="4"/>
        <v>0</v>
      </c>
      <c r="X9" s="14">
        <f t="shared" si="5"/>
        <v>0</v>
      </c>
      <c r="Y9" s="21"/>
      <c r="Z9" s="131" t="str">
        <f t="shared" ref="Z9:Z37" si="14">CHOOSE(WEEKDAY(C9),"D","L","M","M","J","V","S")</f>
        <v>D</v>
      </c>
      <c r="AA9" s="138" t="str">
        <f>TEXT('Table '!AK7,"jj mmm aa")</f>
        <v>02 sept 18</v>
      </c>
      <c r="AB9" s="18"/>
      <c r="AC9" s="18"/>
      <c r="AD9" s="18">
        <f t="shared" ref="AD9:AD38" si="15">AC9-AB9</f>
        <v>0</v>
      </c>
      <c r="AE9" s="146">
        <f t="shared" si="6"/>
        <v>0</v>
      </c>
      <c r="AF9" s="20">
        <f t="shared" si="7"/>
        <v>0</v>
      </c>
    </row>
    <row r="10" spans="2:32" s="7" customFormat="1">
      <c r="B10" s="8" t="str">
        <f t="shared" si="8"/>
        <v>L</v>
      </c>
      <c r="C10" s="164" t="str">
        <f>TEXT('Table '!AK8,"jj mmm aa")</f>
        <v>03 sept 18</v>
      </c>
      <c r="D10" s="12"/>
      <c r="E10" s="12"/>
      <c r="F10" s="12">
        <f t="shared" si="9"/>
        <v>0</v>
      </c>
      <c r="G10" s="13">
        <f t="shared" si="0"/>
        <v>0</v>
      </c>
      <c r="H10" s="14">
        <f t="shared" si="1"/>
        <v>0</v>
      </c>
      <c r="J10" s="8" t="str">
        <f t="shared" si="10"/>
        <v>L</v>
      </c>
      <c r="K10" s="151" t="str">
        <f>TEXT('Table '!AK8,"jj mmm aa")</f>
        <v>03 sept 18</v>
      </c>
      <c r="L10" s="12"/>
      <c r="M10" s="12"/>
      <c r="N10" s="12">
        <f t="shared" si="11"/>
        <v>0</v>
      </c>
      <c r="O10" s="13">
        <f t="shared" si="2"/>
        <v>0</v>
      </c>
      <c r="P10" s="14">
        <f t="shared" si="3"/>
        <v>0</v>
      </c>
      <c r="R10" s="8" t="str">
        <f t="shared" si="12"/>
        <v>L</v>
      </c>
      <c r="S10" s="151" t="str">
        <f>TEXT('Table '!AK8,"jj mmm aa")</f>
        <v>03 sept 18</v>
      </c>
      <c r="T10" s="12"/>
      <c r="U10" s="12"/>
      <c r="V10" s="12">
        <f t="shared" si="13"/>
        <v>0</v>
      </c>
      <c r="W10" s="13">
        <f t="shared" si="4"/>
        <v>0</v>
      </c>
      <c r="X10" s="14">
        <f t="shared" si="5"/>
        <v>0</v>
      </c>
      <c r="Y10" s="21"/>
      <c r="Z10" s="131" t="str">
        <f t="shared" si="14"/>
        <v>L</v>
      </c>
      <c r="AA10" s="138" t="str">
        <f>TEXT('Table '!AK8,"jj mmm aa")</f>
        <v>03 sept 18</v>
      </c>
      <c r="AB10" s="18"/>
      <c r="AC10" s="18"/>
      <c r="AD10" s="18">
        <f t="shared" si="15"/>
        <v>0</v>
      </c>
      <c r="AE10" s="146">
        <f t="shared" si="6"/>
        <v>0</v>
      </c>
      <c r="AF10" s="20">
        <f t="shared" si="7"/>
        <v>0</v>
      </c>
    </row>
    <row r="11" spans="2:32" s="7" customFormat="1">
      <c r="B11" s="8" t="str">
        <f t="shared" si="8"/>
        <v>M</v>
      </c>
      <c r="C11" s="164" t="str">
        <f>TEXT('Table '!AK9,"jj mmm aa")</f>
        <v>04 sept 18</v>
      </c>
      <c r="D11" s="12"/>
      <c r="E11" s="12"/>
      <c r="F11" s="25">
        <f t="shared" si="9"/>
        <v>0</v>
      </c>
      <c r="G11" s="26">
        <f t="shared" si="0"/>
        <v>0</v>
      </c>
      <c r="H11" s="27">
        <f t="shared" si="1"/>
        <v>0</v>
      </c>
      <c r="I11" s="45"/>
      <c r="J11" s="8" t="str">
        <f t="shared" si="10"/>
        <v>M</v>
      </c>
      <c r="K11" s="151" t="str">
        <f>TEXT('Table '!AK9,"jj mmm aa")</f>
        <v>04 sept 18</v>
      </c>
      <c r="L11" s="25"/>
      <c r="M11" s="25"/>
      <c r="N11" s="25">
        <f>M11-L11</f>
        <v>0</v>
      </c>
      <c r="O11" s="26">
        <f t="shared" si="2"/>
        <v>0</v>
      </c>
      <c r="P11" s="27">
        <f t="shared" si="3"/>
        <v>0</v>
      </c>
      <c r="R11" s="8" t="str">
        <f t="shared" si="12"/>
        <v>M</v>
      </c>
      <c r="S11" s="151" t="str">
        <f>TEXT('Table '!AK9,"jj mmm aa")</f>
        <v>04 sept 18</v>
      </c>
      <c r="T11" s="12"/>
      <c r="U11" s="12"/>
      <c r="V11" s="12">
        <f t="shared" si="13"/>
        <v>0</v>
      </c>
      <c r="W11" s="13">
        <f t="shared" si="4"/>
        <v>0</v>
      </c>
      <c r="X11" s="14">
        <f t="shared" si="5"/>
        <v>0</v>
      </c>
      <c r="Y11" s="21"/>
      <c r="Z11" s="131" t="str">
        <f t="shared" si="14"/>
        <v>M</v>
      </c>
      <c r="AA11" s="138" t="str">
        <f>TEXT('Table '!AK9,"jj mmm aa")</f>
        <v>04 sept 18</v>
      </c>
      <c r="AB11" s="18"/>
      <c r="AC11" s="18"/>
      <c r="AD11" s="18">
        <f t="shared" si="15"/>
        <v>0</v>
      </c>
      <c r="AE11" s="146">
        <f t="shared" si="6"/>
        <v>0</v>
      </c>
      <c r="AF11" s="20">
        <f t="shared" si="7"/>
        <v>0</v>
      </c>
    </row>
    <row r="12" spans="2:32" s="7" customFormat="1">
      <c r="B12" s="8" t="str">
        <f t="shared" si="8"/>
        <v>M</v>
      </c>
      <c r="C12" s="164" t="str">
        <f>TEXT('Table '!AK10,"jj mmm aa")</f>
        <v>05 sept 18</v>
      </c>
      <c r="D12" s="12"/>
      <c r="E12" s="12"/>
      <c r="F12" s="25">
        <f t="shared" si="9"/>
        <v>0</v>
      </c>
      <c r="G12" s="26">
        <f t="shared" si="0"/>
        <v>0</v>
      </c>
      <c r="H12" s="27">
        <f t="shared" si="1"/>
        <v>0</v>
      </c>
      <c r="I12" s="45"/>
      <c r="J12" s="8" t="str">
        <f t="shared" si="10"/>
        <v>M</v>
      </c>
      <c r="K12" s="151" t="str">
        <f>TEXT('Table '!AK10,"jj mmm aa")</f>
        <v>05 sept 18</v>
      </c>
      <c r="L12" s="12"/>
      <c r="M12" s="12"/>
      <c r="N12" s="25">
        <f>M12-L12</f>
        <v>0</v>
      </c>
      <c r="O12" s="26">
        <f t="shared" si="2"/>
        <v>0</v>
      </c>
      <c r="P12" s="27">
        <f t="shared" si="3"/>
        <v>0</v>
      </c>
      <c r="R12" s="8" t="str">
        <f t="shared" si="12"/>
        <v>M</v>
      </c>
      <c r="S12" s="151" t="str">
        <f>TEXT('Table '!AK10,"jj mmm aa")</f>
        <v>05 sept 18</v>
      </c>
      <c r="T12" s="12"/>
      <c r="U12" s="12"/>
      <c r="V12" s="12">
        <f t="shared" si="13"/>
        <v>0</v>
      </c>
      <c r="W12" s="13">
        <f t="shared" si="4"/>
        <v>0</v>
      </c>
      <c r="X12" s="14">
        <f t="shared" si="5"/>
        <v>0</v>
      </c>
      <c r="Y12" s="21"/>
      <c r="Z12" s="131" t="str">
        <f t="shared" si="14"/>
        <v>M</v>
      </c>
      <c r="AA12" s="138" t="str">
        <f>TEXT('Table '!AK10,"jj mmm aa")</f>
        <v>05 sept 18</v>
      </c>
      <c r="AB12" s="18"/>
      <c r="AC12" s="18"/>
      <c r="AD12" s="18">
        <f t="shared" si="15"/>
        <v>0</v>
      </c>
      <c r="AE12" s="146">
        <f t="shared" si="6"/>
        <v>0</v>
      </c>
      <c r="AF12" s="20">
        <f t="shared" si="7"/>
        <v>0</v>
      </c>
    </row>
    <row r="13" spans="2:32" s="7" customFormat="1">
      <c r="B13" s="8" t="str">
        <f t="shared" si="8"/>
        <v>J</v>
      </c>
      <c r="C13" s="164" t="str">
        <f>TEXT('Table '!AK11,"jj mmm aa")</f>
        <v>06 sept 18</v>
      </c>
      <c r="D13" s="12"/>
      <c r="E13" s="12"/>
      <c r="F13" s="25">
        <f t="shared" si="9"/>
        <v>0</v>
      </c>
      <c r="G13" s="26">
        <f t="shared" si="0"/>
        <v>0</v>
      </c>
      <c r="H13" s="27">
        <f t="shared" si="1"/>
        <v>0</v>
      </c>
      <c r="I13" s="45"/>
      <c r="J13" s="8" t="str">
        <f t="shared" si="10"/>
        <v>J</v>
      </c>
      <c r="K13" s="151" t="str">
        <f>TEXT('Table '!AK11,"jj mmm aa")</f>
        <v>06 sept 18</v>
      </c>
      <c r="L13" s="12"/>
      <c r="M13" s="12"/>
      <c r="N13" s="25">
        <f t="shared" si="11"/>
        <v>0</v>
      </c>
      <c r="O13" s="26">
        <f t="shared" si="2"/>
        <v>0</v>
      </c>
      <c r="P13" s="27">
        <f t="shared" si="3"/>
        <v>0</v>
      </c>
      <c r="R13" s="8" t="str">
        <f t="shared" si="12"/>
        <v>J</v>
      </c>
      <c r="S13" s="151" t="str">
        <f>TEXT('Table '!AK11,"jj mmm aa")</f>
        <v>06 sept 18</v>
      </c>
      <c r="T13" s="12"/>
      <c r="U13" s="12"/>
      <c r="V13" s="12">
        <f t="shared" si="13"/>
        <v>0</v>
      </c>
      <c r="W13" s="13">
        <f t="shared" si="4"/>
        <v>0</v>
      </c>
      <c r="X13" s="14">
        <f t="shared" si="5"/>
        <v>0</v>
      </c>
      <c r="Y13" s="21"/>
      <c r="Z13" s="131" t="str">
        <f t="shared" si="14"/>
        <v>J</v>
      </c>
      <c r="AA13" s="138" t="str">
        <f>TEXT('Table '!AK11,"jj mmm aa")</f>
        <v>06 sept 18</v>
      </c>
      <c r="AB13" s="18"/>
      <c r="AC13" s="18"/>
      <c r="AD13" s="18">
        <f t="shared" si="15"/>
        <v>0</v>
      </c>
      <c r="AE13" s="146">
        <f t="shared" si="6"/>
        <v>0</v>
      </c>
      <c r="AF13" s="20">
        <f t="shared" si="7"/>
        <v>0</v>
      </c>
    </row>
    <row r="14" spans="2:32" s="7" customFormat="1">
      <c r="B14" s="8" t="str">
        <f t="shared" si="8"/>
        <v>V</v>
      </c>
      <c r="C14" s="164" t="str">
        <f>TEXT('Table '!AK12,"jj mmm aa")</f>
        <v>07 sept 18</v>
      </c>
      <c r="D14" s="12"/>
      <c r="E14" s="12"/>
      <c r="F14" s="25">
        <f t="shared" si="9"/>
        <v>0</v>
      </c>
      <c r="G14" s="26">
        <f t="shared" si="0"/>
        <v>0</v>
      </c>
      <c r="H14" s="27">
        <f t="shared" si="1"/>
        <v>0</v>
      </c>
      <c r="I14" s="45"/>
      <c r="J14" s="8" t="str">
        <f t="shared" si="10"/>
        <v>V</v>
      </c>
      <c r="K14" s="151" t="str">
        <f>TEXT('Table '!AK12,"jj mmm aa")</f>
        <v>07 sept 18</v>
      </c>
      <c r="L14" s="12"/>
      <c r="M14" s="12"/>
      <c r="N14" s="25">
        <f t="shared" si="11"/>
        <v>0</v>
      </c>
      <c r="O14" s="26">
        <f t="shared" si="2"/>
        <v>0</v>
      </c>
      <c r="P14" s="27">
        <f t="shared" si="3"/>
        <v>0</v>
      </c>
      <c r="R14" s="8" t="str">
        <f t="shared" si="12"/>
        <v>V</v>
      </c>
      <c r="S14" s="151" t="str">
        <f>TEXT('Table '!AK12,"jj mmm aa")</f>
        <v>07 sept 18</v>
      </c>
      <c r="T14" s="12"/>
      <c r="U14" s="12"/>
      <c r="V14" s="12">
        <f t="shared" si="13"/>
        <v>0</v>
      </c>
      <c r="W14" s="13">
        <f t="shared" si="4"/>
        <v>0</v>
      </c>
      <c r="X14" s="14">
        <f t="shared" si="5"/>
        <v>0</v>
      </c>
      <c r="Y14" s="21"/>
      <c r="Z14" s="131" t="str">
        <f t="shared" si="14"/>
        <v>V</v>
      </c>
      <c r="AA14" s="138" t="str">
        <f>TEXT('Table '!AK12,"jj mmm aa")</f>
        <v>07 sept 18</v>
      </c>
      <c r="AB14" s="18"/>
      <c r="AC14" s="18"/>
      <c r="AD14" s="18">
        <f t="shared" si="15"/>
        <v>0</v>
      </c>
      <c r="AE14" s="146">
        <f t="shared" si="6"/>
        <v>0</v>
      </c>
      <c r="AF14" s="20">
        <f t="shared" si="7"/>
        <v>0</v>
      </c>
    </row>
    <row r="15" spans="2:32" s="7" customFormat="1">
      <c r="B15" s="8" t="str">
        <f t="shared" si="8"/>
        <v>S</v>
      </c>
      <c r="C15" s="164" t="str">
        <f>TEXT('Table '!AK13,"jj mmm aa")</f>
        <v>08 sept 18</v>
      </c>
      <c r="D15" s="12"/>
      <c r="E15" s="12"/>
      <c r="F15" s="25">
        <f t="shared" si="9"/>
        <v>0</v>
      </c>
      <c r="G15" s="26">
        <f t="shared" si="0"/>
        <v>0</v>
      </c>
      <c r="H15" s="27">
        <f t="shared" si="1"/>
        <v>0</v>
      </c>
      <c r="I15" s="45"/>
      <c r="J15" s="8" t="str">
        <f t="shared" si="10"/>
        <v>S</v>
      </c>
      <c r="K15" s="151" t="str">
        <f>TEXT('Table '!AK13,"jj mmm aa")</f>
        <v>08 sept 18</v>
      </c>
      <c r="L15" s="12"/>
      <c r="M15" s="12"/>
      <c r="N15" s="25">
        <f t="shared" si="11"/>
        <v>0</v>
      </c>
      <c r="O15" s="26">
        <f t="shared" si="2"/>
        <v>0</v>
      </c>
      <c r="P15" s="27">
        <f t="shared" si="3"/>
        <v>0</v>
      </c>
      <c r="R15" s="8" t="str">
        <f t="shared" si="12"/>
        <v>S</v>
      </c>
      <c r="S15" s="151" t="str">
        <f>TEXT('Table '!AK13,"jj mmm aa")</f>
        <v>08 sept 18</v>
      </c>
      <c r="T15" s="12"/>
      <c r="U15" s="12"/>
      <c r="V15" s="12">
        <f t="shared" si="13"/>
        <v>0</v>
      </c>
      <c r="W15" s="13">
        <f t="shared" si="4"/>
        <v>0</v>
      </c>
      <c r="X15" s="14">
        <f t="shared" si="5"/>
        <v>0</v>
      </c>
      <c r="Y15" s="21"/>
      <c r="Z15" s="131" t="str">
        <f t="shared" si="14"/>
        <v>S</v>
      </c>
      <c r="AA15" s="138" t="str">
        <f>TEXT('Table '!AK13,"jj mmm aa")</f>
        <v>08 sept 18</v>
      </c>
      <c r="AB15" s="18"/>
      <c r="AC15" s="18"/>
      <c r="AD15" s="18">
        <f t="shared" si="15"/>
        <v>0</v>
      </c>
      <c r="AE15" s="146">
        <f t="shared" si="6"/>
        <v>0</v>
      </c>
      <c r="AF15" s="20">
        <f t="shared" si="7"/>
        <v>0</v>
      </c>
    </row>
    <row r="16" spans="2:32" s="7" customFormat="1">
      <c r="B16" s="8" t="str">
        <f t="shared" si="8"/>
        <v>D</v>
      </c>
      <c r="C16" s="164" t="str">
        <f>TEXT('Table '!AK14,"jj mmm aa")</f>
        <v>09 sept 18</v>
      </c>
      <c r="D16" s="25"/>
      <c r="E16" s="25"/>
      <c r="F16" s="25">
        <f t="shared" si="9"/>
        <v>0</v>
      </c>
      <c r="G16" s="26">
        <f t="shared" si="0"/>
        <v>0</v>
      </c>
      <c r="H16" s="27">
        <f t="shared" si="1"/>
        <v>0</v>
      </c>
      <c r="I16" s="45"/>
      <c r="J16" s="8" t="str">
        <f t="shared" si="10"/>
        <v>D</v>
      </c>
      <c r="K16" s="151" t="str">
        <f>TEXT('Table '!AK14,"jj mmm aa")</f>
        <v>09 sept 18</v>
      </c>
      <c r="L16" s="25"/>
      <c r="M16" s="25"/>
      <c r="N16" s="25">
        <f t="shared" si="11"/>
        <v>0</v>
      </c>
      <c r="O16" s="26">
        <f t="shared" si="2"/>
        <v>0</v>
      </c>
      <c r="P16" s="27">
        <f t="shared" si="3"/>
        <v>0</v>
      </c>
      <c r="R16" s="8" t="str">
        <f t="shared" si="12"/>
        <v>D</v>
      </c>
      <c r="S16" s="151" t="str">
        <f>TEXT('Table '!AK14,"jj mmm aa")</f>
        <v>09 sept 18</v>
      </c>
      <c r="T16" s="12"/>
      <c r="U16" s="12"/>
      <c r="V16" s="12">
        <f t="shared" si="13"/>
        <v>0</v>
      </c>
      <c r="W16" s="13">
        <f t="shared" si="4"/>
        <v>0</v>
      </c>
      <c r="X16" s="14">
        <f t="shared" si="5"/>
        <v>0</v>
      </c>
      <c r="Y16" s="21"/>
      <c r="Z16" s="131" t="str">
        <f t="shared" si="14"/>
        <v>D</v>
      </c>
      <c r="AA16" s="138" t="str">
        <f>TEXT('Table '!AK14,"jj mmm aa")</f>
        <v>09 sept 18</v>
      </c>
      <c r="AB16" s="18"/>
      <c r="AC16" s="18"/>
      <c r="AD16" s="18">
        <f t="shared" si="15"/>
        <v>0</v>
      </c>
      <c r="AE16" s="146">
        <f t="shared" si="6"/>
        <v>0</v>
      </c>
      <c r="AF16" s="20">
        <f t="shared" si="7"/>
        <v>0</v>
      </c>
    </row>
    <row r="17" spans="2:32" s="7" customFormat="1">
      <c r="B17" s="8" t="str">
        <f t="shared" si="8"/>
        <v>L</v>
      </c>
      <c r="C17" s="164" t="str">
        <f>TEXT('Table '!AK15,"jj mmm aa")</f>
        <v>10 sept 18</v>
      </c>
      <c r="D17" s="25"/>
      <c r="E17" s="25"/>
      <c r="F17" s="25">
        <f t="shared" si="9"/>
        <v>0</v>
      </c>
      <c r="G17" s="26">
        <f t="shared" si="0"/>
        <v>0</v>
      </c>
      <c r="H17" s="27">
        <f t="shared" si="1"/>
        <v>0</v>
      </c>
      <c r="I17" s="45"/>
      <c r="J17" s="8" t="str">
        <f t="shared" si="10"/>
        <v>L</v>
      </c>
      <c r="K17" s="151" t="str">
        <f>TEXT('Table '!AK15,"jj mmm aa")</f>
        <v>10 sept 18</v>
      </c>
      <c r="L17" s="25"/>
      <c r="M17" s="25"/>
      <c r="N17" s="25">
        <f>M17-L17</f>
        <v>0</v>
      </c>
      <c r="O17" s="26">
        <f t="shared" si="2"/>
        <v>0</v>
      </c>
      <c r="P17" s="27">
        <f t="shared" si="3"/>
        <v>0</v>
      </c>
      <c r="R17" s="8" t="str">
        <f t="shared" si="12"/>
        <v>L</v>
      </c>
      <c r="S17" s="151" t="str">
        <f>TEXT('Table '!AK15,"jj mmm aa")</f>
        <v>10 sept 18</v>
      </c>
      <c r="T17" s="44"/>
      <c r="U17" s="12"/>
      <c r="V17" s="12">
        <f t="shared" si="13"/>
        <v>0</v>
      </c>
      <c r="W17" s="13">
        <f t="shared" si="4"/>
        <v>0</v>
      </c>
      <c r="X17" s="14">
        <f t="shared" si="5"/>
        <v>0</v>
      </c>
      <c r="Y17" s="21"/>
      <c r="Z17" s="131" t="str">
        <f t="shared" si="14"/>
        <v>L</v>
      </c>
      <c r="AA17" s="138" t="str">
        <f>TEXT('Table '!AK15,"jj mmm aa")</f>
        <v>10 sept 18</v>
      </c>
      <c r="AB17" s="18"/>
      <c r="AC17" s="18"/>
      <c r="AD17" s="18">
        <f t="shared" si="15"/>
        <v>0</v>
      </c>
      <c r="AE17" s="146">
        <f t="shared" si="6"/>
        <v>0</v>
      </c>
      <c r="AF17" s="20">
        <f t="shared" si="7"/>
        <v>0</v>
      </c>
    </row>
    <row r="18" spans="2:32" s="7" customFormat="1">
      <c r="B18" s="8" t="str">
        <f t="shared" si="8"/>
        <v>M</v>
      </c>
      <c r="C18" s="164" t="str">
        <f>TEXT('Table '!AK16,"jj mmm aa")</f>
        <v>11 sept 18</v>
      </c>
      <c r="D18" s="25"/>
      <c r="E18" s="25"/>
      <c r="F18" s="25">
        <f t="shared" si="9"/>
        <v>0</v>
      </c>
      <c r="G18" s="26">
        <f t="shared" si="0"/>
        <v>0</v>
      </c>
      <c r="H18" s="27">
        <f t="shared" si="1"/>
        <v>0</v>
      </c>
      <c r="I18" s="45"/>
      <c r="J18" s="8" t="str">
        <f t="shared" si="10"/>
        <v>M</v>
      </c>
      <c r="K18" s="151" t="str">
        <f>TEXT('Table '!AK16,"jj mmm aa")</f>
        <v>11 sept 18</v>
      </c>
      <c r="L18" s="25"/>
      <c r="M18" s="25"/>
      <c r="N18" s="25">
        <f>M18-L18</f>
        <v>0</v>
      </c>
      <c r="O18" s="26">
        <f t="shared" si="2"/>
        <v>0</v>
      </c>
      <c r="P18" s="27">
        <f t="shared" si="3"/>
        <v>0</v>
      </c>
      <c r="R18" s="8" t="str">
        <f t="shared" si="12"/>
        <v>M</v>
      </c>
      <c r="S18" s="151" t="str">
        <f>TEXT('Table '!AK16,"jj mmm aa")</f>
        <v>11 sept 18</v>
      </c>
      <c r="T18" s="12"/>
      <c r="U18" s="12"/>
      <c r="V18" s="12">
        <f t="shared" si="13"/>
        <v>0</v>
      </c>
      <c r="W18" s="13">
        <f t="shared" si="4"/>
        <v>0</v>
      </c>
      <c r="X18" s="14">
        <f t="shared" si="5"/>
        <v>0</v>
      </c>
      <c r="Y18" s="21"/>
      <c r="Z18" s="131" t="str">
        <f t="shared" si="14"/>
        <v>M</v>
      </c>
      <c r="AA18" s="138" t="str">
        <f>TEXT('Table '!AK16,"jj mmm aa")</f>
        <v>11 sept 18</v>
      </c>
      <c r="AB18" s="18"/>
      <c r="AC18" s="18"/>
      <c r="AD18" s="18">
        <f t="shared" si="15"/>
        <v>0</v>
      </c>
      <c r="AE18" s="146">
        <f t="shared" si="6"/>
        <v>0</v>
      </c>
      <c r="AF18" s="20">
        <f t="shared" si="7"/>
        <v>0</v>
      </c>
    </row>
    <row r="19" spans="2:32" s="7" customFormat="1">
      <c r="B19" s="8" t="str">
        <f t="shared" si="8"/>
        <v>M</v>
      </c>
      <c r="C19" s="164" t="str">
        <f>TEXT('Table '!AK17,"jj mmm aa")</f>
        <v>12 sept 18</v>
      </c>
      <c r="D19" s="25"/>
      <c r="E19" s="25"/>
      <c r="F19" s="25">
        <f t="shared" si="9"/>
        <v>0</v>
      </c>
      <c r="G19" s="26">
        <f t="shared" si="0"/>
        <v>0</v>
      </c>
      <c r="H19" s="27">
        <f t="shared" si="1"/>
        <v>0</v>
      </c>
      <c r="I19" s="45"/>
      <c r="J19" s="8" t="str">
        <f t="shared" si="10"/>
        <v>M</v>
      </c>
      <c r="K19" s="151" t="str">
        <f>TEXT('Table '!AK17,"jj mmm aa")</f>
        <v>12 sept 18</v>
      </c>
      <c r="L19" s="25"/>
      <c r="M19" s="25"/>
      <c r="N19" s="25">
        <f t="shared" si="11"/>
        <v>0</v>
      </c>
      <c r="O19" s="26">
        <f t="shared" si="2"/>
        <v>0</v>
      </c>
      <c r="P19" s="27">
        <f t="shared" si="3"/>
        <v>0</v>
      </c>
      <c r="R19" s="8" t="str">
        <f t="shared" si="12"/>
        <v>M</v>
      </c>
      <c r="S19" s="151" t="str">
        <f>TEXT('Table '!AK17,"jj mmm aa")</f>
        <v>12 sept 18</v>
      </c>
      <c r="T19" s="12"/>
      <c r="U19" s="12"/>
      <c r="V19" s="12">
        <f t="shared" si="13"/>
        <v>0</v>
      </c>
      <c r="W19" s="13">
        <f t="shared" si="4"/>
        <v>0</v>
      </c>
      <c r="X19" s="14">
        <f t="shared" si="5"/>
        <v>0</v>
      </c>
      <c r="Y19" s="21"/>
      <c r="Z19" s="131" t="str">
        <f t="shared" si="14"/>
        <v>M</v>
      </c>
      <c r="AA19" s="138" t="str">
        <f>TEXT('Table '!AK17,"jj mmm aa")</f>
        <v>12 sept 18</v>
      </c>
      <c r="AB19" s="18"/>
      <c r="AC19" s="18"/>
      <c r="AD19" s="18">
        <f t="shared" si="15"/>
        <v>0</v>
      </c>
      <c r="AE19" s="146">
        <f t="shared" si="6"/>
        <v>0</v>
      </c>
      <c r="AF19" s="20">
        <f t="shared" si="7"/>
        <v>0</v>
      </c>
    </row>
    <row r="20" spans="2:32" s="7" customFormat="1">
      <c r="B20" s="8" t="str">
        <f t="shared" si="8"/>
        <v>J</v>
      </c>
      <c r="C20" s="164" t="str">
        <f>TEXT('Table '!AK18,"jj mmm aa")</f>
        <v>13 sept 18</v>
      </c>
      <c r="D20" s="25"/>
      <c r="E20" s="25"/>
      <c r="F20" s="25">
        <f t="shared" si="9"/>
        <v>0</v>
      </c>
      <c r="G20" s="26">
        <f t="shared" si="0"/>
        <v>0</v>
      </c>
      <c r="H20" s="27">
        <f t="shared" si="1"/>
        <v>0</v>
      </c>
      <c r="I20" s="45"/>
      <c r="J20" s="8" t="str">
        <f t="shared" si="10"/>
        <v>J</v>
      </c>
      <c r="K20" s="151" t="str">
        <f>TEXT('Table '!AK18,"jj mmm aa")</f>
        <v>13 sept 18</v>
      </c>
      <c r="L20" s="25"/>
      <c r="M20" s="25"/>
      <c r="N20" s="25">
        <f t="shared" si="11"/>
        <v>0</v>
      </c>
      <c r="O20" s="26">
        <f t="shared" si="2"/>
        <v>0</v>
      </c>
      <c r="P20" s="27">
        <f t="shared" si="3"/>
        <v>0</v>
      </c>
      <c r="R20" s="8" t="str">
        <f t="shared" si="12"/>
        <v>J</v>
      </c>
      <c r="S20" s="151" t="str">
        <f>TEXT('Table '!AK18,"jj mmm aa")</f>
        <v>13 sept 18</v>
      </c>
      <c r="T20" s="12"/>
      <c r="U20" s="12"/>
      <c r="V20" s="12">
        <f t="shared" si="13"/>
        <v>0</v>
      </c>
      <c r="W20" s="13">
        <f t="shared" si="4"/>
        <v>0</v>
      </c>
      <c r="X20" s="14">
        <f t="shared" si="5"/>
        <v>0</v>
      </c>
      <c r="Y20" s="21"/>
      <c r="Z20" s="131" t="str">
        <f t="shared" si="14"/>
        <v>J</v>
      </c>
      <c r="AA20" s="138" t="str">
        <f>TEXT('Table '!AK18,"jj mmm aa")</f>
        <v>13 sept 18</v>
      </c>
      <c r="AB20" s="18"/>
      <c r="AC20" s="18"/>
      <c r="AD20" s="18">
        <f t="shared" si="15"/>
        <v>0</v>
      </c>
      <c r="AE20" s="146">
        <f t="shared" si="6"/>
        <v>0</v>
      </c>
      <c r="AF20" s="20">
        <f t="shared" si="7"/>
        <v>0</v>
      </c>
    </row>
    <row r="21" spans="2:32" s="7" customFormat="1">
      <c r="B21" s="8" t="str">
        <f t="shared" si="8"/>
        <v>V</v>
      </c>
      <c r="C21" s="164" t="str">
        <f>TEXT('Table '!AK19,"jj mmm aa")</f>
        <v>14 sept 18</v>
      </c>
      <c r="D21" s="25"/>
      <c r="E21" s="25"/>
      <c r="F21" s="25">
        <f t="shared" si="9"/>
        <v>0</v>
      </c>
      <c r="G21" s="26">
        <f t="shared" si="0"/>
        <v>0</v>
      </c>
      <c r="H21" s="27">
        <f t="shared" si="1"/>
        <v>0</v>
      </c>
      <c r="I21" s="45"/>
      <c r="J21" s="8" t="str">
        <f t="shared" si="10"/>
        <v>V</v>
      </c>
      <c r="K21" s="151" t="str">
        <f>TEXT('Table '!AK19,"jj mmm aa")</f>
        <v>14 sept 18</v>
      </c>
      <c r="L21" s="25"/>
      <c r="M21" s="25"/>
      <c r="N21" s="25">
        <f t="shared" si="11"/>
        <v>0</v>
      </c>
      <c r="O21" s="26">
        <f t="shared" si="2"/>
        <v>0</v>
      </c>
      <c r="P21" s="27">
        <f t="shared" si="3"/>
        <v>0</v>
      </c>
      <c r="R21" s="8" t="str">
        <f t="shared" si="12"/>
        <v>V</v>
      </c>
      <c r="S21" s="151" t="str">
        <f>TEXT('Table '!AK19,"jj mmm aa")</f>
        <v>14 sept 18</v>
      </c>
      <c r="T21" s="12"/>
      <c r="U21" s="12"/>
      <c r="V21" s="12">
        <f t="shared" si="13"/>
        <v>0</v>
      </c>
      <c r="W21" s="13">
        <f t="shared" si="4"/>
        <v>0</v>
      </c>
      <c r="X21" s="14">
        <f t="shared" si="5"/>
        <v>0</v>
      </c>
      <c r="Y21" s="21"/>
      <c r="Z21" s="131" t="str">
        <f t="shared" si="14"/>
        <v>V</v>
      </c>
      <c r="AA21" s="138" t="str">
        <f>TEXT('Table '!AK19,"jj mmm aa")</f>
        <v>14 sept 18</v>
      </c>
      <c r="AB21" s="18"/>
      <c r="AC21" s="18"/>
      <c r="AD21" s="18">
        <f t="shared" si="15"/>
        <v>0</v>
      </c>
      <c r="AE21" s="146">
        <f t="shared" si="6"/>
        <v>0</v>
      </c>
      <c r="AF21" s="20">
        <f t="shared" si="7"/>
        <v>0</v>
      </c>
    </row>
    <row r="22" spans="2:32" s="7" customFormat="1">
      <c r="B22" s="8" t="str">
        <f t="shared" si="8"/>
        <v>S</v>
      </c>
      <c r="C22" s="164" t="str">
        <f>TEXT('Table '!AK20,"jj mmm aa")</f>
        <v>15 sept 18</v>
      </c>
      <c r="D22" s="25"/>
      <c r="E22" s="25"/>
      <c r="F22" s="25">
        <f t="shared" si="9"/>
        <v>0</v>
      </c>
      <c r="G22" s="26">
        <f t="shared" si="0"/>
        <v>0</v>
      </c>
      <c r="H22" s="27">
        <f t="shared" si="1"/>
        <v>0</v>
      </c>
      <c r="I22" s="45"/>
      <c r="J22" s="8" t="str">
        <f t="shared" si="10"/>
        <v>S</v>
      </c>
      <c r="K22" s="151" t="str">
        <f>TEXT('Table '!AK20,"jj mmm aa")</f>
        <v>15 sept 18</v>
      </c>
      <c r="L22" s="25"/>
      <c r="M22" s="25"/>
      <c r="N22" s="25">
        <f t="shared" si="11"/>
        <v>0</v>
      </c>
      <c r="O22" s="26">
        <f t="shared" si="2"/>
        <v>0</v>
      </c>
      <c r="P22" s="27">
        <f t="shared" si="3"/>
        <v>0</v>
      </c>
      <c r="R22" s="8" t="str">
        <f t="shared" si="12"/>
        <v>S</v>
      </c>
      <c r="S22" s="151" t="str">
        <f>TEXT('Table '!AK20,"jj mmm aa")</f>
        <v>15 sept 18</v>
      </c>
      <c r="T22" s="12"/>
      <c r="U22" s="12"/>
      <c r="V22" s="12">
        <f t="shared" si="13"/>
        <v>0</v>
      </c>
      <c r="W22" s="13">
        <f t="shared" si="4"/>
        <v>0</v>
      </c>
      <c r="X22" s="14">
        <f t="shared" si="5"/>
        <v>0</v>
      </c>
      <c r="Y22" s="21"/>
      <c r="Z22" s="131" t="str">
        <f t="shared" si="14"/>
        <v>S</v>
      </c>
      <c r="AA22" s="138" t="str">
        <f>TEXT('Table '!AK20,"jj mmm aa")</f>
        <v>15 sept 18</v>
      </c>
      <c r="AB22" s="18"/>
      <c r="AC22" s="18"/>
      <c r="AD22" s="18">
        <f t="shared" si="15"/>
        <v>0</v>
      </c>
      <c r="AE22" s="146">
        <f t="shared" si="6"/>
        <v>0</v>
      </c>
      <c r="AF22" s="20">
        <f t="shared" si="7"/>
        <v>0</v>
      </c>
    </row>
    <row r="23" spans="2:32" s="7" customFormat="1">
      <c r="B23" s="8" t="str">
        <f t="shared" si="8"/>
        <v>D</v>
      </c>
      <c r="C23" s="164" t="str">
        <f>TEXT('Table '!AK21,"jj mmm aa")</f>
        <v>16 sept 18</v>
      </c>
      <c r="D23" s="25"/>
      <c r="E23" s="25"/>
      <c r="F23" s="25">
        <f t="shared" si="9"/>
        <v>0</v>
      </c>
      <c r="G23" s="26">
        <f t="shared" si="0"/>
        <v>0</v>
      </c>
      <c r="H23" s="27">
        <f t="shared" si="1"/>
        <v>0</v>
      </c>
      <c r="I23" s="45"/>
      <c r="J23" s="8" t="str">
        <f t="shared" si="10"/>
        <v>D</v>
      </c>
      <c r="K23" s="151" t="str">
        <f>TEXT('Table '!AK21,"jj mmm aa")</f>
        <v>16 sept 18</v>
      </c>
      <c r="L23" s="25"/>
      <c r="M23" s="25"/>
      <c r="N23" s="25">
        <f t="shared" si="11"/>
        <v>0</v>
      </c>
      <c r="O23" s="26">
        <f t="shared" si="2"/>
        <v>0</v>
      </c>
      <c r="P23" s="27">
        <f t="shared" si="3"/>
        <v>0</v>
      </c>
      <c r="R23" s="8" t="str">
        <f t="shared" si="12"/>
        <v>D</v>
      </c>
      <c r="S23" s="151" t="str">
        <f>TEXT('Table '!AK21,"jj mmm aa")</f>
        <v>16 sept 18</v>
      </c>
      <c r="T23" s="12"/>
      <c r="U23" s="12"/>
      <c r="V23" s="12">
        <f t="shared" si="13"/>
        <v>0</v>
      </c>
      <c r="W23" s="13">
        <f t="shared" si="4"/>
        <v>0</v>
      </c>
      <c r="X23" s="14">
        <f t="shared" si="5"/>
        <v>0</v>
      </c>
      <c r="Y23" s="21"/>
      <c r="Z23" s="131" t="str">
        <f t="shared" si="14"/>
        <v>D</v>
      </c>
      <c r="AA23" s="138" t="str">
        <f>TEXT('Table '!AK21,"jj mmm aa")</f>
        <v>16 sept 18</v>
      </c>
      <c r="AB23" s="18"/>
      <c r="AC23" s="18"/>
      <c r="AD23" s="18">
        <f t="shared" si="15"/>
        <v>0</v>
      </c>
      <c r="AE23" s="146">
        <f t="shared" si="6"/>
        <v>0</v>
      </c>
      <c r="AF23" s="20">
        <f t="shared" si="7"/>
        <v>0</v>
      </c>
    </row>
    <row r="24" spans="2:32" s="7" customFormat="1">
      <c r="B24" s="8" t="str">
        <f t="shared" si="8"/>
        <v>L</v>
      </c>
      <c r="C24" s="164" t="str">
        <f>TEXT('Table '!AK22,"jj mmm aa")</f>
        <v>17 sept 18</v>
      </c>
      <c r="D24" s="25"/>
      <c r="E24" s="25"/>
      <c r="F24" s="25">
        <f t="shared" si="9"/>
        <v>0</v>
      </c>
      <c r="G24" s="26">
        <f t="shared" si="0"/>
        <v>0</v>
      </c>
      <c r="H24" s="27">
        <f t="shared" si="1"/>
        <v>0</v>
      </c>
      <c r="I24" s="45"/>
      <c r="J24" s="8" t="str">
        <f t="shared" si="10"/>
        <v>L</v>
      </c>
      <c r="K24" s="151" t="str">
        <f>TEXT('Table '!AK22,"jj mmm aa")</f>
        <v>17 sept 18</v>
      </c>
      <c r="L24" s="25"/>
      <c r="M24" s="25"/>
      <c r="N24" s="25">
        <f t="shared" si="11"/>
        <v>0</v>
      </c>
      <c r="O24" s="26">
        <f t="shared" si="2"/>
        <v>0</v>
      </c>
      <c r="P24" s="27">
        <f t="shared" si="3"/>
        <v>0</v>
      </c>
      <c r="R24" s="8" t="str">
        <f t="shared" si="12"/>
        <v>L</v>
      </c>
      <c r="S24" s="151" t="str">
        <f>TEXT('Table '!AK22,"jj mmm aa")</f>
        <v>17 sept 18</v>
      </c>
      <c r="T24" s="12"/>
      <c r="U24" s="12"/>
      <c r="V24" s="12">
        <f t="shared" si="13"/>
        <v>0</v>
      </c>
      <c r="W24" s="13">
        <f t="shared" si="4"/>
        <v>0</v>
      </c>
      <c r="X24" s="14">
        <f t="shared" si="5"/>
        <v>0</v>
      </c>
      <c r="Y24" s="21"/>
      <c r="Z24" s="131" t="str">
        <f t="shared" si="14"/>
        <v>L</v>
      </c>
      <c r="AA24" s="138" t="str">
        <f>TEXT('Table '!AK22,"jj mmm aa")</f>
        <v>17 sept 18</v>
      </c>
      <c r="AB24" s="18"/>
      <c r="AC24" s="18"/>
      <c r="AD24" s="18">
        <f t="shared" si="15"/>
        <v>0</v>
      </c>
      <c r="AE24" s="146">
        <f t="shared" si="6"/>
        <v>0</v>
      </c>
      <c r="AF24" s="20">
        <f t="shared" si="7"/>
        <v>0</v>
      </c>
    </row>
    <row r="25" spans="2:32" s="7" customFormat="1">
      <c r="B25" s="8" t="str">
        <f t="shared" si="8"/>
        <v>M</v>
      </c>
      <c r="C25" s="164" t="str">
        <f>TEXT('Table '!AK23,"jj mmm aa")</f>
        <v>18 sept 18</v>
      </c>
      <c r="D25" s="12"/>
      <c r="E25" s="12"/>
      <c r="F25" s="25">
        <f t="shared" si="9"/>
        <v>0</v>
      </c>
      <c r="G25" s="26">
        <f t="shared" si="0"/>
        <v>0</v>
      </c>
      <c r="H25" s="27">
        <f t="shared" si="1"/>
        <v>0</v>
      </c>
      <c r="I25" s="45"/>
      <c r="J25" s="8" t="str">
        <f t="shared" si="10"/>
        <v>M</v>
      </c>
      <c r="K25" s="151" t="str">
        <f>TEXT('Table '!AK23,"jj mmm aa")</f>
        <v>18 sept 18</v>
      </c>
      <c r="L25" s="25"/>
      <c r="M25" s="25"/>
      <c r="N25" s="25">
        <f t="shared" si="11"/>
        <v>0</v>
      </c>
      <c r="O25" s="26">
        <f t="shared" si="2"/>
        <v>0</v>
      </c>
      <c r="P25" s="27">
        <f t="shared" si="3"/>
        <v>0</v>
      </c>
      <c r="R25" s="8" t="str">
        <f t="shared" si="12"/>
        <v>M</v>
      </c>
      <c r="S25" s="151" t="str">
        <f>TEXT('Table '!AK23,"jj mmm aa")</f>
        <v>18 sept 18</v>
      </c>
      <c r="T25" s="12"/>
      <c r="U25" s="12"/>
      <c r="V25" s="12">
        <f t="shared" si="13"/>
        <v>0</v>
      </c>
      <c r="W25" s="13">
        <f t="shared" si="4"/>
        <v>0</v>
      </c>
      <c r="X25" s="14">
        <f t="shared" si="5"/>
        <v>0</v>
      </c>
      <c r="Y25" s="21"/>
      <c r="Z25" s="131" t="str">
        <f t="shared" si="14"/>
        <v>M</v>
      </c>
      <c r="AA25" s="138" t="str">
        <f>TEXT('Table '!AK23,"jj mmm aa")</f>
        <v>18 sept 18</v>
      </c>
      <c r="AB25" s="18"/>
      <c r="AC25" s="18"/>
      <c r="AD25" s="18">
        <f t="shared" si="15"/>
        <v>0</v>
      </c>
      <c r="AE25" s="146">
        <f t="shared" si="6"/>
        <v>0</v>
      </c>
      <c r="AF25" s="20">
        <f t="shared" si="7"/>
        <v>0</v>
      </c>
    </row>
    <row r="26" spans="2:32" s="7" customFormat="1">
      <c r="B26" s="8" t="str">
        <f t="shared" si="8"/>
        <v>M</v>
      </c>
      <c r="C26" s="164" t="str">
        <f>TEXT('Table '!AK24,"jj mmm aa")</f>
        <v>19 sept 18</v>
      </c>
      <c r="D26" s="12"/>
      <c r="E26" s="12"/>
      <c r="F26" s="25">
        <f t="shared" si="9"/>
        <v>0</v>
      </c>
      <c r="G26" s="26">
        <f t="shared" si="0"/>
        <v>0</v>
      </c>
      <c r="H26" s="27">
        <f t="shared" si="1"/>
        <v>0</v>
      </c>
      <c r="I26" s="45"/>
      <c r="J26" s="8" t="str">
        <f t="shared" si="10"/>
        <v>M</v>
      </c>
      <c r="K26" s="151" t="str">
        <f>TEXT('Table '!AK24,"jj mmm aa")</f>
        <v>19 sept 18</v>
      </c>
      <c r="L26" s="25"/>
      <c r="M26" s="25"/>
      <c r="N26" s="25">
        <f t="shared" si="11"/>
        <v>0</v>
      </c>
      <c r="O26" s="26">
        <f t="shared" si="2"/>
        <v>0</v>
      </c>
      <c r="P26" s="27">
        <f t="shared" si="3"/>
        <v>0</v>
      </c>
      <c r="R26" s="8" t="str">
        <f t="shared" si="12"/>
        <v>M</v>
      </c>
      <c r="S26" s="151" t="str">
        <f>TEXT('Table '!AK24,"jj mmm aa")</f>
        <v>19 sept 18</v>
      </c>
      <c r="T26" s="12"/>
      <c r="U26" s="12"/>
      <c r="V26" s="12">
        <f t="shared" si="13"/>
        <v>0</v>
      </c>
      <c r="W26" s="13">
        <f t="shared" si="4"/>
        <v>0</v>
      </c>
      <c r="X26" s="14">
        <f t="shared" si="5"/>
        <v>0</v>
      </c>
      <c r="Y26" s="21"/>
      <c r="Z26" s="131" t="str">
        <f t="shared" si="14"/>
        <v>M</v>
      </c>
      <c r="AA26" s="138" t="str">
        <f>TEXT('Table '!AK24,"jj mmm aa")</f>
        <v>19 sept 18</v>
      </c>
      <c r="AB26" s="18"/>
      <c r="AC26" s="18"/>
      <c r="AD26" s="18">
        <f t="shared" si="15"/>
        <v>0</v>
      </c>
      <c r="AE26" s="146">
        <f t="shared" si="6"/>
        <v>0</v>
      </c>
      <c r="AF26" s="20">
        <f t="shared" si="7"/>
        <v>0</v>
      </c>
    </row>
    <row r="27" spans="2:32" s="7" customFormat="1">
      <c r="B27" s="8" t="str">
        <f t="shared" si="8"/>
        <v>J</v>
      </c>
      <c r="C27" s="164" t="str">
        <f>TEXT('Table '!AK25,"jj mmm aa")</f>
        <v>20 sept 18</v>
      </c>
      <c r="D27" s="12"/>
      <c r="E27" s="12"/>
      <c r="F27" s="25">
        <f t="shared" si="9"/>
        <v>0</v>
      </c>
      <c r="G27" s="26">
        <f t="shared" si="0"/>
        <v>0</v>
      </c>
      <c r="H27" s="27">
        <f t="shared" si="1"/>
        <v>0</v>
      </c>
      <c r="I27" s="45"/>
      <c r="J27" s="8" t="str">
        <f t="shared" si="10"/>
        <v>J</v>
      </c>
      <c r="K27" s="151" t="str">
        <f>TEXT('Table '!AK25,"jj mmm aa")</f>
        <v>20 sept 18</v>
      </c>
      <c r="L27" s="25"/>
      <c r="M27" s="25"/>
      <c r="N27" s="25">
        <f t="shared" si="11"/>
        <v>0</v>
      </c>
      <c r="O27" s="26">
        <f t="shared" si="2"/>
        <v>0</v>
      </c>
      <c r="P27" s="27">
        <f t="shared" si="3"/>
        <v>0</v>
      </c>
      <c r="R27" s="8" t="str">
        <f t="shared" si="12"/>
        <v>J</v>
      </c>
      <c r="S27" s="151" t="str">
        <f>TEXT('Table '!AK25,"jj mmm aa")</f>
        <v>20 sept 18</v>
      </c>
      <c r="T27" s="12"/>
      <c r="U27" s="12"/>
      <c r="V27" s="12">
        <f t="shared" si="13"/>
        <v>0</v>
      </c>
      <c r="W27" s="13">
        <f t="shared" si="4"/>
        <v>0</v>
      </c>
      <c r="X27" s="14">
        <f t="shared" si="5"/>
        <v>0</v>
      </c>
      <c r="Y27" s="21"/>
      <c r="Z27" s="131" t="str">
        <f t="shared" si="14"/>
        <v>J</v>
      </c>
      <c r="AA27" s="138" t="str">
        <f>TEXT('Table '!AK25,"jj mmm aa")</f>
        <v>20 sept 18</v>
      </c>
      <c r="AB27" s="18"/>
      <c r="AC27" s="18"/>
      <c r="AD27" s="18">
        <f t="shared" si="15"/>
        <v>0</v>
      </c>
      <c r="AE27" s="146">
        <f t="shared" si="6"/>
        <v>0</v>
      </c>
      <c r="AF27" s="20">
        <f t="shared" si="7"/>
        <v>0</v>
      </c>
    </row>
    <row r="28" spans="2:32" s="7" customFormat="1">
      <c r="B28" s="8" t="str">
        <f t="shared" si="8"/>
        <v>V</v>
      </c>
      <c r="C28" s="164" t="str">
        <f>TEXT('Table '!AK26,"jj mmm aa")</f>
        <v>21 sept 18</v>
      </c>
      <c r="D28" s="12"/>
      <c r="E28" s="12"/>
      <c r="F28" s="25">
        <f t="shared" si="9"/>
        <v>0</v>
      </c>
      <c r="G28" s="26">
        <f t="shared" si="0"/>
        <v>0</v>
      </c>
      <c r="H28" s="27">
        <f t="shared" si="1"/>
        <v>0</v>
      </c>
      <c r="I28" s="45"/>
      <c r="J28" s="8" t="str">
        <f t="shared" si="10"/>
        <v>V</v>
      </c>
      <c r="K28" s="151" t="str">
        <f>TEXT('Table '!AK26,"jj mmm aa")</f>
        <v>21 sept 18</v>
      </c>
      <c r="L28" s="25"/>
      <c r="M28" s="25"/>
      <c r="N28" s="25">
        <f t="shared" si="11"/>
        <v>0</v>
      </c>
      <c r="O28" s="26">
        <f t="shared" si="2"/>
        <v>0</v>
      </c>
      <c r="P28" s="27">
        <f t="shared" si="3"/>
        <v>0</v>
      </c>
      <c r="R28" s="8" t="str">
        <f t="shared" si="12"/>
        <v>V</v>
      </c>
      <c r="S28" s="151" t="str">
        <f>TEXT('Table '!AK26,"jj mmm aa")</f>
        <v>21 sept 18</v>
      </c>
      <c r="T28" s="12"/>
      <c r="U28" s="12"/>
      <c r="V28" s="12">
        <f t="shared" si="13"/>
        <v>0</v>
      </c>
      <c r="W28" s="13">
        <f t="shared" si="4"/>
        <v>0</v>
      </c>
      <c r="X28" s="14">
        <f t="shared" si="5"/>
        <v>0</v>
      </c>
      <c r="Y28" s="21"/>
      <c r="Z28" s="131" t="str">
        <f t="shared" si="14"/>
        <v>V</v>
      </c>
      <c r="AA28" s="138" t="str">
        <f>TEXT('Table '!AK26,"jj mmm aa")</f>
        <v>21 sept 18</v>
      </c>
      <c r="AB28" s="18"/>
      <c r="AC28" s="18"/>
      <c r="AD28" s="18">
        <f t="shared" si="15"/>
        <v>0</v>
      </c>
      <c r="AE28" s="146">
        <f t="shared" si="6"/>
        <v>0</v>
      </c>
      <c r="AF28" s="20">
        <f t="shared" si="7"/>
        <v>0</v>
      </c>
    </row>
    <row r="29" spans="2:32" s="7" customFormat="1">
      <c r="B29" s="8" t="str">
        <f t="shared" si="8"/>
        <v>S</v>
      </c>
      <c r="C29" s="164" t="str">
        <f>TEXT('Table '!AK27,"jj mmm aa")</f>
        <v>22 sept 18</v>
      </c>
      <c r="D29" s="12"/>
      <c r="E29" s="12"/>
      <c r="F29" s="25">
        <f t="shared" si="9"/>
        <v>0</v>
      </c>
      <c r="G29" s="26">
        <f t="shared" si="0"/>
        <v>0</v>
      </c>
      <c r="H29" s="27">
        <f t="shared" si="1"/>
        <v>0</v>
      </c>
      <c r="I29" s="45"/>
      <c r="J29" s="8" t="str">
        <f t="shared" si="10"/>
        <v>S</v>
      </c>
      <c r="K29" s="151" t="str">
        <f>TEXT('Table '!AK27,"jj mmm aa")</f>
        <v>22 sept 18</v>
      </c>
      <c r="L29" s="25"/>
      <c r="M29" s="25"/>
      <c r="N29" s="25">
        <f t="shared" si="11"/>
        <v>0</v>
      </c>
      <c r="O29" s="26">
        <f t="shared" si="2"/>
        <v>0</v>
      </c>
      <c r="P29" s="27">
        <f t="shared" si="3"/>
        <v>0</v>
      </c>
      <c r="R29" s="8" t="str">
        <f t="shared" si="12"/>
        <v>S</v>
      </c>
      <c r="S29" s="151" t="str">
        <f>TEXT('Table '!AK27,"jj mmm aa")</f>
        <v>22 sept 18</v>
      </c>
      <c r="T29" s="12"/>
      <c r="U29" s="12"/>
      <c r="V29" s="12">
        <f t="shared" si="13"/>
        <v>0</v>
      </c>
      <c r="W29" s="13">
        <f t="shared" si="4"/>
        <v>0</v>
      </c>
      <c r="X29" s="14">
        <f t="shared" si="5"/>
        <v>0</v>
      </c>
      <c r="Y29" s="21"/>
      <c r="Z29" s="131" t="str">
        <f t="shared" si="14"/>
        <v>S</v>
      </c>
      <c r="AA29" s="138" t="str">
        <f>TEXT('Table '!AK27,"jj mmm aa")</f>
        <v>22 sept 18</v>
      </c>
      <c r="AB29" s="18"/>
      <c r="AC29" s="18"/>
      <c r="AD29" s="18">
        <f t="shared" si="15"/>
        <v>0</v>
      </c>
      <c r="AE29" s="146">
        <f t="shared" si="6"/>
        <v>0</v>
      </c>
      <c r="AF29" s="20">
        <f t="shared" si="7"/>
        <v>0</v>
      </c>
    </row>
    <row r="30" spans="2:32" s="7" customFormat="1">
      <c r="B30" s="8" t="str">
        <f t="shared" si="8"/>
        <v>D</v>
      </c>
      <c r="C30" s="164" t="str">
        <f>TEXT('Table '!AK28,"jj mmm aa")</f>
        <v>23 sept 18</v>
      </c>
      <c r="D30" s="25"/>
      <c r="E30" s="25"/>
      <c r="F30" s="25">
        <f t="shared" si="9"/>
        <v>0</v>
      </c>
      <c r="G30" s="26">
        <f t="shared" si="0"/>
        <v>0</v>
      </c>
      <c r="H30" s="27">
        <f t="shared" si="1"/>
        <v>0</v>
      </c>
      <c r="I30" s="45"/>
      <c r="J30" s="8" t="str">
        <f t="shared" si="10"/>
        <v>D</v>
      </c>
      <c r="K30" s="151" t="str">
        <f>TEXT('Table '!AK28,"jj mmm aa")</f>
        <v>23 sept 18</v>
      </c>
      <c r="L30" s="25"/>
      <c r="M30" s="25"/>
      <c r="N30" s="25">
        <f t="shared" si="11"/>
        <v>0</v>
      </c>
      <c r="O30" s="26">
        <f t="shared" si="2"/>
        <v>0</v>
      </c>
      <c r="P30" s="27">
        <f t="shared" si="3"/>
        <v>0</v>
      </c>
      <c r="R30" s="8" t="str">
        <f t="shared" si="12"/>
        <v>D</v>
      </c>
      <c r="S30" s="151" t="str">
        <f>TEXT('Table '!AK28,"jj mmm aa")</f>
        <v>23 sept 18</v>
      </c>
      <c r="T30" s="12"/>
      <c r="U30" s="12"/>
      <c r="V30" s="12">
        <f t="shared" si="13"/>
        <v>0</v>
      </c>
      <c r="W30" s="13">
        <f t="shared" si="4"/>
        <v>0</v>
      </c>
      <c r="X30" s="14">
        <f t="shared" si="5"/>
        <v>0</v>
      </c>
      <c r="Y30" s="21"/>
      <c r="Z30" s="131" t="str">
        <f t="shared" si="14"/>
        <v>D</v>
      </c>
      <c r="AA30" s="138" t="str">
        <f>TEXT('Table '!AK28,"jj mmm aa")</f>
        <v>23 sept 18</v>
      </c>
      <c r="AB30" s="18"/>
      <c r="AC30" s="18"/>
      <c r="AD30" s="18">
        <f t="shared" si="15"/>
        <v>0</v>
      </c>
      <c r="AE30" s="146">
        <f t="shared" si="6"/>
        <v>0</v>
      </c>
      <c r="AF30" s="20">
        <f t="shared" si="7"/>
        <v>0</v>
      </c>
    </row>
    <row r="31" spans="2:32" s="7" customFormat="1">
      <c r="B31" s="8" t="str">
        <f t="shared" si="8"/>
        <v>L</v>
      </c>
      <c r="C31" s="164" t="str">
        <f>TEXT('Table '!AK29,"jj mmm aa")</f>
        <v>24 sept 18</v>
      </c>
      <c r="D31" s="25"/>
      <c r="E31" s="25"/>
      <c r="F31" s="25">
        <f t="shared" si="9"/>
        <v>0</v>
      </c>
      <c r="G31" s="26">
        <f t="shared" si="0"/>
        <v>0</v>
      </c>
      <c r="H31" s="27">
        <f t="shared" si="1"/>
        <v>0</v>
      </c>
      <c r="I31" s="45"/>
      <c r="J31" s="8" t="str">
        <f t="shared" si="10"/>
        <v>L</v>
      </c>
      <c r="K31" s="151" t="str">
        <f>TEXT('Table '!AK29,"jj mmm aa")</f>
        <v>24 sept 18</v>
      </c>
      <c r="L31" s="25"/>
      <c r="M31" s="25"/>
      <c r="N31" s="25">
        <f t="shared" si="11"/>
        <v>0</v>
      </c>
      <c r="O31" s="26">
        <f t="shared" si="2"/>
        <v>0</v>
      </c>
      <c r="P31" s="27">
        <f t="shared" si="3"/>
        <v>0</v>
      </c>
      <c r="R31" s="8" t="str">
        <f t="shared" si="12"/>
        <v>L</v>
      </c>
      <c r="S31" s="151" t="str">
        <f>TEXT('Table '!AK29,"jj mmm aa")</f>
        <v>24 sept 18</v>
      </c>
      <c r="T31" s="12"/>
      <c r="U31" s="12"/>
      <c r="V31" s="12">
        <f t="shared" si="13"/>
        <v>0</v>
      </c>
      <c r="W31" s="13">
        <f t="shared" si="4"/>
        <v>0</v>
      </c>
      <c r="X31" s="14">
        <f t="shared" si="5"/>
        <v>0</v>
      </c>
      <c r="Y31" s="21"/>
      <c r="Z31" s="131" t="str">
        <f t="shared" si="14"/>
        <v>L</v>
      </c>
      <c r="AA31" s="138" t="str">
        <f>TEXT('Table '!AK29,"jj mmm aa")</f>
        <v>24 sept 18</v>
      </c>
      <c r="AB31" s="18"/>
      <c r="AC31" s="18"/>
      <c r="AD31" s="18">
        <f t="shared" si="15"/>
        <v>0</v>
      </c>
      <c r="AE31" s="146">
        <f t="shared" si="6"/>
        <v>0</v>
      </c>
      <c r="AF31" s="20">
        <f t="shared" si="7"/>
        <v>0</v>
      </c>
    </row>
    <row r="32" spans="2:32" s="7" customFormat="1">
      <c r="B32" s="8" t="str">
        <f t="shared" si="8"/>
        <v>M</v>
      </c>
      <c r="C32" s="164" t="str">
        <f>TEXT('Table '!AK30,"jj mmm aa")</f>
        <v>25 sept 18</v>
      </c>
      <c r="D32" s="12"/>
      <c r="E32" s="12"/>
      <c r="F32" s="25">
        <f t="shared" si="9"/>
        <v>0</v>
      </c>
      <c r="G32" s="26">
        <f t="shared" si="0"/>
        <v>0</v>
      </c>
      <c r="H32" s="27">
        <f t="shared" si="1"/>
        <v>0</v>
      </c>
      <c r="I32" s="45"/>
      <c r="J32" s="8" t="str">
        <f t="shared" si="10"/>
        <v>M</v>
      </c>
      <c r="K32" s="151" t="str">
        <f>TEXT('Table '!AK30,"jj mmm aa")</f>
        <v>25 sept 18</v>
      </c>
      <c r="L32" s="25"/>
      <c r="M32" s="25"/>
      <c r="N32" s="25">
        <f t="shared" si="11"/>
        <v>0</v>
      </c>
      <c r="O32" s="26">
        <f t="shared" si="2"/>
        <v>0</v>
      </c>
      <c r="P32" s="27">
        <f t="shared" si="3"/>
        <v>0</v>
      </c>
      <c r="R32" s="8" t="str">
        <f t="shared" si="12"/>
        <v>M</v>
      </c>
      <c r="S32" s="151" t="str">
        <f>TEXT('Table '!AK30,"jj mmm aa")</f>
        <v>25 sept 18</v>
      </c>
      <c r="T32" s="12"/>
      <c r="U32" s="12"/>
      <c r="V32" s="12">
        <f t="shared" si="13"/>
        <v>0</v>
      </c>
      <c r="W32" s="13">
        <f t="shared" si="4"/>
        <v>0</v>
      </c>
      <c r="X32" s="14">
        <f t="shared" si="5"/>
        <v>0</v>
      </c>
      <c r="Y32" s="21"/>
      <c r="Z32" s="131" t="str">
        <f t="shared" si="14"/>
        <v>M</v>
      </c>
      <c r="AA32" s="138" t="str">
        <f>TEXT('Table '!AK30,"jj mmm aa")</f>
        <v>25 sept 18</v>
      </c>
      <c r="AB32" s="18"/>
      <c r="AC32" s="18"/>
      <c r="AD32" s="18">
        <f t="shared" si="15"/>
        <v>0</v>
      </c>
      <c r="AE32" s="146">
        <f t="shared" si="6"/>
        <v>0</v>
      </c>
      <c r="AF32" s="20">
        <f t="shared" si="7"/>
        <v>0</v>
      </c>
    </row>
    <row r="33" spans="2:32" s="7" customFormat="1">
      <c r="B33" s="8" t="str">
        <f t="shared" si="8"/>
        <v>M</v>
      </c>
      <c r="C33" s="164" t="str">
        <f>TEXT('Table '!AK31,"jj mmm aa")</f>
        <v>26 sept 18</v>
      </c>
      <c r="D33" s="12"/>
      <c r="E33" s="12"/>
      <c r="F33" s="25">
        <f t="shared" si="9"/>
        <v>0</v>
      </c>
      <c r="G33" s="26">
        <f t="shared" si="0"/>
        <v>0</v>
      </c>
      <c r="H33" s="27">
        <f t="shared" si="1"/>
        <v>0</v>
      </c>
      <c r="I33" s="45"/>
      <c r="J33" s="8" t="str">
        <f t="shared" si="10"/>
        <v>M</v>
      </c>
      <c r="K33" s="151" t="str">
        <f>TEXT('Table '!AK31,"jj mmm aa")</f>
        <v>26 sept 18</v>
      </c>
      <c r="L33" s="12"/>
      <c r="M33" s="12"/>
      <c r="N33" s="25">
        <f t="shared" si="11"/>
        <v>0</v>
      </c>
      <c r="O33" s="26">
        <f t="shared" si="2"/>
        <v>0</v>
      </c>
      <c r="P33" s="27">
        <f t="shared" si="3"/>
        <v>0</v>
      </c>
      <c r="R33" s="8" t="str">
        <f t="shared" si="12"/>
        <v>M</v>
      </c>
      <c r="S33" s="151" t="str">
        <f>TEXT('Table '!AK31,"jj mmm aa")</f>
        <v>26 sept 18</v>
      </c>
      <c r="T33" s="12"/>
      <c r="U33" s="12"/>
      <c r="V33" s="12">
        <f t="shared" si="13"/>
        <v>0</v>
      </c>
      <c r="W33" s="13">
        <f t="shared" si="4"/>
        <v>0</v>
      </c>
      <c r="X33" s="14">
        <f t="shared" si="5"/>
        <v>0</v>
      </c>
      <c r="Y33" s="21"/>
      <c r="Z33" s="131" t="str">
        <f t="shared" si="14"/>
        <v>M</v>
      </c>
      <c r="AA33" s="138" t="str">
        <f>TEXT('Table '!AK31,"jj mmm aa")</f>
        <v>26 sept 18</v>
      </c>
      <c r="AB33" s="18"/>
      <c r="AC33" s="18"/>
      <c r="AD33" s="18">
        <f t="shared" si="15"/>
        <v>0</v>
      </c>
      <c r="AE33" s="146">
        <f t="shared" si="6"/>
        <v>0</v>
      </c>
      <c r="AF33" s="20">
        <f t="shared" si="7"/>
        <v>0</v>
      </c>
    </row>
    <row r="34" spans="2:32" s="7" customFormat="1">
      <c r="B34" s="8" t="str">
        <f t="shared" si="8"/>
        <v>J</v>
      </c>
      <c r="C34" s="164" t="str">
        <f>TEXT('Table '!AK32,"jj mmm aa")</f>
        <v>27 sept 18</v>
      </c>
      <c r="D34" s="12"/>
      <c r="E34" s="12"/>
      <c r="F34" s="25">
        <f t="shared" si="9"/>
        <v>0</v>
      </c>
      <c r="G34" s="26">
        <f t="shared" si="0"/>
        <v>0</v>
      </c>
      <c r="H34" s="27">
        <f t="shared" si="1"/>
        <v>0</v>
      </c>
      <c r="I34" s="45"/>
      <c r="J34" s="8" t="str">
        <f t="shared" si="10"/>
        <v>J</v>
      </c>
      <c r="K34" s="151" t="str">
        <f>TEXT('Table '!AK32,"jj mmm aa")</f>
        <v>27 sept 18</v>
      </c>
      <c r="L34" s="12"/>
      <c r="M34" s="12"/>
      <c r="N34" s="25">
        <f t="shared" si="11"/>
        <v>0</v>
      </c>
      <c r="O34" s="26">
        <f t="shared" si="2"/>
        <v>0</v>
      </c>
      <c r="P34" s="27">
        <f t="shared" si="3"/>
        <v>0</v>
      </c>
      <c r="R34" s="8" t="str">
        <f t="shared" si="12"/>
        <v>J</v>
      </c>
      <c r="S34" s="151" t="str">
        <f>TEXT('Table '!AK32,"jj mmm aa")</f>
        <v>27 sept 18</v>
      </c>
      <c r="T34" s="12"/>
      <c r="U34" s="12"/>
      <c r="V34" s="12">
        <f t="shared" si="13"/>
        <v>0</v>
      </c>
      <c r="W34" s="13">
        <f t="shared" si="4"/>
        <v>0</v>
      </c>
      <c r="X34" s="14">
        <f t="shared" si="5"/>
        <v>0</v>
      </c>
      <c r="Y34" s="21"/>
      <c r="Z34" s="131" t="str">
        <f t="shared" si="14"/>
        <v>J</v>
      </c>
      <c r="AA34" s="138" t="str">
        <f>TEXT('Table '!AK32,"jj mmm aa")</f>
        <v>27 sept 18</v>
      </c>
      <c r="AB34" s="18"/>
      <c r="AC34" s="18"/>
      <c r="AD34" s="18">
        <f t="shared" si="15"/>
        <v>0</v>
      </c>
      <c r="AE34" s="146">
        <f t="shared" si="6"/>
        <v>0</v>
      </c>
      <c r="AF34" s="20">
        <f t="shared" si="7"/>
        <v>0</v>
      </c>
    </row>
    <row r="35" spans="2:32" s="7" customFormat="1">
      <c r="B35" s="8" t="str">
        <f t="shared" si="8"/>
        <v>V</v>
      </c>
      <c r="C35" s="164" t="str">
        <f>TEXT('Table '!AK33,"jj mmm aa")</f>
        <v>28 sept 18</v>
      </c>
      <c r="D35" s="12"/>
      <c r="E35" s="12"/>
      <c r="F35" s="25">
        <f t="shared" si="9"/>
        <v>0</v>
      </c>
      <c r="G35" s="26">
        <f t="shared" si="0"/>
        <v>0</v>
      </c>
      <c r="H35" s="27">
        <f t="shared" si="1"/>
        <v>0</v>
      </c>
      <c r="I35" s="45"/>
      <c r="J35" s="8" t="str">
        <f t="shared" si="10"/>
        <v>V</v>
      </c>
      <c r="K35" s="151" t="str">
        <f>TEXT('Table '!AK33,"jj mmm aa")</f>
        <v>28 sept 18</v>
      </c>
      <c r="L35" s="12"/>
      <c r="M35" s="12"/>
      <c r="N35" s="25">
        <f t="shared" si="11"/>
        <v>0</v>
      </c>
      <c r="O35" s="26">
        <f t="shared" si="2"/>
        <v>0</v>
      </c>
      <c r="P35" s="27">
        <f t="shared" si="3"/>
        <v>0</v>
      </c>
      <c r="R35" s="8" t="str">
        <f t="shared" si="12"/>
        <v>V</v>
      </c>
      <c r="S35" s="151" t="str">
        <f>TEXT('Table '!AK33,"jj mmm aa")</f>
        <v>28 sept 18</v>
      </c>
      <c r="T35" s="12"/>
      <c r="U35" s="12"/>
      <c r="V35" s="12">
        <f t="shared" si="13"/>
        <v>0</v>
      </c>
      <c r="W35" s="13">
        <f t="shared" si="4"/>
        <v>0</v>
      </c>
      <c r="X35" s="14">
        <f t="shared" si="5"/>
        <v>0</v>
      </c>
      <c r="Y35" s="21"/>
      <c r="Z35" s="131" t="str">
        <f t="shared" si="14"/>
        <v>V</v>
      </c>
      <c r="AA35" s="138" t="str">
        <f>TEXT('Table '!AK33,"jj mmm aa")</f>
        <v>28 sept 18</v>
      </c>
      <c r="AB35" s="18"/>
      <c r="AC35" s="18"/>
      <c r="AD35" s="18">
        <f t="shared" si="15"/>
        <v>0</v>
      </c>
      <c r="AE35" s="146">
        <f t="shared" si="6"/>
        <v>0</v>
      </c>
      <c r="AF35" s="20">
        <f t="shared" si="7"/>
        <v>0</v>
      </c>
    </row>
    <row r="36" spans="2:32" s="7" customFormat="1">
      <c r="B36" s="8" t="str">
        <f t="shared" si="8"/>
        <v>S</v>
      </c>
      <c r="C36" s="164" t="str">
        <f>TEXT('Table '!AK34,"jj mmm aa")</f>
        <v>29 sept 18</v>
      </c>
      <c r="D36" s="12"/>
      <c r="E36" s="12"/>
      <c r="F36" s="25">
        <f t="shared" si="9"/>
        <v>0</v>
      </c>
      <c r="G36" s="26">
        <f t="shared" si="0"/>
        <v>0</v>
      </c>
      <c r="H36" s="27">
        <f t="shared" si="1"/>
        <v>0</v>
      </c>
      <c r="I36" s="45"/>
      <c r="J36" s="8" t="str">
        <f t="shared" si="10"/>
        <v>S</v>
      </c>
      <c r="K36" s="151" t="str">
        <f>TEXT('Table '!AK34,"jj mmm aa")</f>
        <v>29 sept 18</v>
      </c>
      <c r="L36" s="12"/>
      <c r="M36" s="12"/>
      <c r="N36" s="25">
        <f t="shared" si="11"/>
        <v>0</v>
      </c>
      <c r="O36" s="26">
        <f t="shared" si="2"/>
        <v>0</v>
      </c>
      <c r="P36" s="27">
        <f t="shared" si="3"/>
        <v>0</v>
      </c>
      <c r="R36" s="8" t="str">
        <f t="shared" si="12"/>
        <v>S</v>
      </c>
      <c r="S36" s="151" t="str">
        <f>TEXT('Table '!AK34,"jj mmm aa")</f>
        <v>29 sept 18</v>
      </c>
      <c r="T36" s="12"/>
      <c r="U36" s="12"/>
      <c r="V36" s="12">
        <f t="shared" si="13"/>
        <v>0</v>
      </c>
      <c r="W36" s="13">
        <f t="shared" si="4"/>
        <v>0</v>
      </c>
      <c r="X36" s="14">
        <f t="shared" si="5"/>
        <v>0</v>
      </c>
      <c r="Y36" s="21"/>
      <c r="Z36" s="131" t="str">
        <f t="shared" si="14"/>
        <v>S</v>
      </c>
      <c r="AA36" s="138" t="str">
        <f>TEXT('Table '!AK34,"jj mmm aa")</f>
        <v>29 sept 18</v>
      </c>
      <c r="AB36" s="18"/>
      <c r="AC36" s="18"/>
      <c r="AD36" s="18">
        <f t="shared" si="15"/>
        <v>0</v>
      </c>
      <c r="AE36" s="146">
        <f t="shared" si="6"/>
        <v>0</v>
      </c>
      <c r="AF36" s="20">
        <f t="shared" si="7"/>
        <v>0</v>
      </c>
    </row>
    <row r="37" spans="2:32" s="7" customFormat="1">
      <c r="B37" s="8" t="str">
        <f t="shared" si="8"/>
        <v>D</v>
      </c>
      <c r="C37" s="164" t="str">
        <f>TEXT('Table '!AK35,"jj mmm aa")</f>
        <v>30 sept 18</v>
      </c>
      <c r="D37" s="25"/>
      <c r="E37" s="25"/>
      <c r="F37" s="25">
        <f t="shared" si="9"/>
        <v>0</v>
      </c>
      <c r="G37" s="26">
        <f t="shared" ref="G37:G38" si="16">IF(F37&gt;=$F$1,1,0)</f>
        <v>0</v>
      </c>
      <c r="H37" s="27">
        <f t="shared" ref="H37:H38" si="17">IF(F37&lt;$F$1,F37,0)</f>
        <v>0</v>
      </c>
      <c r="I37" s="45"/>
      <c r="J37" s="8" t="str">
        <f t="shared" si="10"/>
        <v>D</v>
      </c>
      <c r="K37" s="151" t="str">
        <f>TEXT('Table '!AK35,"jj mmm aa")</f>
        <v>30 sept 18</v>
      </c>
      <c r="L37" s="25"/>
      <c r="M37" s="25"/>
      <c r="N37" s="25">
        <f t="shared" si="11"/>
        <v>0</v>
      </c>
      <c r="O37" s="26">
        <f t="shared" si="2"/>
        <v>0</v>
      </c>
      <c r="P37" s="27">
        <f t="shared" si="3"/>
        <v>0</v>
      </c>
      <c r="R37" s="8" t="str">
        <f t="shared" si="12"/>
        <v>D</v>
      </c>
      <c r="S37" s="151" t="str">
        <f>TEXT('Table '!AK35,"jj mmm aa")</f>
        <v>30 sept 18</v>
      </c>
      <c r="T37" s="12"/>
      <c r="U37" s="12"/>
      <c r="V37" s="12">
        <f t="shared" si="13"/>
        <v>0</v>
      </c>
      <c r="W37" s="13">
        <f t="shared" si="4"/>
        <v>0</v>
      </c>
      <c r="X37" s="14">
        <f t="shared" si="5"/>
        <v>0</v>
      </c>
      <c r="Y37" s="21"/>
      <c r="Z37" s="131" t="str">
        <f t="shared" si="14"/>
        <v>D</v>
      </c>
      <c r="AA37" s="138" t="str">
        <f>TEXT('Table '!AK35,"jj mmm aa")</f>
        <v>30 sept 18</v>
      </c>
      <c r="AB37" s="18"/>
      <c r="AC37" s="18"/>
      <c r="AD37" s="18">
        <f t="shared" si="15"/>
        <v>0</v>
      </c>
      <c r="AE37" s="146">
        <f t="shared" si="6"/>
        <v>0</v>
      </c>
      <c r="AF37" s="20">
        <f t="shared" si="7"/>
        <v>0</v>
      </c>
    </row>
    <row r="38" spans="2:32" s="7" customFormat="1" ht="15.75" thickBot="1">
      <c r="B38" s="8"/>
      <c r="C38" s="164"/>
      <c r="D38" s="156"/>
      <c r="E38" s="156"/>
      <c r="F38" s="156">
        <f t="shared" si="9"/>
        <v>0</v>
      </c>
      <c r="G38" s="157">
        <f t="shared" si="16"/>
        <v>0</v>
      </c>
      <c r="H38" s="158">
        <f t="shared" si="17"/>
        <v>0</v>
      </c>
      <c r="I38" s="21"/>
      <c r="J38" s="8"/>
      <c r="K38" s="151"/>
      <c r="L38" s="156"/>
      <c r="M38" s="156"/>
      <c r="N38" s="156">
        <f t="shared" si="11"/>
        <v>0</v>
      </c>
      <c r="O38" s="157">
        <f t="shared" si="2"/>
        <v>0</v>
      </c>
      <c r="P38" s="158">
        <f t="shared" si="3"/>
        <v>0</v>
      </c>
      <c r="Q38" s="21"/>
      <c r="R38" s="8"/>
      <c r="S38" s="151"/>
      <c r="T38" s="156"/>
      <c r="U38" s="156"/>
      <c r="V38" s="156">
        <f t="shared" si="13"/>
        <v>0</v>
      </c>
      <c r="W38" s="157">
        <f t="shared" si="4"/>
        <v>0</v>
      </c>
      <c r="X38" s="158">
        <f t="shared" si="5"/>
        <v>0</v>
      </c>
      <c r="Y38" s="21"/>
      <c r="Z38" s="131"/>
      <c r="AA38" s="138"/>
      <c r="AB38" s="156"/>
      <c r="AC38" s="156"/>
      <c r="AD38" s="156">
        <f t="shared" si="15"/>
        <v>0</v>
      </c>
      <c r="AE38" s="157">
        <f t="shared" si="6"/>
        <v>0</v>
      </c>
      <c r="AF38" s="158">
        <f t="shared" si="7"/>
        <v>0</v>
      </c>
    </row>
    <row r="39" spans="2:32" s="7" customFormat="1" ht="19.5" thickTop="1">
      <c r="B39" s="127"/>
      <c r="C39" s="62"/>
      <c r="D39" s="62"/>
      <c r="E39" s="63" t="s">
        <v>9</v>
      </c>
      <c r="F39" s="62"/>
      <c r="G39" s="64">
        <f>SUM(G8:G38)</f>
        <v>0</v>
      </c>
      <c r="H39" s="65"/>
      <c r="J39" s="127"/>
      <c r="K39" s="62"/>
      <c r="L39" s="62"/>
      <c r="M39" s="63" t="s">
        <v>9</v>
      </c>
      <c r="N39" s="62"/>
      <c r="O39" s="64">
        <f>SUM(O8:O38)</f>
        <v>0</v>
      </c>
      <c r="P39" s="65"/>
      <c r="R39" s="127"/>
      <c r="S39" s="62"/>
      <c r="T39" s="62"/>
      <c r="U39" s="63" t="s">
        <v>9</v>
      </c>
      <c r="V39" s="62"/>
      <c r="W39" s="64">
        <f>SUM(W8:W38)</f>
        <v>0</v>
      </c>
      <c r="X39" s="65"/>
      <c r="Z39" s="127"/>
      <c r="AA39" s="62"/>
      <c r="AB39" s="62"/>
      <c r="AC39" s="63" t="s">
        <v>9</v>
      </c>
      <c r="AD39" s="62"/>
      <c r="AE39" s="64">
        <f>SUM(AE8:AE23)</f>
        <v>0</v>
      </c>
      <c r="AF39" s="65"/>
    </row>
    <row r="40" spans="2:32" s="36" customFormat="1" ht="18.75">
      <c r="B40" s="128"/>
      <c r="C40" s="33"/>
      <c r="D40" s="33"/>
      <c r="E40" s="34" t="s">
        <v>10</v>
      </c>
      <c r="F40" s="33"/>
      <c r="G40" s="35"/>
      <c r="H40" s="32">
        <f>SUM(H8:H38)*24</f>
        <v>0</v>
      </c>
      <c r="J40" s="128"/>
      <c r="K40" s="33"/>
      <c r="L40" s="33"/>
      <c r="M40" s="34" t="s">
        <v>10</v>
      </c>
      <c r="N40" s="33"/>
      <c r="O40" s="35"/>
      <c r="P40" s="32">
        <f>SUM(P8:P38)*24</f>
        <v>0</v>
      </c>
      <c r="R40" s="128"/>
      <c r="S40" s="33"/>
      <c r="T40" s="33"/>
      <c r="U40" s="34" t="s">
        <v>10</v>
      </c>
      <c r="V40" s="33"/>
      <c r="W40" s="35"/>
      <c r="X40" s="32">
        <f>SUM(X8:X38)*24</f>
        <v>0</v>
      </c>
      <c r="Z40" s="128"/>
      <c r="AA40" s="33"/>
      <c r="AB40" s="33"/>
      <c r="AC40" s="34" t="s">
        <v>10</v>
      </c>
      <c r="AD40" s="33"/>
      <c r="AE40" s="35"/>
      <c r="AF40" s="32">
        <f>SUM(AF8:AF32)*24</f>
        <v>0</v>
      </c>
    </row>
    <row r="41" spans="2:32" s="7" customFormat="1" ht="15.75" thickBot="1">
      <c r="B41" s="129"/>
      <c r="C41" s="16"/>
      <c r="D41" s="16"/>
      <c r="E41" s="16"/>
      <c r="F41" s="16"/>
      <c r="G41" s="16"/>
      <c r="H41" s="17"/>
      <c r="J41" s="129"/>
      <c r="K41" s="16"/>
      <c r="L41" s="16"/>
      <c r="M41" s="16"/>
      <c r="N41" s="16"/>
      <c r="O41" s="16"/>
      <c r="P41" s="17"/>
      <c r="R41" s="129"/>
      <c r="S41" s="16"/>
      <c r="T41" s="16"/>
      <c r="U41" s="16"/>
      <c r="V41" s="16"/>
      <c r="W41" s="16"/>
      <c r="X41" s="17"/>
      <c r="Z41" s="129"/>
      <c r="AA41" s="16"/>
      <c r="AB41" s="16"/>
      <c r="AC41" s="16"/>
      <c r="AD41" s="16"/>
      <c r="AE41" s="16"/>
      <c r="AF41" s="17"/>
    </row>
    <row r="42" spans="2:32" ht="15.75" thickTop="1"/>
  </sheetData>
  <mergeCells count="4">
    <mergeCell ref="B5:H6"/>
    <mergeCell ref="J5:P6"/>
    <mergeCell ref="R5:X6"/>
    <mergeCell ref="Z5:AF6"/>
  </mergeCells>
  <conditionalFormatting sqref="B8:H38 J8:P38 R8:X38 Z8:AF38">
    <cfRule type="expression" dxfId="11" priority="2">
      <formula>AND($B8="D")</formula>
    </cfRule>
    <cfRule type="expression" dxfId="10" priority="3">
      <formula>AND($B8="S")</formula>
    </cfRule>
    <cfRule type="expression" dxfId="9" priority="1">
      <formula>COUNTIF(Feries,$C8)&gt;0</formula>
    </cfRule>
  </conditionalFormatting>
  <pageMargins left="0.7" right="0.7" top="0.75" bottom="0.75" header="0.3" footer="0.3"/>
  <pageSetup paperSize="9" orientation="portrait" horizontalDpi="4294967294" verticalDpi="4294967294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1">
    <tabColor theme="0" tint="-0.249977111117893"/>
  </sheetPr>
  <dimension ref="B1:AF42"/>
  <sheetViews>
    <sheetView showGridLines="0" workbookViewId="0"/>
  </sheetViews>
  <sheetFormatPr baseColWidth="10" defaultRowHeight="15"/>
  <cols>
    <col min="1" max="1" width="1.42578125" customWidth="1"/>
    <col min="2" max="2" width="3.7109375" customWidth="1"/>
    <col min="3" max="8" width="9.5703125" style="1" customWidth="1"/>
    <col min="9" max="9" width="1.7109375" customWidth="1"/>
    <col min="10" max="10" width="3.7109375" customWidth="1"/>
    <col min="11" max="16" width="9.5703125" customWidth="1"/>
    <col min="17" max="17" width="1.7109375" customWidth="1"/>
    <col min="18" max="18" width="3.7109375" customWidth="1"/>
    <col min="19" max="24" width="9.5703125" customWidth="1"/>
    <col min="25" max="25" width="1.7109375" customWidth="1"/>
    <col min="26" max="26" width="3.7109375" customWidth="1"/>
    <col min="27" max="32" width="9.5703125" customWidth="1"/>
  </cols>
  <sheetData>
    <row r="1" spans="2:32">
      <c r="C1" s="56" t="s">
        <v>0</v>
      </c>
      <c r="D1" s="56"/>
      <c r="E1" s="56"/>
      <c r="F1" s="57">
        <v>0.33333333333333331</v>
      </c>
      <c r="G1" s="56" t="s">
        <v>1</v>
      </c>
      <c r="H1" s="56"/>
      <c r="L1" s="165"/>
      <c r="M1" s="165"/>
      <c r="N1" s="165"/>
    </row>
    <row r="2" spans="2:32">
      <c r="C2" s="56" t="s">
        <v>2</v>
      </c>
      <c r="D2" s="57">
        <v>0.33333333333333331</v>
      </c>
      <c r="E2" s="56" t="s">
        <v>3</v>
      </c>
      <c r="F2" s="56"/>
      <c r="G2" s="56"/>
      <c r="H2" s="56"/>
      <c r="L2" s="165"/>
      <c r="M2" s="165"/>
      <c r="N2" s="165"/>
    </row>
    <row r="3" spans="2:32">
      <c r="C3" s="56"/>
      <c r="D3" s="56"/>
      <c r="E3" s="56"/>
      <c r="F3" s="56"/>
      <c r="G3" s="56"/>
      <c r="H3" s="56"/>
      <c r="L3" s="165"/>
      <c r="M3" s="165"/>
      <c r="N3" s="165"/>
    </row>
    <row r="4" spans="2:32" ht="15.75" thickBot="1">
      <c r="C4" s="6"/>
    </row>
    <row r="5" spans="2:32" s="7" customFormat="1" ht="15.75" customHeight="1" thickTop="1">
      <c r="B5" s="338">
        <f>'Table '!C3</f>
        <v>1</v>
      </c>
      <c r="C5" s="339"/>
      <c r="D5" s="339" t="e">
        <f>'Table '!#REF!</f>
        <v>#REF!</v>
      </c>
      <c r="E5" s="339"/>
      <c r="F5" s="339"/>
      <c r="G5" s="339"/>
      <c r="H5" s="340"/>
      <c r="J5" s="344">
        <f>'Table '!G3</f>
        <v>2</v>
      </c>
      <c r="K5" s="345"/>
      <c r="L5" s="345" t="e">
        <f>'Table '!#REF!</f>
        <v>#REF!</v>
      </c>
      <c r="M5" s="345"/>
      <c r="N5" s="345"/>
      <c r="O5" s="345"/>
      <c r="P5" s="346"/>
      <c r="R5" s="350">
        <f>'Table '!C6</f>
        <v>3</v>
      </c>
      <c r="S5" s="351"/>
      <c r="T5" s="351" t="e">
        <f>'Table '!#REF!</f>
        <v>#REF!</v>
      </c>
      <c r="U5" s="351"/>
      <c r="V5" s="351"/>
      <c r="W5" s="351"/>
      <c r="X5" s="352"/>
      <c r="Z5" s="356">
        <f>'Table '!G6</f>
        <v>4</v>
      </c>
      <c r="AA5" s="357"/>
      <c r="AB5" s="357" t="e">
        <f>'Table '!#REF!</f>
        <v>#REF!</v>
      </c>
      <c r="AC5" s="357"/>
      <c r="AD5" s="357"/>
      <c r="AE5" s="357"/>
      <c r="AF5" s="358"/>
    </row>
    <row r="6" spans="2:32" s="7" customFormat="1" ht="15" customHeight="1">
      <c r="B6" s="341"/>
      <c r="C6" s="342"/>
      <c r="D6" s="342"/>
      <c r="E6" s="342"/>
      <c r="F6" s="342"/>
      <c r="G6" s="342"/>
      <c r="H6" s="343"/>
      <c r="J6" s="347"/>
      <c r="K6" s="348"/>
      <c r="L6" s="348"/>
      <c r="M6" s="348"/>
      <c r="N6" s="348"/>
      <c r="O6" s="348"/>
      <c r="P6" s="349"/>
      <c r="R6" s="353"/>
      <c r="S6" s="354"/>
      <c r="T6" s="354"/>
      <c r="U6" s="354"/>
      <c r="V6" s="354"/>
      <c r="W6" s="354"/>
      <c r="X6" s="355"/>
      <c r="Z6" s="359"/>
      <c r="AA6" s="360"/>
      <c r="AB6" s="360"/>
      <c r="AC6" s="360"/>
      <c r="AD6" s="360"/>
      <c r="AE6" s="360"/>
      <c r="AF6" s="361"/>
    </row>
    <row r="7" spans="2:32" s="11" customFormat="1" ht="39" customHeight="1">
      <c r="B7" s="8"/>
      <c r="C7" s="15"/>
      <c r="D7" s="9" t="s">
        <v>4</v>
      </c>
      <c r="E7" s="9" t="s">
        <v>5</v>
      </c>
      <c r="F7" s="9" t="s">
        <v>6</v>
      </c>
      <c r="G7" s="9" t="s">
        <v>7</v>
      </c>
      <c r="H7" s="10" t="s">
        <v>8</v>
      </c>
      <c r="J7" s="8"/>
      <c r="K7" s="15"/>
      <c r="L7" s="9" t="s">
        <v>4</v>
      </c>
      <c r="M7" s="9" t="s">
        <v>5</v>
      </c>
      <c r="N7" s="9" t="s">
        <v>6</v>
      </c>
      <c r="O7" s="9" t="s">
        <v>7</v>
      </c>
      <c r="P7" s="10" t="s">
        <v>8</v>
      </c>
      <c r="R7" s="8"/>
      <c r="S7" s="15"/>
      <c r="T7" s="9" t="s">
        <v>4</v>
      </c>
      <c r="U7" s="9" t="s">
        <v>5</v>
      </c>
      <c r="V7" s="9" t="s">
        <v>6</v>
      </c>
      <c r="W7" s="9" t="s">
        <v>7</v>
      </c>
      <c r="X7" s="10" t="s">
        <v>8</v>
      </c>
      <c r="Z7" s="8"/>
      <c r="AA7" s="15"/>
      <c r="AB7" s="9" t="s">
        <v>4</v>
      </c>
      <c r="AC7" s="9" t="s">
        <v>5</v>
      </c>
      <c r="AD7" s="9" t="s">
        <v>6</v>
      </c>
      <c r="AE7" s="9" t="s">
        <v>7</v>
      </c>
      <c r="AF7" s="10" t="s">
        <v>8</v>
      </c>
    </row>
    <row r="8" spans="2:32" s="7" customFormat="1">
      <c r="B8" s="8" t="str">
        <f>CHOOSE(WEEKDAY(C8),"D","L","M","M","J","V","S")</f>
        <v>L</v>
      </c>
      <c r="C8" s="164" t="str">
        <f>TEXT('Table '!AL6,"jj mmm aa")</f>
        <v>01 oct 18</v>
      </c>
      <c r="D8" s="12"/>
      <c r="E8" s="12"/>
      <c r="F8" s="12">
        <f>E8-D8</f>
        <v>0</v>
      </c>
      <c r="G8" s="13">
        <f t="shared" ref="G8:G36" si="0">IF(F8&gt;=$F$1,1,0)</f>
        <v>0</v>
      </c>
      <c r="H8" s="14">
        <f t="shared" ref="H8:H36" si="1">IF(F8&lt;$F$1,F8,0)</f>
        <v>0</v>
      </c>
      <c r="J8" s="8" t="str">
        <f>CHOOSE(WEEKDAY(C8),"D","L","M","M","J","V","S")</f>
        <v>L</v>
      </c>
      <c r="K8" s="151" t="str">
        <f>TEXT('Table '!AL6,"jj mmm aa")</f>
        <v>01 oct 18</v>
      </c>
      <c r="L8" s="12"/>
      <c r="M8" s="12"/>
      <c r="N8" s="12">
        <f>M8-L8</f>
        <v>0</v>
      </c>
      <c r="O8" s="13">
        <f t="shared" ref="O8:O38" si="2">IF(N8&gt;=$F$1,1,0)</f>
        <v>0</v>
      </c>
      <c r="P8" s="14">
        <f t="shared" ref="P8:P38" si="3">IF(N8&lt;$F$1,N8,0)</f>
        <v>0</v>
      </c>
      <c r="R8" s="8" t="str">
        <f>CHOOSE(WEEKDAY(C8),"D","L","M","M","J","V","S")</f>
        <v>L</v>
      </c>
      <c r="S8" s="151" t="str">
        <f>TEXT('Table '!AL6,"jj mmm aa")</f>
        <v>01 oct 18</v>
      </c>
      <c r="T8" s="12"/>
      <c r="U8" s="12"/>
      <c r="V8" s="12">
        <f>U8-T8</f>
        <v>0</v>
      </c>
      <c r="W8" s="13">
        <f t="shared" ref="W8:W38" si="4">IF(V8&gt;=$F$1,1,0)</f>
        <v>0</v>
      </c>
      <c r="X8" s="14">
        <f t="shared" ref="X8:X38" si="5">IF(V8&lt;$F$1,V8,0)</f>
        <v>0</v>
      </c>
      <c r="Y8" s="21"/>
      <c r="Z8" s="131" t="str">
        <f>CHOOSE(WEEKDAY(C8),"D","L","M","M","J","V","S")</f>
        <v>L</v>
      </c>
      <c r="AA8" s="138" t="str">
        <f>TEXT('Table '!AL6,"jj mmm aa")</f>
        <v>01 oct 18</v>
      </c>
      <c r="AB8" s="18"/>
      <c r="AC8" s="18"/>
      <c r="AD8" s="18">
        <f>AC8-AB8</f>
        <v>0</v>
      </c>
      <c r="AE8" s="146">
        <f t="shared" ref="AE8:AE38" si="6">IF(AD8&gt;=$F$1,1,0)</f>
        <v>0</v>
      </c>
      <c r="AF8" s="20">
        <f t="shared" ref="AF8:AF38" si="7">IF(AD8&lt;$F$1,AD8,0)</f>
        <v>0</v>
      </c>
    </row>
    <row r="9" spans="2:32" s="7" customFormat="1">
      <c r="B9" s="8" t="str">
        <f t="shared" ref="B9:B38" si="8">CHOOSE(WEEKDAY(C9),"D","L","M","M","J","V","S")</f>
        <v>M</v>
      </c>
      <c r="C9" s="164" t="str">
        <f>TEXT('Table '!AL7,"jj mmm aa")</f>
        <v>02 oct 18</v>
      </c>
      <c r="D9" s="12"/>
      <c r="E9" s="12"/>
      <c r="F9" s="12">
        <f t="shared" ref="F9:F38" si="9">E9-D9</f>
        <v>0</v>
      </c>
      <c r="G9" s="13">
        <f t="shared" si="0"/>
        <v>0</v>
      </c>
      <c r="H9" s="14">
        <f t="shared" si="1"/>
        <v>0</v>
      </c>
      <c r="J9" s="8" t="str">
        <f t="shared" ref="J9:J38" si="10">CHOOSE(WEEKDAY(C9),"D","L","M","M","J","V","S")</f>
        <v>M</v>
      </c>
      <c r="K9" s="151" t="str">
        <f>TEXT('Table '!AL7,"jj mmm aa")</f>
        <v>02 oct 18</v>
      </c>
      <c r="L9" s="12"/>
      <c r="M9" s="12"/>
      <c r="N9" s="12">
        <f t="shared" ref="N9:N38" si="11">M9-L9</f>
        <v>0</v>
      </c>
      <c r="O9" s="13">
        <f t="shared" si="2"/>
        <v>0</v>
      </c>
      <c r="P9" s="14">
        <f t="shared" si="3"/>
        <v>0</v>
      </c>
      <c r="R9" s="8" t="str">
        <f t="shared" ref="R9:R38" si="12">CHOOSE(WEEKDAY(C9),"D","L","M","M","J","V","S")</f>
        <v>M</v>
      </c>
      <c r="S9" s="151" t="str">
        <f>TEXT('Table '!AL7,"jj mmm aa")</f>
        <v>02 oct 18</v>
      </c>
      <c r="T9" s="12"/>
      <c r="U9" s="12"/>
      <c r="V9" s="12">
        <f t="shared" ref="V9:V38" si="13">U9-T9</f>
        <v>0</v>
      </c>
      <c r="W9" s="13">
        <f t="shared" si="4"/>
        <v>0</v>
      </c>
      <c r="X9" s="14">
        <f t="shared" si="5"/>
        <v>0</v>
      </c>
      <c r="Y9" s="21"/>
      <c r="Z9" s="131" t="str">
        <f t="shared" ref="Z9:Z38" si="14">CHOOSE(WEEKDAY(C9),"D","L","M","M","J","V","S")</f>
        <v>M</v>
      </c>
      <c r="AA9" s="138" t="str">
        <f>TEXT('Table '!AL7,"jj mmm aa")</f>
        <v>02 oct 18</v>
      </c>
      <c r="AB9" s="18"/>
      <c r="AC9" s="18"/>
      <c r="AD9" s="18">
        <f t="shared" ref="AD9:AD38" si="15">AC9-AB9</f>
        <v>0</v>
      </c>
      <c r="AE9" s="146">
        <f t="shared" si="6"/>
        <v>0</v>
      </c>
      <c r="AF9" s="20">
        <f t="shared" si="7"/>
        <v>0</v>
      </c>
    </row>
    <row r="10" spans="2:32" s="7" customFormat="1">
      <c r="B10" s="8" t="str">
        <f t="shared" si="8"/>
        <v>M</v>
      </c>
      <c r="C10" s="164" t="str">
        <f>TEXT('Table '!AL8,"jj mmm aa")</f>
        <v>03 oct 18</v>
      </c>
      <c r="D10" s="12"/>
      <c r="E10" s="12"/>
      <c r="F10" s="12">
        <f t="shared" si="9"/>
        <v>0</v>
      </c>
      <c r="G10" s="13">
        <f t="shared" si="0"/>
        <v>0</v>
      </c>
      <c r="H10" s="14">
        <f t="shared" si="1"/>
        <v>0</v>
      </c>
      <c r="J10" s="8" t="str">
        <f t="shared" si="10"/>
        <v>M</v>
      </c>
      <c r="K10" s="151" t="str">
        <f>TEXT('Table '!AL8,"jj mmm aa")</f>
        <v>03 oct 18</v>
      </c>
      <c r="L10" s="12"/>
      <c r="M10" s="12"/>
      <c r="N10" s="12">
        <f t="shared" si="11"/>
        <v>0</v>
      </c>
      <c r="O10" s="13">
        <f t="shared" si="2"/>
        <v>0</v>
      </c>
      <c r="P10" s="14">
        <f t="shared" si="3"/>
        <v>0</v>
      </c>
      <c r="R10" s="8" t="str">
        <f t="shared" si="12"/>
        <v>M</v>
      </c>
      <c r="S10" s="151" t="str">
        <f>TEXT('Table '!AL8,"jj mmm aa")</f>
        <v>03 oct 18</v>
      </c>
      <c r="T10" s="12"/>
      <c r="U10" s="12"/>
      <c r="V10" s="12">
        <f t="shared" si="13"/>
        <v>0</v>
      </c>
      <c r="W10" s="13">
        <f t="shared" si="4"/>
        <v>0</v>
      </c>
      <c r="X10" s="14">
        <f t="shared" si="5"/>
        <v>0</v>
      </c>
      <c r="Y10" s="21"/>
      <c r="Z10" s="131" t="str">
        <f t="shared" si="14"/>
        <v>M</v>
      </c>
      <c r="AA10" s="138" t="str">
        <f>TEXT('Table '!AL8,"jj mmm aa")</f>
        <v>03 oct 18</v>
      </c>
      <c r="AB10" s="18"/>
      <c r="AC10" s="18"/>
      <c r="AD10" s="18">
        <f t="shared" si="15"/>
        <v>0</v>
      </c>
      <c r="AE10" s="146">
        <f t="shared" si="6"/>
        <v>0</v>
      </c>
      <c r="AF10" s="20">
        <f t="shared" si="7"/>
        <v>0</v>
      </c>
    </row>
    <row r="11" spans="2:32" s="7" customFormat="1">
      <c r="B11" s="8" t="str">
        <f t="shared" si="8"/>
        <v>J</v>
      </c>
      <c r="C11" s="164" t="str">
        <f>TEXT('Table '!AL9,"jj mmm aa")</f>
        <v>04 oct 18</v>
      </c>
      <c r="D11" s="12"/>
      <c r="E11" s="12"/>
      <c r="F11" s="25">
        <f t="shared" si="9"/>
        <v>0</v>
      </c>
      <c r="G11" s="26">
        <f t="shared" si="0"/>
        <v>0</v>
      </c>
      <c r="H11" s="27">
        <f t="shared" si="1"/>
        <v>0</v>
      </c>
      <c r="I11" s="45"/>
      <c r="J11" s="8" t="str">
        <f t="shared" si="10"/>
        <v>J</v>
      </c>
      <c r="K11" s="151" t="str">
        <f>TEXT('Table '!AL9,"jj mmm aa")</f>
        <v>04 oct 18</v>
      </c>
      <c r="L11" s="25"/>
      <c r="M11" s="25"/>
      <c r="N11" s="25">
        <f>M11-L11</f>
        <v>0</v>
      </c>
      <c r="O11" s="26">
        <f t="shared" si="2"/>
        <v>0</v>
      </c>
      <c r="P11" s="27">
        <f t="shared" si="3"/>
        <v>0</v>
      </c>
      <c r="R11" s="8" t="str">
        <f t="shared" si="12"/>
        <v>J</v>
      </c>
      <c r="S11" s="151" t="str">
        <f>TEXT('Table '!AL9,"jj mmm aa")</f>
        <v>04 oct 18</v>
      </c>
      <c r="T11" s="12"/>
      <c r="U11" s="12"/>
      <c r="V11" s="12">
        <f t="shared" si="13"/>
        <v>0</v>
      </c>
      <c r="W11" s="13">
        <f t="shared" si="4"/>
        <v>0</v>
      </c>
      <c r="X11" s="14">
        <f t="shared" si="5"/>
        <v>0</v>
      </c>
      <c r="Y11" s="21"/>
      <c r="Z11" s="131" t="str">
        <f t="shared" si="14"/>
        <v>J</v>
      </c>
      <c r="AA11" s="138" t="str">
        <f>TEXT('Table '!AL9,"jj mmm aa")</f>
        <v>04 oct 18</v>
      </c>
      <c r="AB11" s="18"/>
      <c r="AC11" s="18"/>
      <c r="AD11" s="18">
        <f t="shared" si="15"/>
        <v>0</v>
      </c>
      <c r="AE11" s="146">
        <f t="shared" si="6"/>
        <v>0</v>
      </c>
      <c r="AF11" s="20">
        <f t="shared" si="7"/>
        <v>0</v>
      </c>
    </row>
    <row r="12" spans="2:32" s="7" customFormat="1">
      <c r="B12" s="8" t="str">
        <f t="shared" si="8"/>
        <v>V</v>
      </c>
      <c r="C12" s="164" t="str">
        <f>TEXT('Table '!AL10,"jj mmm aa")</f>
        <v>05 oct 18</v>
      </c>
      <c r="D12" s="12"/>
      <c r="E12" s="12"/>
      <c r="F12" s="25">
        <f t="shared" si="9"/>
        <v>0</v>
      </c>
      <c r="G12" s="26">
        <f t="shared" si="0"/>
        <v>0</v>
      </c>
      <c r="H12" s="27">
        <f t="shared" si="1"/>
        <v>0</v>
      </c>
      <c r="I12" s="45"/>
      <c r="J12" s="8" t="str">
        <f t="shared" si="10"/>
        <v>V</v>
      </c>
      <c r="K12" s="151" t="str">
        <f>TEXT('Table '!AL10,"jj mmm aa")</f>
        <v>05 oct 18</v>
      </c>
      <c r="L12" s="12"/>
      <c r="M12" s="12"/>
      <c r="N12" s="25">
        <f>M12-L12</f>
        <v>0</v>
      </c>
      <c r="O12" s="26">
        <f t="shared" si="2"/>
        <v>0</v>
      </c>
      <c r="P12" s="27">
        <f t="shared" si="3"/>
        <v>0</v>
      </c>
      <c r="R12" s="8" t="str">
        <f t="shared" si="12"/>
        <v>V</v>
      </c>
      <c r="S12" s="151" t="str">
        <f>TEXT('Table '!AL10,"jj mmm aa")</f>
        <v>05 oct 18</v>
      </c>
      <c r="T12" s="12"/>
      <c r="U12" s="12"/>
      <c r="V12" s="12">
        <f t="shared" si="13"/>
        <v>0</v>
      </c>
      <c r="W12" s="13">
        <f t="shared" si="4"/>
        <v>0</v>
      </c>
      <c r="X12" s="14">
        <f t="shared" si="5"/>
        <v>0</v>
      </c>
      <c r="Y12" s="21"/>
      <c r="Z12" s="131" t="str">
        <f t="shared" si="14"/>
        <v>V</v>
      </c>
      <c r="AA12" s="138" t="str">
        <f>TEXT('Table '!AL10,"jj mmm aa")</f>
        <v>05 oct 18</v>
      </c>
      <c r="AB12" s="18"/>
      <c r="AC12" s="18"/>
      <c r="AD12" s="18">
        <f t="shared" si="15"/>
        <v>0</v>
      </c>
      <c r="AE12" s="146">
        <f t="shared" si="6"/>
        <v>0</v>
      </c>
      <c r="AF12" s="20">
        <f t="shared" si="7"/>
        <v>0</v>
      </c>
    </row>
    <row r="13" spans="2:32" s="7" customFormat="1">
      <c r="B13" s="8" t="str">
        <f t="shared" si="8"/>
        <v>S</v>
      </c>
      <c r="C13" s="164" t="str">
        <f>TEXT('Table '!AL11,"jj mmm aa")</f>
        <v>06 oct 18</v>
      </c>
      <c r="D13" s="12"/>
      <c r="E13" s="12"/>
      <c r="F13" s="25">
        <f t="shared" si="9"/>
        <v>0</v>
      </c>
      <c r="G13" s="26">
        <f t="shared" si="0"/>
        <v>0</v>
      </c>
      <c r="H13" s="27">
        <f t="shared" si="1"/>
        <v>0</v>
      </c>
      <c r="I13" s="45"/>
      <c r="J13" s="8" t="str">
        <f t="shared" si="10"/>
        <v>S</v>
      </c>
      <c r="K13" s="151" t="str">
        <f>TEXT('Table '!AL11,"jj mmm aa")</f>
        <v>06 oct 18</v>
      </c>
      <c r="L13" s="12"/>
      <c r="M13" s="12"/>
      <c r="N13" s="25">
        <f t="shared" si="11"/>
        <v>0</v>
      </c>
      <c r="O13" s="26">
        <f t="shared" si="2"/>
        <v>0</v>
      </c>
      <c r="P13" s="27">
        <f t="shared" si="3"/>
        <v>0</v>
      </c>
      <c r="R13" s="8" t="str">
        <f t="shared" si="12"/>
        <v>S</v>
      </c>
      <c r="S13" s="151" t="str">
        <f>TEXT('Table '!AL11,"jj mmm aa")</f>
        <v>06 oct 18</v>
      </c>
      <c r="T13" s="12"/>
      <c r="U13" s="12"/>
      <c r="V13" s="12">
        <f t="shared" si="13"/>
        <v>0</v>
      </c>
      <c r="W13" s="13">
        <f t="shared" si="4"/>
        <v>0</v>
      </c>
      <c r="X13" s="14">
        <f t="shared" si="5"/>
        <v>0</v>
      </c>
      <c r="Y13" s="21"/>
      <c r="Z13" s="131" t="str">
        <f t="shared" si="14"/>
        <v>S</v>
      </c>
      <c r="AA13" s="138" t="str">
        <f>TEXT('Table '!AL11,"jj mmm aa")</f>
        <v>06 oct 18</v>
      </c>
      <c r="AB13" s="18"/>
      <c r="AC13" s="18"/>
      <c r="AD13" s="18">
        <f t="shared" si="15"/>
        <v>0</v>
      </c>
      <c r="AE13" s="146">
        <f t="shared" si="6"/>
        <v>0</v>
      </c>
      <c r="AF13" s="20">
        <f t="shared" si="7"/>
        <v>0</v>
      </c>
    </row>
    <row r="14" spans="2:32" s="7" customFormat="1">
      <c r="B14" s="8" t="str">
        <f t="shared" si="8"/>
        <v>D</v>
      </c>
      <c r="C14" s="164" t="str">
        <f>TEXT('Table '!AL12,"jj mmm aa")</f>
        <v>07 oct 18</v>
      </c>
      <c r="D14" s="12"/>
      <c r="E14" s="12"/>
      <c r="F14" s="25">
        <f t="shared" si="9"/>
        <v>0</v>
      </c>
      <c r="G14" s="26">
        <f t="shared" si="0"/>
        <v>0</v>
      </c>
      <c r="H14" s="27">
        <f t="shared" si="1"/>
        <v>0</v>
      </c>
      <c r="I14" s="45"/>
      <c r="J14" s="8" t="str">
        <f t="shared" si="10"/>
        <v>D</v>
      </c>
      <c r="K14" s="151" t="str">
        <f>TEXT('Table '!AL12,"jj mmm aa")</f>
        <v>07 oct 18</v>
      </c>
      <c r="L14" s="12"/>
      <c r="M14" s="12"/>
      <c r="N14" s="25">
        <f t="shared" si="11"/>
        <v>0</v>
      </c>
      <c r="O14" s="26">
        <f t="shared" si="2"/>
        <v>0</v>
      </c>
      <c r="P14" s="27">
        <f t="shared" si="3"/>
        <v>0</v>
      </c>
      <c r="R14" s="8" t="str">
        <f t="shared" si="12"/>
        <v>D</v>
      </c>
      <c r="S14" s="151" t="str">
        <f>TEXT('Table '!AL12,"jj mmm aa")</f>
        <v>07 oct 18</v>
      </c>
      <c r="T14" s="12"/>
      <c r="U14" s="12"/>
      <c r="V14" s="12">
        <f t="shared" si="13"/>
        <v>0</v>
      </c>
      <c r="W14" s="13">
        <f t="shared" si="4"/>
        <v>0</v>
      </c>
      <c r="X14" s="14">
        <f t="shared" si="5"/>
        <v>0</v>
      </c>
      <c r="Y14" s="21"/>
      <c r="Z14" s="131" t="str">
        <f t="shared" si="14"/>
        <v>D</v>
      </c>
      <c r="AA14" s="138" t="str">
        <f>TEXT('Table '!AL12,"jj mmm aa")</f>
        <v>07 oct 18</v>
      </c>
      <c r="AB14" s="18"/>
      <c r="AC14" s="18"/>
      <c r="AD14" s="18">
        <f t="shared" si="15"/>
        <v>0</v>
      </c>
      <c r="AE14" s="146">
        <f t="shared" si="6"/>
        <v>0</v>
      </c>
      <c r="AF14" s="20">
        <f t="shared" si="7"/>
        <v>0</v>
      </c>
    </row>
    <row r="15" spans="2:32" s="7" customFormat="1">
      <c r="B15" s="8" t="str">
        <f t="shared" si="8"/>
        <v>L</v>
      </c>
      <c r="C15" s="164" t="str">
        <f>TEXT('Table '!AL13,"jj mmm aa")</f>
        <v>08 oct 18</v>
      </c>
      <c r="D15" s="12"/>
      <c r="E15" s="12"/>
      <c r="F15" s="25">
        <f t="shared" si="9"/>
        <v>0</v>
      </c>
      <c r="G15" s="26">
        <f t="shared" si="0"/>
        <v>0</v>
      </c>
      <c r="H15" s="27">
        <f t="shared" si="1"/>
        <v>0</v>
      </c>
      <c r="I15" s="45"/>
      <c r="J15" s="8" t="str">
        <f t="shared" si="10"/>
        <v>L</v>
      </c>
      <c r="K15" s="151" t="str">
        <f>TEXT('Table '!AL13,"jj mmm aa")</f>
        <v>08 oct 18</v>
      </c>
      <c r="L15" s="12"/>
      <c r="M15" s="12"/>
      <c r="N15" s="25">
        <f t="shared" si="11"/>
        <v>0</v>
      </c>
      <c r="O15" s="26">
        <f t="shared" si="2"/>
        <v>0</v>
      </c>
      <c r="P15" s="27">
        <f t="shared" si="3"/>
        <v>0</v>
      </c>
      <c r="R15" s="8" t="str">
        <f t="shared" si="12"/>
        <v>L</v>
      </c>
      <c r="S15" s="151" t="str">
        <f>TEXT('Table '!AL13,"jj mmm aa")</f>
        <v>08 oct 18</v>
      </c>
      <c r="T15" s="12"/>
      <c r="U15" s="12"/>
      <c r="V15" s="12">
        <f t="shared" si="13"/>
        <v>0</v>
      </c>
      <c r="W15" s="13">
        <f t="shared" si="4"/>
        <v>0</v>
      </c>
      <c r="X15" s="14">
        <f t="shared" si="5"/>
        <v>0</v>
      </c>
      <c r="Y15" s="21"/>
      <c r="Z15" s="131" t="str">
        <f t="shared" si="14"/>
        <v>L</v>
      </c>
      <c r="AA15" s="138" t="str">
        <f>TEXT('Table '!AL13,"jj mmm aa")</f>
        <v>08 oct 18</v>
      </c>
      <c r="AB15" s="18"/>
      <c r="AC15" s="18"/>
      <c r="AD15" s="18">
        <f t="shared" si="15"/>
        <v>0</v>
      </c>
      <c r="AE15" s="146">
        <f t="shared" si="6"/>
        <v>0</v>
      </c>
      <c r="AF15" s="20">
        <f t="shared" si="7"/>
        <v>0</v>
      </c>
    </row>
    <row r="16" spans="2:32" s="7" customFormat="1">
      <c r="B16" s="8" t="str">
        <f t="shared" si="8"/>
        <v>M</v>
      </c>
      <c r="C16" s="164" t="str">
        <f>TEXT('Table '!AL14,"jj mmm aa")</f>
        <v>09 oct 18</v>
      </c>
      <c r="D16" s="25"/>
      <c r="E16" s="25"/>
      <c r="F16" s="25">
        <f t="shared" si="9"/>
        <v>0</v>
      </c>
      <c r="G16" s="26">
        <f t="shared" si="0"/>
        <v>0</v>
      </c>
      <c r="H16" s="27">
        <f t="shared" si="1"/>
        <v>0</v>
      </c>
      <c r="I16" s="45"/>
      <c r="J16" s="8" t="str">
        <f t="shared" si="10"/>
        <v>M</v>
      </c>
      <c r="K16" s="151" t="str">
        <f>TEXT('Table '!AL14,"jj mmm aa")</f>
        <v>09 oct 18</v>
      </c>
      <c r="L16" s="25"/>
      <c r="M16" s="25"/>
      <c r="N16" s="25">
        <f t="shared" si="11"/>
        <v>0</v>
      </c>
      <c r="O16" s="26">
        <f t="shared" si="2"/>
        <v>0</v>
      </c>
      <c r="P16" s="27">
        <f t="shared" si="3"/>
        <v>0</v>
      </c>
      <c r="R16" s="8" t="str">
        <f t="shared" si="12"/>
        <v>M</v>
      </c>
      <c r="S16" s="151" t="str">
        <f>TEXT('Table '!AL14,"jj mmm aa")</f>
        <v>09 oct 18</v>
      </c>
      <c r="T16" s="12"/>
      <c r="U16" s="12"/>
      <c r="V16" s="12">
        <f t="shared" si="13"/>
        <v>0</v>
      </c>
      <c r="W16" s="13">
        <f t="shared" si="4"/>
        <v>0</v>
      </c>
      <c r="X16" s="14">
        <f t="shared" si="5"/>
        <v>0</v>
      </c>
      <c r="Y16" s="21"/>
      <c r="Z16" s="131" t="str">
        <f t="shared" si="14"/>
        <v>M</v>
      </c>
      <c r="AA16" s="138" t="str">
        <f>TEXT('Table '!AL14,"jj mmm aa")</f>
        <v>09 oct 18</v>
      </c>
      <c r="AB16" s="18"/>
      <c r="AC16" s="18"/>
      <c r="AD16" s="18">
        <f t="shared" si="15"/>
        <v>0</v>
      </c>
      <c r="AE16" s="146">
        <f t="shared" si="6"/>
        <v>0</v>
      </c>
      <c r="AF16" s="20">
        <f t="shared" si="7"/>
        <v>0</v>
      </c>
    </row>
    <row r="17" spans="2:32" s="7" customFormat="1">
      <c r="B17" s="8" t="str">
        <f t="shared" si="8"/>
        <v>M</v>
      </c>
      <c r="C17" s="164" t="str">
        <f>TEXT('Table '!AL15,"jj mmm aa")</f>
        <v>10 oct 18</v>
      </c>
      <c r="D17" s="25"/>
      <c r="E17" s="25"/>
      <c r="F17" s="25">
        <f t="shared" si="9"/>
        <v>0</v>
      </c>
      <c r="G17" s="26">
        <f t="shared" si="0"/>
        <v>0</v>
      </c>
      <c r="H17" s="27">
        <f t="shared" si="1"/>
        <v>0</v>
      </c>
      <c r="I17" s="45"/>
      <c r="J17" s="8" t="str">
        <f t="shared" si="10"/>
        <v>M</v>
      </c>
      <c r="K17" s="151" t="str">
        <f>TEXT('Table '!AL15,"jj mmm aa")</f>
        <v>10 oct 18</v>
      </c>
      <c r="L17" s="25"/>
      <c r="M17" s="25"/>
      <c r="N17" s="25">
        <f>M17-L17</f>
        <v>0</v>
      </c>
      <c r="O17" s="26">
        <f t="shared" si="2"/>
        <v>0</v>
      </c>
      <c r="P17" s="27">
        <f t="shared" si="3"/>
        <v>0</v>
      </c>
      <c r="R17" s="8" t="str">
        <f t="shared" si="12"/>
        <v>M</v>
      </c>
      <c r="S17" s="151" t="str">
        <f>TEXT('Table '!AL15,"jj mmm aa")</f>
        <v>10 oct 18</v>
      </c>
      <c r="T17" s="44"/>
      <c r="U17" s="12"/>
      <c r="V17" s="12">
        <f t="shared" si="13"/>
        <v>0</v>
      </c>
      <c r="W17" s="13">
        <f t="shared" si="4"/>
        <v>0</v>
      </c>
      <c r="X17" s="14">
        <f t="shared" si="5"/>
        <v>0</v>
      </c>
      <c r="Y17" s="21"/>
      <c r="Z17" s="131" t="str">
        <f t="shared" si="14"/>
        <v>M</v>
      </c>
      <c r="AA17" s="138" t="str">
        <f>TEXT('Table '!AL15,"jj mmm aa")</f>
        <v>10 oct 18</v>
      </c>
      <c r="AB17" s="18"/>
      <c r="AC17" s="18"/>
      <c r="AD17" s="18">
        <f t="shared" si="15"/>
        <v>0</v>
      </c>
      <c r="AE17" s="146">
        <f t="shared" si="6"/>
        <v>0</v>
      </c>
      <c r="AF17" s="20">
        <f t="shared" si="7"/>
        <v>0</v>
      </c>
    </row>
    <row r="18" spans="2:32" s="7" customFormat="1">
      <c r="B18" s="8" t="str">
        <f t="shared" si="8"/>
        <v>J</v>
      </c>
      <c r="C18" s="164" t="str">
        <f>TEXT('Table '!AL16,"jj mmm aa")</f>
        <v>11 oct 18</v>
      </c>
      <c r="D18" s="25"/>
      <c r="E18" s="25"/>
      <c r="F18" s="25">
        <f t="shared" si="9"/>
        <v>0</v>
      </c>
      <c r="G18" s="26">
        <f t="shared" si="0"/>
        <v>0</v>
      </c>
      <c r="H18" s="27">
        <f t="shared" si="1"/>
        <v>0</v>
      </c>
      <c r="I18" s="45"/>
      <c r="J18" s="8" t="str">
        <f t="shared" si="10"/>
        <v>J</v>
      </c>
      <c r="K18" s="151" t="str">
        <f>TEXT('Table '!AL16,"jj mmm aa")</f>
        <v>11 oct 18</v>
      </c>
      <c r="L18" s="25"/>
      <c r="M18" s="25"/>
      <c r="N18" s="25">
        <f>M18-L18</f>
        <v>0</v>
      </c>
      <c r="O18" s="26">
        <f t="shared" si="2"/>
        <v>0</v>
      </c>
      <c r="P18" s="27">
        <f t="shared" si="3"/>
        <v>0</v>
      </c>
      <c r="R18" s="8" t="str">
        <f t="shared" si="12"/>
        <v>J</v>
      </c>
      <c r="S18" s="151" t="str">
        <f>TEXT('Table '!AL16,"jj mmm aa")</f>
        <v>11 oct 18</v>
      </c>
      <c r="T18" s="12"/>
      <c r="U18" s="12"/>
      <c r="V18" s="12">
        <f t="shared" si="13"/>
        <v>0</v>
      </c>
      <c r="W18" s="13">
        <f t="shared" si="4"/>
        <v>0</v>
      </c>
      <c r="X18" s="14">
        <f t="shared" si="5"/>
        <v>0</v>
      </c>
      <c r="Y18" s="21"/>
      <c r="Z18" s="131" t="str">
        <f t="shared" si="14"/>
        <v>J</v>
      </c>
      <c r="AA18" s="138" t="str">
        <f>TEXT('Table '!AL16,"jj mmm aa")</f>
        <v>11 oct 18</v>
      </c>
      <c r="AB18" s="18"/>
      <c r="AC18" s="18"/>
      <c r="AD18" s="18">
        <f t="shared" si="15"/>
        <v>0</v>
      </c>
      <c r="AE18" s="146">
        <f t="shared" si="6"/>
        <v>0</v>
      </c>
      <c r="AF18" s="20">
        <f t="shared" si="7"/>
        <v>0</v>
      </c>
    </row>
    <row r="19" spans="2:32" s="7" customFormat="1">
      <c r="B19" s="8" t="str">
        <f t="shared" si="8"/>
        <v>V</v>
      </c>
      <c r="C19" s="164" t="str">
        <f>TEXT('Table '!AL17,"jj mmm aa")</f>
        <v>12 oct 18</v>
      </c>
      <c r="D19" s="25"/>
      <c r="E19" s="25"/>
      <c r="F19" s="25">
        <f t="shared" si="9"/>
        <v>0</v>
      </c>
      <c r="G19" s="26">
        <f t="shared" si="0"/>
        <v>0</v>
      </c>
      <c r="H19" s="27">
        <f t="shared" si="1"/>
        <v>0</v>
      </c>
      <c r="I19" s="45"/>
      <c r="J19" s="8" t="str">
        <f t="shared" si="10"/>
        <v>V</v>
      </c>
      <c r="K19" s="151" t="str">
        <f>TEXT('Table '!AL17,"jj mmm aa")</f>
        <v>12 oct 18</v>
      </c>
      <c r="L19" s="25"/>
      <c r="M19" s="25"/>
      <c r="N19" s="25">
        <f t="shared" si="11"/>
        <v>0</v>
      </c>
      <c r="O19" s="26">
        <f t="shared" si="2"/>
        <v>0</v>
      </c>
      <c r="P19" s="27">
        <f t="shared" si="3"/>
        <v>0</v>
      </c>
      <c r="R19" s="8" t="str">
        <f t="shared" si="12"/>
        <v>V</v>
      </c>
      <c r="S19" s="151" t="str">
        <f>TEXT('Table '!AL17,"jj mmm aa")</f>
        <v>12 oct 18</v>
      </c>
      <c r="T19" s="12"/>
      <c r="U19" s="12"/>
      <c r="V19" s="12">
        <f t="shared" si="13"/>
        <v>0</v>
      </c>
      <c r="W19" s="13">
        <f t="shared" si="4"/>
        <v>0</v>
      </c>
      <c r="X19" s="14">
        <f t="shared" si="5"/>
        <v>0</v>
      </c>
      <c r="Y19" s="21"/>
      <c r="Z19" s="131" t="str">
        <f t="shared" si="14"/>
        <v>V</v>
      </c>
      <c r="AA19" s="138" t="str">
        <f>TEXT('Table '!AL17,"jj mmm aa")</f>
        <v>12 oct 18</v>
      </c>
      <c r="AB19" s="18"/>
      <c r="AC19" s="18"/>
      <c r="AD19" s="18">
        <f t="shared" si="15"/>
        <v>0</v>
      </c>
      <c r="AE19" s="146">
        <f t="shared" si="6"/>
        <v>0</v>
      </c>
      <c r="AF19" s="20">
        <f t="shared" si="7"/>
        <v>0</v>
      </c>
    </row>
    <row r="20" spans="2:32" s="7" customFormat="1">
      <c r="B20" s="8" t="str">
        <f t="shared" si="8"/>
        <v>S</v>
      </c>
      <c r="C20" s="164" t="str">
        <f>TEXT('Table '!AL18,"jj mmm aa")</f>
        <v>13 oct 18</v>
      </c>
      <c r="D20" s="25"/>
      <c r="E20" s="25"/>
      <c r="F20" s="25">
        <f t="shared" si="9"/>
        <v>0</v>
      </c>
      <c r="G20" s="26">
        <f t="shared" si="0"/>
        <v>0</v>
      </c>
      <c r="H20" s="27">
        <f t="shared" si="1"/>
        <v>0</v>
      </c>
      <c r="I20" s="45"/>
      <c r="J20" s="8" t="str">
        <f t="shared" si="10"/>
        <v>S</v>
      </c>
      <c r="K20" s="151" t="str">
        <f>TEXT('Table '!AL18,"jj mmm aa")</f>
        <v>13 oct 18</v>
      </c>
      <c r="L20" s="25"/>
      <c r="M20" s="25"/>
      <c r="N20" s="25">
        <f t="shared" si="11"/>
        <v>0</v>
      </c>
      <c r="O20" s="26">
        <f t="shared" si="2"/>
        <v>0</v>
      </c>
      <c r="P20" s="27">
        <f t="shared" si="3"/>
        <v>0</v>
      </c>
      <c r="R20" s="8" t="str">
        <f t="shared" si="12"/>
        <v>S</v>
      </c>
      <c r="S20" s="151" t="str">
        <f>TEXT('Table '!AL18,"jj mmm aa")</f>
        <v>13 oct 18</v>
      </c>
      <c r="T20" s="12"/>
      <c r="U20" s="12"/>
      <c r="V20" s="12">
        <f t="shared" si="13"/>
        <v>0</v>
      </c>
      <c r="W20" s="13">
        <f t="shared" si="4"/>
        <v>0</v>
      </c>
      <c r="X20" s="14">
        <f t="shared" si="5"/>
        <v>0</v>
      </c>
      <c r="Y20" s="21"/>
      <c r="Z20" s="131" t="str">
        <f t="shared" si="14"/>
        <v>S</v>
      </c>
      <c r="AA20" s="138" t="str">
        <f>TEXT('Table '!AL18,"jj mmm aa")</f>
        <v>13 oct 18</v>
      </c>
      <c r="AB20" s="18"/>
      <c r="AC20" s="18"/>
      <c r="AD20" s="18">
        <f t="shared" si="15"/>
        <v>0</v>
      </c>
      <c r="AE20" s="146">
        <f t="shared" si="6"/>
        <v>0</v>
      </c>
      <c r="AF20" s="20">
        <f t="shared" si="7"/>
        <v>0</v>
      </c>
    </row>
    <row r="21" spans="2:32" s="7" customFormat="1">
      <c r="B21" s="8" t="str">
        <f t="shared" si="8"/>
        <v>D</v>
      </c>
      <c r="C21" s="164" t="str">
        <f>TEXT('Table '!AL19,"jj mmm aa")</f>
        <v>14 oct 18</v>
      </c>
      <c r="D21" s="25"/>
      <c r="E21" s="25"/>
      <c r="F21" s="25">
        <f t="shared" si="9"/>
        <v>0</v>
      </c>
      <c r="G21" s="26">
        <f t="shared" si="0"/>
        <v>0</v>
      </c>
      <c r="H21" s="27">
        <f t="shared" si="1"/>
        <v>0</v>
      </c>
      <c r="I21" s="45"/>
      <c r="J21" s="8" t="str">
        <f t="shared" si="10"/>
        <v>D</v>
      </c>
      <c r="K21" s="151" t="str">
        <f>TEXT('Table '!AL19,"jj mmm aa")</f>
        <v>14 oct 18</v>
      </c>
      <c r="L21" s="25"/>
      <c r="M21" s="25"/>
      <c r="N21" s="25">
        <f t="shared" si="11"/>
        <v>0</v>
      </c>
      <c r="O21" s="26">
        <f t="shared" si="2"/>
        <v>0</v>
      </c>
      <c r="P21" s="27">
        <f t="shared" si="3"/>
        <v>0</v>
      </c>
      <c r="R21" s="8" t="str">
        <f t="shared" si="12"/>
        <v>D</v>
      </c>
      <c r="S21" s="151" t="str">
        <f>TEXT('Table '!AL19,"jj mmm aa")</f>
        <v>14 oct 18</v>
      </c>
      <c r="T21" s="12"/>
      <c r="U21" s="12"/>
      <c r="V21" s="12">
        <f t="shared" si="13"/>
        <v>0</v>
      </c>
      <c r="W21" s="13">
        <f t="shared" si="4"/>
        <v>0</v>
      </c>
      <c r="X21" s="14">
        <f t="shared" si="5"/>
        <v>0</v>
      </c>
      <c r="Y21" s="21"/>
      <c r="Z21" s="131" t="str">
        <f t="shared" si="14"/>
        <v>D</v>
      </c>
      <c r="AA21" s="138" t="str">
        <f>TEXT('Table '!AL19,"jj mmm aa")</f>
        <v>14 oct 18</v>
      </c>
      <c r="AB21" s="18"/>
      <c r="AC21" s="18"/>
      <c r="AD21" s="18">
        <f t="shared" si="15"/>
        <v>0</v>
      </c>
      <c r="AE21" s="146">
        <f t="shared" si="6"/>
        <v>0</v>
      </c>
      <c r="AF21" s="20">
        <f t="shared" si="7"/>
        <v>0</v>
      </c>
    </row>
    <row r="22" spans="2:32" s="7" customFormat="1">
      <c r="B22" s="8" t="str">
        <f t="shared" si="8"/>
        <v>L</v>
      </c>
      <c r="C22" s="164" t="str">
        <f>TEXT('Table '!AL20,"jj mmm aa")</f>
        <v>15 oct 18</v>
      </c>
      <c r="D22" s="25"/>
      <c r="E22" s="25"/>
      <c r="F22" s="25">
        <f t="shared" si="9"/>
        <v>0</v>
      </c>
      <c r="G22" s="26">
        <f t="shared" si="0"/>
        <v>0</v>
      </c>
      <c r="H22" s="27">
        <f t="shared" si="1"/>
        <v>0</v>
      </c>
      <c r="I22" s="45"/>
      <c r="J22" s="8" t="str">
        <f t="shared" si="10"/>
        <v>L</v>
      </c>
      <c r="K22" s="151" t="str">
        <f>TEXT('Table '!AL20,"jj mmm aa")</f>
        <v>15 oct 18</v>
      </c>
      <c r="L22" s="25"/>
      <c r="M22" s="25"/>
      <c r="N22" s="25">
        <f t="shared" si="11"/>
        <v>0</v>
      </c>
      <c r="O22" s="26">
        <f t="shared" si="2"/>
        <v>0</v>
      </c>
      <c r="P22" s="27">
        <f t="shared" si="3"/>
        <v>0</v>
      </c>
      <c r="R22" s="8" t="str">
        <f t="shared" si="12"/>
        <v>L</v>
      </c>
      <c r="S22" s="151" t="str">
        <f>TEXT('Table '!AL20,"jj mmm aa")</f>
        <v>15 oct 18</v>
      </c>
      <c r="T22" s="12"/>
      <c r="U22" s="12"/>
      <c r="V22" s="12">
        <f t="shared" si="13"/>
        <v>0</v>
      </c>
      <c r="W22" s="13">
        <f t="shared" si="4"/>
        <v>0</v>
      </c>
      <c r="X22" s="14">
        <f t="shared" si="5"/>
        <v>0</v>
      </c>
      <c r="Y22" s="21"/>
      <c r="Z22" s="131" t="str">
        <f t="shared" si="14"/>
        <v>L</v>
      </c>
      <c r="AA22" s="138" t="str">
        <f>TEXT('Table '!AL20,"jj mmm aa")</f>
        <v>15 oct 18</v>
      </c>
      <c r="AB22" s="18"/>
      <c r="AC22" s="18"/>
      <c r="AD22" s="18">
        <f t="shared" si="15"/>
        <v>0</v>
      </c>
      <c r="AE22" s="146">
        <f t="shared" si="6"/>
        <v>0</v>
      </c>
      <c r="AF22" s="20">
        <f t="shared" si="7"/>
        <v>0</v>
      </c>
    </row>
    <row r="23" spans="2:32" s="7" customFormat="1">
      <c r="B23" s="8" t="str">
        <f t="shared" si="8"/>
        <v>M</v>
      </c>
      <c r="C23" s="164" t="str">
        <f>TEXT('Table '!AL21,"jj mmm aa")</f>
        <v>16 oct 18</v>
      </c>
      <c r="D23" s="25"/>
      <c r="E23" s="25"/>
      <c r="F23" s="25">
        <f t="shared" si="9"/>
        <v>0</v>
      </c>
      <c r="G23" s="26">
        <f t="shared" si="0"/>
        <v>0</v>
      </c>
      <c r="H23" s="27">
        <f t="shared" si="1"/>
        <v>0</v>
      </c>
      <c r="I23" s="45"/>
      <c r="J23" s="8" t="str">
        <f t="shared" si="10"/>
        <v>M</v>
      </c>
      <c r="K23" s="151" t="str">
        <f>TEXT('Table '!AL21,"jj mmm aa")</f>
        <v>16 oct 18</v>
      </c>
      <c r="L23" s="25"/>
      <c r="M23" s="25"/>
      <c r="N23" s="25">
        <f t="shared" si="11"/>
        <v>0</v>
      </c>
      <c r="O23" s="26">
        <f t="shared" si="2"/>
        <v>0</v>
      </c>
      <c r="P23" s="27">
        <f t="shared" si="3"/>
        <v>0</v>
      </c>
      <c r="R23" s="8" t="str">
        <f t="shared" si="12"/>
        <v>M</v>
      </c>
      <c r="S23" s="151" t="str">
        <f>TEXT('Table '!AL21,"jj mmm aa")</f>
        <v>16 oct 18</v>
      </c>
      <c r="T23" s="12"/>
      <c r="U23" s="12"/>
      <c r="V23" s="12">
        <f t="shared" si="13"/>
        <v>0</v>
      </c>
      <c r="W23" s="13">
        <f t="shared" si="4"/>
        <v>0</v>
      </c>
      <c r="X23" s="14">
        <f t="shared" si="5"/>
        <v>0</v>
      </c>
      <c r="Y23" s="21"/>
      <c r="Z23" s="131" t="str">
        <f t="shared" si="14"/>
        <v>M</v>
      </c>
      <c r="AA23" s="138" t="str">
        <f>TEXT('Table '!AL21,"jj mmm aa")</f>
        <v>16 oct 18</v>
      </c>
      <c r="AB23" s="18"/>
      <c r="AC23" s="18"/>
      <c r="AD23" s="18">
        <f t="shared" si="15"/>
        <v>0</v>
      </c>
      <c r="AE23" s="146">
        <f t="shared" si="6"/>
        <v>0</v>
      </c>
      <c r="AF23" s="20">
        <f t="shared" si="7"/>
        <v>0</v>
      </c>
    </row>
    <row r="24" spans="2:32" s="7" customFormat="1">
      <c r="B24" s="8" t="str">
        <f t="shared" si="8"/>
        <v>M</v>
      </c>
      <c r="C24" s="164" t="str">
        <f>TEXT('Table '!AL22,"jj mmm aa")</f>
        <v>17 oct 18</v>
      </c>
      <c r="D24" s="25"/>
      <c r="E24" s="25"/>
      <c r="F24" s="25">
        <f t="shared" si="9"/>
        <v>0</v>
      </c>
      <c r="G24" s="26">
        <f t="shared" si="0"/>
        <v>0</v>
      </c>
      <c r="H24" s="27">
        <f t="shared" si="1"/>
        <v>0</v>
      </c>
      <c r="I24" s="45"/>
      <c r="J24" s="8" t="str">
        <f t="shared" si="10"/>
        <v>M</v>
      </c>
      <c r="K24" s="151" t="str">
        <f>TEXT('Table '!AL22,"jj mmm aa")</f>
        <v>17 oct 18</v>
      </c>
      <c r="L24" s="25"/>
      <c r="M24" s="25"/>
      <c r="N24" s="25">
        <f t="shared" si="11"/>
        <v>0</v>
      </c>
      <c r="O24" s="26">
        <f t="shared" si="2"/>
        <v>0</v>
      </c>
      <c r="P24" s="27">
        <f t="shared" si="3"/>
        <v>0</v>
      </c>
      <c r="R24" s="8" t="str">
        <f t="shared" si="12"/>
        <v>M</v>
      </c>
      <c r="S24" s="151" t="str">
        <f>TEXT('Table '!AL22,"jj mmm aa")</f>
        <v>17 oct 18</v>
      </c>
      <c r="T24" s="12"/>
      <c r="U24" s="12"/>
      <c r="V24" s="12">
        <f t="shared" si="13"/>
        <v>0</v>
      </c>
      <c r="W24" s="13">
        <f t="shared" si="4"/>
        <v>0</v>
      </c>
      <c r="X24" s="14">
        <f t="shared" si="5"/>
        <v>0</v>
      </c>
      <c r="Y24" s="21"/>
      <c r="Z24" s="131" t="str">
        <f t="shared" si="14"/>
        <v>M</v>
      </c>
      <c r="AA24" s="138" t="str">
        <f>TEXT('Table '!AL22,"jj mmm aa")</f>
        <v>17 oct 18</v>
      </c>
      <c r="AB24" s="18"/>
      <c r="AC24" s="18"/>
      <c r="AD24" s="18">
        <f t="shared" si="15"/>
        <v>0</v>
      </c>
      <c r="AE24" s="146">
        <f t="shared" si="6"/>
        <v>0</v>
      </c>
      <c r="AF24" s="20">
        <f t="shared" si="7"/>
        <v>0</v>
      </c>
    </row>
    <row r="25" spans="2:32" s="7" customFormat="1">
      <c r="B25" s="8" t="str">
        <f t="shared" si="8"/>
        <v>J</v>
      </c>
      <c r="C25" s="164" t="str">
        <f>TEXT('Table '!AL23,"jj mmm aa")</f>
        <v>18 oct 18</v>
      </c>
      <c r="D25" s="12"/>
      <c r="E25" s="12"/>
      <c r="F25" s="25">
        <f t="shared" si="9"/>
        <v>0</v>
      </c>
      <c r="G25" s="26">
        <f t="shared" si="0"/>
        <v>0</v>
      </c>
      <c r="H25" s="27">
        <f t="shared" si="1"/>
        <v>0</v>
      </c>
      <c r="I25" s="45"/>
      <c r="J25" s="8" t="str">
        <f t="shared" si="10"/>
        <v>J</v>
      </c>
      <c r="K25" s="151" t="str">
        <f>TEXT('Table '!AL23,"jj mmm aa")</f>
        <v>18 oct 18</v>
      </c>
      <c r="L25" s="25"/>
      <c r="M25" s="25"/>
      <c r="N25" s="25">
        <f t="shared" si="11"/>
        <v>0</v>
      </c>
      <c r="O25" s="26">
        <f t="shared" si="2"/>
        <v>0</v>
      </c>
      <c r="P25" s="27">
        <f t="shared" si="3"/>
        <v>0</v>
      </c>
      <c r="R25" s="8" t="str">
        <f t="shared" si="12"/>
        <v>J</v>
      </c>
      <c r="S25" s="151" t="str">
        <f>TEXT('Table '!AL23,"jj mmm aa")</f>
        <v>18 oct 18</v>
      </c>
      <c r="T25" s="12"/>
      <c r="U25" s="12"/>
      <c r="V25" s="12">
        <f t="shared" si="13"/>
        <v>0</v>
      </c>
      <c r="W25" s="13">
        <f t="shared" si="4"/>
        <v>0</v>
      </c>
      <c r="X25" s="14">
        <f t="shared" si="5"/>
        <v>0</v>
      </c>
      <c r="Y25" s="21"/>
      <c r="Z25" s="131" t="str">
        <f t="shared" si="14"/>
        <v>J</v>
      </c>
      <c r="AA25" s="138" t="str">
        <f>TEXT('Table '!AL23,"jj mmm aa")</f>
        <v>18 oct 18</v>
      </c>
      <c r="AB25" s="18"/>
      <c r="AC25" s="18"/>
      <c r="AD25" s="18">
        <f t="shared" si="15"/>
        <v>0</v>
      </c>
      <c r="AE25" s="146">
        <f t="shared" si="6"/>
        <v>0</v>
      </c>
      <c r="AF25" s="20">
        <f t="shared" si="7"/>
        <v>0</v>
      </c>
    </row>
    <row r="26" spans="2:32" s="7" customFormat="1">
      <c r="B26" s="8" t="str">
        <f t="shared" si="8"/>
        <v>V</v>
      </c>
      <c r="C26" s="164" t="str">
        <f>TEXT('Table '!AL24,"jj mmm aa")</f>
        <v>19 oct 18</v>
      </c>
      <c r="D26" s="12"/>
      <c r="E26" s="12"/>
      <c r="F26" s="25">
        <f t="shared" si="9"/>
        <v>0</v>
      </c>
      <c r="G26" s="26">
        <f t="shared" si="0"/>
        <v>0</v>
      </c>
      <c r="H26" s="27">
        <f t="shared" si="1"/>
        <v>0</v>
      </c>
      <c r="I26" s="45"/>
      <c r="J26" s="8" t="str">
        <f t="shared" si="10"/>
        <v>V</v>
      </c>
      <c r="K26" s="151" t="str">
        <f>TEXT('Table '!AL24,"jj mmm aa")</f>
        <v>19 oct 18</v>
      </c>
      <c r="L26" s="25"/>
      <c r="M26" s="25"/>
      <c r="N26" s="25">
        <f t="shared" si="11"/>
        <v>0</v>
      </c>
      <c r="O26" s="26">
        <f t="shared" si="2"/>
        <v>0</v>
      </c>
      <c r="P26" s="27">
        <f t="shared" si="3"/>
        <v>0</v>
      </c>
      <c r="R26" s="8" t="str">
        <f t="shared" si="12"/>
        <v>V</v>
      </c>
      <c r="S26" s="151" t="str">
        <f>TEXT('Table '!AL24,"jj mmm aa")</f>
        <v>19 oct 18</v>
      </c>
      <c r="T26" s="12"/>
      <c r="U26" s="12"/>
      <c r="V26" s="12">
        <f t="shared" si="13"/>
        <v>0</v>
      </c>
      <c r="W26" s="13">
        <f t="shared" si="4"/>
        <v>0</v>
      </c>
      <c r="X26" s="14">
        <f t="shared" si="5"/>
        <v>0</v>
      </c>
      <c r="Y26" s="21"/>
      <c r="Z26" s="131" t="str">
        <f t="shared" si="14"/>
        <v>V</v>
      </c>
      <c r="AA26" s="138" t="str">
        <f>TEXT('Table '!AL24,"jj mmm aa")</f>
        <v>19 oct 18</v>
      </c>
      <c r="AB26" s="18"/>
      <c r="AC26" s="18"/>
      <c r="AD26" s="18">
        <f t="shared" si="15"/>
        <v>0</v>
      </c>
      <c r="AE26" s="146">
        <f t="shared" si="6"/>
        <v>0</v>
      </c>
      <c r="AF26" s="20">
        <f t="shared" si="7"/>
        <v>0</v>
      </c>
    </row>
    <row r="27" spans="2:32" s="7" customFormat="1">
      <c r="B27" s="8" t="str">
        <f t="shared" si="8"/>
        <v>S</v>
      </c>
      <c r="C27" s="164" t="str">
        <f>TEXT('Table '!AL25,"jj mmm aa")</f>
        <v>20 oct 18</v>
      </c>
      <c r="D27" s="12"/>
      <c r="E27" s="12"/>
      <c r="F27" s="25">
        <f t="shared" si="9"/>
        <v>0</v>
      </c>
      <c r="G27" s="26">
        <f t="shared" si="0"/>
        <v>0</v>
      </c>
      <c r="H27" s="27">
        <f t="shared" si="1"/>
        <v>0</v>
      </c>
      <c r="I27" s="45"/>
      <c r="J27" s="8" t="str">
        <f t="shared" si="10"/>
        <v>S</v>
      </c>
      <c r="K27" s="151" t="str">
        <f>TEXT('Table '!AL25,"jj mmm aa")</f>
        <v>20 oct 18</v>
      </c>
      <c r="L27" s="25"/>
      <c r="M27" s="25"/>
      <c r="N27" s="25">
        <f t="shared" si="11"/>
        <v>0</v>
      </c>
      <c r="O27" s="26">
        <f t="shared" si="2"/>
        <v>0</v>
      </c>
      <c r="P27" s="27">
        <f t="shared" si="3"/>
        <v>0</v>
      </c>
      <c r="R27" s="8" t="str">
        <f t="shared" si="12"/>
        <v>S</v>
      </c>
      <c r="S27" s="151" t="str">
        <f>TEXT('Table '!AL25,"jj mmm aa")</f>
        <v>20 oct 18</v>
      </c>
      <c r="T27" s="12"/>
      <c r="U27" s="12"/>
      <c r="V27" s="12">
        <f t="shared" si="13"/>
        <v>0</v>
      </c>
      <c r="W27" s="13">
        <f t="shared" si="4"/>
        <v>0</v>
      </c>
      <c r="X27" s="14">
        <f t="shared" si="5"/>
        <v>0</v>
      </c>
      <c r="Y27" s="21"/>
      <c r="Z27" s="131" t="str">
        <f t="shared" si="14"/>
        <v>S</v>
      </c>
      <c r="AA27" s="138" t="str">
        <f>TEXT('Table '!AL25,"jj mmm aa")</f>
        <v>20 oct 18</v>
      </c>
      <c r="AB27" s="18"/>
      <c r="AC27" s="18"/>
      <c r="AD27" s="18">
        <f t="shared" si="15"/>
        <v>0</v>
      </c>
      <c r="AE27" s="146">
        <f t="shared" si="6"/>
        <v>0</v>
      </c>
      <c r="AF27" s="20">
        <f t="shared" si="7"/>
        <v>0</v>
      </c>
    </row>
    <row r="28" spans="2:32" s="7" customFormat="1">
      <c r="B28" s="8" t="str">
        <f t="shared" si="8"/>
        <v>D</v>
      </c>
      <c r="C28" s="164" t="str">
        <f>TEXT('Table '!AL26,"jj mmm aa")</f>
        <v>21 oct 18</v>
      </c>
      <c r="D28" s="12"/>
      <c r="E28" s="12"/>
      <c r="F28" s="25">
        <f t="shared" si="9"/>
        <v>0</v>
      </c>
      <c r="G28" s="26">
        <f t="shared" si="0"/>
        <v>0</v>
      </c>
      <c r="H28" s="27">
        <f t="shared" si="1"/>
        <v>0</v>
      </c>
      <c r="I28" s="45"/>
      <c r="J28" s="8" t="str">
        <f t="shared" si="10"/>
        <v>D</v>
      </c>
      <c r="K28" s="151" t="str">
        <f>TEXT('Table '!AL26,"jj mmm aa")</f>
        <v>21 oct 18</v>
      </c>
      <c r="L28" s="25"/>
      <c r="M28" s="25"/>
      <c r="N28" s="25">
        <f t="shared" si="11"/>
        <v>0</v>
      </c>
      <c r="O28" s="26">
        <f t="shared" si="2"/>
        <v>0</v>
      </c>
      <c r="P28" s="27">
        <f t="shared" si="3"/>
        <v>0</v>
      </c>
      <c r="R28" s="8" t="str">
        <f t="shared" si="12"/>
        <v>D</v>
      </c>
      <c r="S28" s="151" t="str">
        <f>TEXT('Table '!AL26,"jj mmm aa")</f>
        <v>21 oct 18</v>
      </c>
      <c r="T28" s="12"/>
      <c r="U28" s="12"/>
      <c r="V28" s="12">
        <f t="shared" si="13"/>
        <v>0</v>
      </c>
      <c r="W28" s="13">
        <f t="shared" si="4"/>
        <v>0</v>
      </c>
      <c r="X28" s="14">
        <f t="shared" si="5"/>
        <v>0</v>
      </c>
      <c r="Y28" s="21"/>
      <c r="Z28" s="131" t="str">
        <f t="shared" si="14"/>
        <v>D</v>
      </c>
      <c r="AA28" s="138" t="str">
        <f>TEXT('Table '!AL26,"jj mmm aa")</f>
        <v>21 oct 18</v>
      </c>
      <c r="AB28" s="18"/>
      <c r="AC28" s="18"/>
      <c r="AD28" s="18">
        <f t="shared" si="15"/>
        <v>0</v>
      </c>
      <c r="AE28" s="146">
        <f t="shared" si="6"/>
        <v>0</v>
      </c>
      <c r="AF28" s="20">
        <f t="shared" si="7"/>
        <v>0</v>
      </c>
    </row>
    <row r="29" spans="2:32" s="7" customFormat="1">
      <c r="B29" s="8" t="str">
        <f t="shared" si="8"/>
        <v>L</v>
      </c>
      <c r="C29" s="164" t="str">
        <f>TEXT('Table '!AL27,"jj mmm aa")</f>
        <v>22 oct 18</v>
      </c>
      <c r="D29" s="12"/>
      <c r="E29" s="12"/>
      <c r="F29" s="25">
        <f t="shared" si="9"/>
        <v>0</v>
      </c>
      <c r="G29" s="26">
        <f t="shared" si="0"/>
        <v>0</v>
      </c>
      <c r="H29" s="27">
        <f t="shared" si="1"/>
        <v>0</v>
      </c>
      <c r="I29" s="45"/>
      <c r="J29" s="8" t="str">
        <f t="shared" si="10"/>
        <v>L</v>
      </c>
      <c r="K29" s="151" t="str">
        <f>TEXT('Table '!AL27,"jj mmm aa")</f>
        <v>22 oct 18</v>
      </c>
      <c r="L29" s="25"/>
      <c r="M29" s="25"/>
      <c r="N29" s="25">
        <f t="shared" si="11"/>
        <v>0</v>
      </c>
      <c r="O29" s="26">
        <f t="shared" si="2"/>
        <v>0</v>
      </c>
      <c r="P29" s="27">
        <f t="shared" si="3"/>
        <v>0</v>
      </c>
      <c r="R29" s="8" t="str">
        <f t="shared" si="12"/>
        <v>L</v>
      </c>
      <c r="S29" s="151" t="str">
        <f>TEXT('Table '!AL27,"jj mmm aa")</f>
        <v>22 oct 18</v>
      </c>
      <c r="T29" s="12"/>
      <c r="U29" s="12"/>
      <c r="V29" s="12">
        <f t="shared" si="13"/>
        <v>0</v>
      </c>
      <c r="W29" s="13">
        <f t="shared" si="4"/>
        <v>0</v>
      </c>
      <c r="X29" s="14">
        <f t="shared" si="5"/>
        <v>0</v>
      </c>
      <c r="Y29" s="21"/>
      <c r="Z29" s="131" t="str">
        <f t="shared" si="14"/>
        <v>L</v>
      </c>
      <c r="AA29" s="138" t="str">
        <f>TEXT('Table '!AL27,"jj mmm aa")</f>
        <v>22 oct 18</v>
      </c>
      <c r="AB29" s="18"/>
      <c r="AC29" s="18"/>
      <c r="AD29" s="18">
        <f t="shared" si="15"/>
        <v>0</v>
      </c>
      <c r="AE29" s="146">
        <f t="shared" si="6"/>
        <v>0</v>
      </c>
      <c r="AF29" s="20">
        <f t="shared" si="7"/>
        <v>0</v>
      </c>
    </row>
    <row r="30" spans="2:32" s="7" customFormat="1">
      <c r="B30" s="8" t="str">
        <f t="shared" si="8"/>
        <v>M</v>
      </c>
      <c r="C30" s="164" t="str">
        <f>TEXT('Table '!AL28,"jj mmm aa")</f>
        <v>23 oct 18</v>
      </c>
      <c r="D30" s="25"/>
      <c r="E30" s="25"/>
      <c r="F30" s="25">
        <f t="shared" si="9"/>
        <v>0</v>
      </c>
      <c r="G30" s="26">
        <f t="shared" si="0"/>
        <v>0</v>
      </c>
      <c r="H30" s="27">
        <f t="shared" si="1"/>
        <v>0</v>
      </c>
      <c r="I30" s="45"/>
      <c r="J30" s="8" t="str">
        <f t="shared" si="10"/>
        <v>M</v>
      </c>
      <c r="K30" s="151" t="str">
        <f>TEXT('Table '!AL28,"jj mmm aa")</f>
        <v>23 oct 18</v>
      </c>
      <c r="L30" s="25"/>
      <c r="M30" s="25"/>
      <c r="N30" s="25">
        <f t="shared" si="11"/>
        <v>0</v>
      </c>
      <c r="O30" s="26">
        <f t="shared" si="2"/>
        <v>0</v>
      </c>
      <c r="P30" s="27">
        <f t="shared" si="3"/>
        <v>0</v>
      </c>
      <c r="R30" s="8" t="str">
        <f t="shared" si="12"/>
        <v>M</v>
      </c>
      <c r="S30" s="151" t="str">
        <f>TEXT('Table '!AL28,"jj mmm aa")</f>
        <v>23 oct 18</v>
      </c>
      <c r="T30" s="12"/>
      <c r="U30" s="12"/>
      <c r="V30" s="12">
        <f t="shared" si="13"/>
        <v>0</v>
      </c>
      <c r="W30" s="13">
        <f t="shared" si="4"/>
        <v>0</v>
      </c>
      <c r="X30" s="14">
        <f t="shared" si="5"/>
        <v>0</v>
      </c>
      <c r="Y30" s="21"/>
      <c r="Z30" s="131" t="str">
        <f t="shared" si="14"/>
        <v>M</v>
      </c>
      <c r="AA30" s="138" t="str">
        <f>TEXT('Table '!AL28,"jj mmm aa")</f>
        <v>23 oct 18</v>
      </c>
      <c r="AB30" s="18"/>
      <c r="AC30" s="18"/>
      <c r="AD30" s="18">
        <f t="shared" si="15"/>
        <v>0</v>
      </c>
      <c r="AE30" s="146">
        <f t="shared" si="6"/>
        <v>0</v>
      </c>
      <c r="AF30" s="20">
        <f t="shared" si="7"/>
        <v>0</v>
      </c>
    </row>
    <row r="31" spans="2:32" s="7" customFormat="1">
      <c r="B31" s="8" t="str">
        <f t="shared" si="8"/>
        <v>M</v>
      </c>
      <c r="C31" s="164" t="str">
        <f>TEXT('Table '!AL29,"jj mmm aa")</f>
        <v>24 oct 18</v>
      </c>
      <c r="D31" s="25"/>
      <c r="E31" s="25"/>
      <c r="F31" s="25">
        <f t="shared" si="9"/>
        <v>0</v>
      </c>
      <c r="G31" s="26">
        <f t="shared" si="0"/>
        <v>0</v>
      </c>
      <c r="H31" s="27">
        <f t="shared" si="1"/>
        <v>0</v>
      </c>
      <c r="I31" s="45"/>
      <c r="J31" s="8" t="str">
        <f t="shared" si="10"/>
        <v>M</v>
      </c>
      <c r="K31" s="151" t="str">
        <f>TEXT('Table '!AL29,"jj mmm aa")</f>
        <v>24 oct 18</v>
      </c>
      <c r="L31" s="25"/>
      <c r="M31" s="25"/>
      <c r="N31" s="25">
        <f t="shared" si="11"/>
        <v>0</v>
      </c>
      <c r="O31" s="26">
        <f t="shared" si="2"/>
        <v>0</v>
      </c>
      <c r="P31" s="27">
        <f t="shared" si="3"/>
        <v>0</v>
      </c>
      <c r="R31" s="8" t="str">
        <f t="shared" si="12"/>
        <v>M</v>
      </c>
      <c r="S31" s="151" t="str">
        <f>TEXT('Table '!AL29,"jj mmm aa")</f>
        <v>24 oct 18</v>
      </c>
      <c r="T31" s="12"/>
      <c r="U31" s="12"/>
      <c r="V31" s="12">
        <f t="shared" si="13"/>
        <v>0</v>
      </c>
      <c r="W31" s="13">
        <f t="shared" si="4"/>
        <v>0</v>
      </c>
      <c r="X31" s="14">
        <f t="shared" si="5"/>
        <v>0</v>
      </c>
      <c r="Y31" s="21"/>
      <c r="Z31" s="131" t="str">
        <f t="shared" si="14"/>
        <v>M</v>
      </c>
      <c r="AA31" s="138" t="str">
        <f>TEXT('Table '!AL29,"jj mmm aa")</f>
        <v>24 oct 18</v>
      </c>
      <c r="AB31" s="18"/>
      <c r="AC31" s="18"/>
      <c r="AD31" s="18">
        <f t="shared" si="15"/>
        <v>0</v>
      </c>
      <c r="AE31" s="146">
        <f t="shared" si="6"/>
        <v>0</v>
      </c>
      <c r="AF31" s="20">
        <f t="shared" si="7"/>
        <v>0</v>
      </c>
    </row>
    <row r="32" spans="2:32" s="7" customFormat="1">
      <c r="B32" s="8" t="str">
        <f t="shared" si="8"/>
        <v>J</v>
      </c>
      <c r="C32" s="164" t="str">
        <f>TEXT('Table '!AL30,"jj mmm aa")</f>
        <v>25 oct 18</v>
      </c>
      <c r="D32" s="12"/>
      <c r="E32" s="12"/>
      <c r="F32" s="25">
        <f t="shared" si="9"/>
        <v>0</v>
      </c>
      <c r="G32" s="26">
        <f t="shared" si="0"/>
        <v>0</v>
      </c>
      <c r="H32" s="27">
        <f t="shared" si="1"/>
        <v>0</v>
      </c>
      <c r="I32" s="45"/>
      <c r="J32" s="8" t="str">
        <f t="shared" si="10"/>
        <v>J</v>
      </c>
      <c r="K32" s="151" t="str">
        <f>TEXT('Table '!AL30,"jj mmm aa")</f>
        <v>25 oct 18</v>
      </c>
      <c r="L32" s="25"/>
      <c r="M32" s="25"/>
      <c r="N32" s="25">
        <f t="shared" si="11"/>
        <v>0</v>
      </c>
      <c r="O32" s="26">
        <f t="shared" si="2"/>
        <v>0</v>
      </c>
      <c r="P32" s="27">
        <f t="shared" si="3"/>
        <v>0</v>
      </c>
      <c r="R32" s="8" t="str">
        <f t="shared" si="12"/>
        <v>J</v>
      </c>
      <c r="S32" s="151" t="str">
        <f>TEXT('Table '!AL30,"jj mmm aa")</f>
        <v>25 oct 18</v>
      </c>
      <c r="T32" s="12"/>
      <c r="U32" s="12"/>
      <c r="V32" s="12">
        <f t="shared" si="13"/>
        <v>0</v>
      </c>
      <c r="W32" s="13">
        <f t="shared" si="4"/>
        <v>0</v>
      </c>
      <c r="X32" s="14">
        <f t="shared" si="5"/>
        <v>0</v>
      </c>
      <c r="Y32" s="21"/>
      <c r="Z32" s="131" t="str">
        <f t="shared" si="14"/>
        <v>J</v>
      </c>
      <c r="AA32" s="138" t="str">
        <f>TEXT('Table '!AL30,"jj mmm aa")</f>
        <v>25 oct 18</v>
      </c>
      <c r="AB32" s="18"/>
      <c r="AC32" s="18"/>
      <c r="AD32" s="18">
        <f t="shared" si="15"/>
        <v>0</v>
      </c>
      <c r="AE32" s="146">
        <f t="shared" si="6"/>
        <v>0</v>
      </c>
      <c r="AF32" s="20">
        <f t="shared" si="7"/>
        <v>0</v>
      </c>
    </row>
    <row r="33" spans="2:32" s="7" customFormat="1">
      <c r="B33" s="8" t="str">
        <f t="shared" si="8"/>
        <v>V</v>
      </c>
      <c r="C33" s="164" t="str">
        <f>TEXT('Table '!AL31,"jj mmm aa")</f>
        <v>26 oct 18</v>
      </c>
      <c r="D33" s="12"/>
      <c r="E33" s="12"/>
      <c r="F33" s="25">
        <f t="shared" si="9"/>
        <v>0</v>
      </c>
      <c r="G33" s="26">
        <f t="shared" si="0"/>
        <v>0</v>
      </c>
      <c r="H33" s="27">
        <f t="shared" si="1"/>
        <v>0</v>
      </c>
      <c r="I33" s="45"/>
      <c r="J33" s="8" t="str">
        <f t="shared" si="10"/>
        <v>V</v>
      </c>
      <c r="K33" s="151" t="str">
        <f>TEXT('Table '!AL31,"jj mmm aa")</f>
        <v>26 oct 18</v>
      </c>
      <c r="L33" s="12"/>
      <c r="M33" s="12"/>
      <c r="N33" s="25">
        <f t="shared" si="11"/>
        <v>0</v>
      </c>
      <c r="O33" s="26">
        <f t="shared" si="2"/>
        <v>0</v>
      </c>
      <c r="P33" s="27">
        <f t="shared" si="3"/>
        <v>0</v>
      </c>
      <c r="R33" s="8" t="str">
        <f t="shared" si="12"/>
        <v>V</v>
      </c>
      <c r="S33" s="151" t="str">
        <f>TEXT('Table '!AL31,"jj mmm aa")</f>
        <v>26 oct 18</v>
      </c>
      <c r="T33" s="12"/>
      <c r="U33" s="12"/>
      <c r="V33" s="12">
        <f t="shared" si="13"/>
        <v>0</v>
      </c>
      <c r="W33" s="13">
        <f t="shared" si="4"/>
        <v>0</v>
      </c>
      <c r="X33" s="14">
        <f t="shared" si="5"/>
        <v>0</v>
      </c>
      <c r="Y33" s="21"/>
      <c r="Z33" s="131" t="str">
        <f t="shared" si="14"/>
        <v>V</v>
      </c>
      <c r="AA33" s="138" t="str">
        <f>TEXT('Table '!AL31,"jj mmm aa")</f>
        <v>26 oct 18</v>
      </c>
      <c r="AB33" s="18"/>
      <c r="AC33" s="18"/>
      <c r="AD33" s="18">
        <f t="shared" si="15"/>
        <v>0</v>
      </c>
      <c r="AE33" s="146">
        <f t="shared" si="6"/>
        <v>0</v>
      </c>
      <c r="AF33" s="20">
        <f t="shared" si="7"/>
        <v>0</v>
      </c>
    </row>
    <row r="34" spans="2:32" s="7" customFormat="1">
      <c r="B34" s="8" t="str">
        <f t="shared" si="8"/>
        <v>S</v>
      </c>
      <c r="C34" s="164" t="str">
        <f>TEXT('Table '!AL32,"jj mmm aa")</f>
        <v>27 oct 18</v>
      </c>
      <c r="D34" s="12"/>
      <c r="E34" s="12"/>
      <c r="F34" s="25">
        <f t="shared" si="9"/>
        <v>0</v>
      </c>
      <c r="G34" s="26">
        <f t="shared" si="0"/>
        <v>0</v>
      </c>
      <c r="H34" s="27">
        <f t="shared" si="1"/>
        <v>0</v>
      </c>
      <c r="I34" s="45"/>
      <c r="J34" s="8" t="str">
        <f t="shared" si="10"/>
        <v>S</v>
      </c>
      <c r="K34" s="151" t="str">
        <f>TEXT('Table '!AL32,"jj mmm aa")</f>
        <v>27 oct 18</v>
      </c>
      <c r="L34" s="12"/>
      <c r="M34" s="12"/>
      <c r="N34" s="25">
        <f t="shared" si="11"/>
        <v>0</v>
      </c>
      <c r="O34" s="26">
        <f t="shared" si="2"/>
        <v>0</v>
      </c>
      <c r="P34" s="27">
        <f t="shared" si="3"/>
        <v>0</v>
      </c>
      <c r="R34" s="8" t="str">
        <f t="shared" si="12"/>
        <v>S</v>
      </c>
      <c r="S34" s="151" t="str">
        <f>TEXT('Table '!AL32,"jj mmm aa")</f>
        <v>27 oct 18</v>
      </c>
      <c r="T34" s="12"/>
      <c r="U34" s="12"/>
      <c r="V34" s="12">
        <f t="shared" si="13"/>
        <v>0</v>
      </c>
      <c r="W34" s="13">
        <f t="shared" si="4"/>
        <v>0</v>
      </c>
      <c r="X34" s="14">
        <f t="shared" si="5"/>
        <v>0</v>
      </c>
      <c r="Y34" s="21"/>
      <c r="Z34" s="131" t="str">
        <f t="shared" si="14"/>
        <v>S</v>
      </c>
      <c r="AA34" s="138" t="str">
        <f>TEXT('Table '!AL32,"jj mmm aa")</f>
        <v>27 oct 18</v>
      </c>
      <c r="AB34" s="18"/>
      <c r="AC34" s="18"/>
      <c r="AD34" s="18">
        <f t="shared" si="15"/>
        <v>0</v>
      </c>
      <c r="AE34" s="146">
        <f t="shared" si="6"/>
        <v>0</v>
      </c>
      <c r="AF34" s="20">
        <f t="shared" si="7"/>
        <v>0</v>
      </c>
    </row>
    <row r="35" spans="2:32" s="7" customFormat="1">
      <c r="B35" s="8" t="str">
        <f t="shared" si="8"/>
        <v>D</v>
      </c>
      <c r="C35" s="164" t="str">
        <f>TEXT('Table '!AL33,"jj mmm aa")</f>
        <v>28 oct 18</v>
      </c>
      <c r="D35" s="12"/>
      <c r="E35" s="12"/>
      <c r="F35" s="25">
        <f t="shared" si="9"/>
        <v>0</v>
      </c>
      <c r="G35" s="26">
        <f t="shared" si="0"/>
        <v>0</v>
      </c>
      <c r="H35" s="27">
        <f t="shared" si="1"/>
        <v>0</v>
      </c>
      <c r="I35" s="45"/>
      <c r="J35" s="8" t="str">
        <f t="shared" si="10"/>
        <v>D</v>
      </c>
      <c r="K35" s="151" t="str">
        <f>TEXT('Table '!AL33,"jj mmm aa")</f>
        <v>28 oct 18</v>
      </c>
      <c r="L35" s="12"/>
      <c r="M35" s="12"/>
      <c r="N35" s="25">
        <f t="shared" si="11"/>
        <v>0</v>
      </c>
      <c r="O35" s="26">
        <f t="shared" si="2"/>
        <v>0</v>
      </c>
      <c r="P35" s="27">
        <f t="shared" si="3"/>
        <v>0</v>
      </c>
      <c r="R35" s="8" t="str">
        <f t="shared" si="12"/>
        <v>D</v>
      </c>
      <c r="S35" s="151" t="str">
        <f>TEXT('Table '!AL33,"jj mmm aa")</f>
        <v>28 oct 18</v>
      </c>
      <c r="T35" s="12"/>
      <c r="U35" s="12"/>
      <c r="V35" s="12">
        <f t="shared" si="13"/>
        <v>0</v>
      </c>
      <c r="W35" s="13">
        <f t="shared" si="4"/>
        <v>0</v>
      </c>
      <c r="X35" s="14">
        <f t="shared" si="5"/>
        <v>0</v>
      </c>
      <c r="Y35" s="21"/>
      <c r="Z35" s="131" t="str">
        <f t="shared" si="14"/>
        <v>D</v>
      </c>
      <c r="AA35" s="138" t="str">
        <f>TEXT('Table '!AL33,"jj mmm aa")</f>
        <v>28 oct 18</v>
      </c>
      <c r="AB35" s="18"/>
      <c r="AC35" s="18"/>
      <c r="AD35" s="18">
        <f t="shared" si="15"/>
        <v>0</v>
      </c>
      <c r="AE35" s="146">
        <f t="shared" si="6"/>
        <v>0</v>
      </c>
      <c r="AF35" s="20">
        <f t="shared" si="7"/>
        <v>0</v>
      </c>
    </row>
    <row r="36" spans="2:32" s="7" customFormat="1">
      <c r="B36" s="8" t="str">
        <f t="shared" si="8"/>
        <v>L</v>
      </c>
      <c r="C36" s="164" t="str">
        <f>TEXT('Table '!AL34,"jj mmm aa")</f>
        <v>29 oct 18</v>
      </c>
      <c r="D36" s="12"/>
      <c r="E36" s="12"/>
      <c r="F36" s="25">
        <f t="shared" si="9"/>
        <v>0</v>
      </c>
      <c r="G36" s="26">
        <f t="shared" si="0"/>
        <v>0</v>
      </c>
      <c r="H36" s="27">
        <f t="shared" si="1"/>
        <v>0</v>
      </c>
      <c r="I36" s="45"/>
      <c r="J36" s="8" t="str">
        <f t="shared" si="10"/>
        <v>L</v>
      </c>
      <c r="K36" s="151" t="str">
        <f>TEXT('Table '!AL34,"jj mmm aa")</f>
        <v>29 oct 18</v>
      </c>
      <c r="L36" s="12"/>
      <c r="M36" s="12"/>
      <c r="N36" s="25">
        <f t="shared" si="11"/>
        <v>0</v>
      </c>
      <c r="O36" s="26">
        <f t="shared" si="2"/>
        <v>0</v>
      </c>
      <c r="P36" s="27">
        <f t="shared" si="3"/>
        <v>0</v>
      </c>
      <c r="R36" s="8" t="str">
        <f t="shared" si="12"/>
        <v>L</v>
      </c>
      <c r="S36" s="151" t="str">
        <f>TEXT('Table '!AL34,"jj mmm aa")</f>
        <v>29 oct 18</v>
      </c>
      <c r="T36" s="12"/>
      <c r="U36" s="12"/>
      <c r="V36" s="12">
        <f t="shared" si="13"/>
        <v>0</v>
      </c>
      <c r="W36" s="13">
        <f t="shared" si="4"/>
        <v>0</v>
      </c>
      <c r="X36" s="14">
        <f t="shared" si="5"/>
        <v>0</v>
      </c>
      <c r="Y36" s="21"/>
      <c r="Z36" s="131" t="str">
        <f t="shared" si="14"/>
        <v>L</v>
      </c>
      <c r="AA36" s="138" t="str">
        <f>TEXT('Table '!AL34,"jj mmm aa")</f>
        <v>29 oct 18</v>
      </c>
      <c r="AB36" s="18"/>
      <c r="AC36" s="18"/>
      <c r="AD36" s="18">
        <f t="shared" si="15"/>
        <v>0</v>
      </c>
      <c r="AE36" s="146">
        <f t="shared" si="6"/>
        <v>0</v>
      </c>
      <c r="AF36" s="20">
        <f t="shared" si="7"/>
        <v>0</v>
      </c>
    </row>
    <row r="37" spans="2:32" s="7" customFormat="1">
      <c r="B37" s="8" t="str">
        <f t="shared" si="8"/>
        <v>M</v>
      </c>
      <c r="C37" s="164" t="str">
        <f>TEXT('Table '!AL35,"jj mmm aa")</f>
        <v>30 oct 18</v>
      </c>
      <c r="D37" s="25"/>
      <c r="E37" s="25"/>
      <c r="F37" s="25">
        <f t="shared" si="9"/>
        <v>0</v>
      </c>
      <c r="G37" s="26">
        <f t="shared" ref="G37:G38" si="16">IF(F37&gt;=$F$1,1,0)</f>
        <v>0</v>
      </c>
      <c r="H37" s="27">
        <f t="shared" ref="H37:H38" si="17">IF(F37&lt;$F$1,F37,0)</f>
        <v>0</v>
      </c>
      <c r="I37" s="45"/>
      <c r="J37" s="8" t="str">
        <f t="shared" si="10"/>
        <v>M</v>
      </c>
      <c r="K37" s="151" t="str">
        <f>TEXT('Table '!AL35,"jj mmm aa")</f>
        <v>30 oct 18</v>
      </c>
      <c r="L37" s="25"/>
      <c r="M37" s="25"/>
      <c r="N37" s="25">
        <f t="shared" si="11"/>
        <v>0</v>
      </c>
      <c r="O37" s="26">
        <f t="shared" si="2"/>
        <v>0</v>
      </c>
      <c r="P37" s="27">
        <f t="shared" si="3"/>
        <v>0</v>
      </c>
      <c r="R37" s="8" t="str">
        <f t="shared" si="12"/>
        <v>M</v>
      </c>
      <c r="S37" s="151" t="str">
        <f>TEXT('Table '!AL35,"jj mmm aa")</f>
        <v>30 oct 18</v>
      </c>
      <c r="T37" s="12"/>
      <c r="U37" s="12"/>
      <c r="V37" s="12">
        <f t="shared" si="13"/>
        <v>0</v>
      </c>
      <c r="W37" s="13">
        <f t="shared" si="4"/>
        <v>0</v>
      </c>
      <c r="X37" s="14">
        <f t="shared" si="5"/>
        <v>0</v>
      </c>
      <c r="Y37" s="21"/>
      <c r="Z37" s="131" t="str">
        <f t="shared" si="14"/>
        <v>M</v>
      </c>
      <c r="AA37" s="138" t="str">
        <f>TEXT('Table '!AL35,"jj mmm aa")</f>
        <v>30 oct 18</v>
      </c>
      <c r="AB37" s="18"/>
      <c r="AC37" s="18"/>
      <c r="AD37" s="18">
        <f t="shared" si="15"/>
        <v>0</v>
      </c>
      <c r="AE37" s="146">
        <f t="shared" si="6"/>
        <v>0</v>
      </c>
      <c r="AF37" s="20">
        <f t="shared" si="7"/>
        <v>0</v>
      </c>
    </row>
    <row r="38" spans="2:32" s="7" customFormat="1" ht="15.75" thickBot="1">
      <c r="B38" s="8" t="str">
        <f t="shared" si="8"/>
        <v>M</v>
      </c>
      <c r="C38" s="164" t="str">
        <f>TEXT('Table '!AL36,"jj mmm aa")</f>
        <v>31 oct 18</v>
      </c>
      <c r="D38" s="156"/>
      <c r="E38" s="156"/>
      <c r="F38" s="156">
        <f t="shared" si="9"/>
        <v>0</v>
      </c>
      <c r="G38" s="157">
        <f t="shared" si="16"/>
        <v>0</v>
      </c>
      <c r="H38" s="158">
        <f t="shared" si="17"/>
        <v>0</v>
      </c>
      <c r="I38" s="21"/>
      <c r="J38" s="8" t="str">
        <f t="shared" si="10"/>
        <v>M</v>
      </c>
      <c r="K38" s="151" t="str">
        <f>TEXT('Table '!AL36,"jj mmm aa")</f>
        <v>31 oct 18</v>
      </c>
      <c r="L38" s="156"/>
      <c r="M38" s="156"/>
      <c r="N38" s="156">
        <f t="shared" si="11"/>
        <v>0</v>
      </c>
      <c r="O38" s="157">
        <f t="shared" si="2"/>
        <v>0</v>
      </c>
      <c r="P38" s="158">
        <f t="shared" si="3"/>
        <v>0</v>
      </c>
      <c r="Q38" s="21"/>
      <c r="R38" s="8" t="str">
        <f t="shared" si="12"/>
        <v>M</v>
      </c>
      <c r="S38" s="151" t="str">
        <f>TEXT('Table '!AL36,"jj mmm aa")</f>
        <v>31 oct 18</v>
      </c>
      <c r="T38" s="156"/>
      <c r="U38" s="156"/>
      <c r="V38" s="156">
        <f t="shared" si="13"/>
        <v>0</v>
      </c>
      <c r="W38" s="157">
        <f t="shared" si="4"/>
        <v>0</v>
      </c>
      <c r="X38" s="158">
        <f t="shared" si="5"/>
        <v>0</v>
      </c>
      <c r="Y38" s="21"/>
      <c r="Z38" s="131" t="str">
        <f t="shared" si="14"/>
        <v>M</v>
      </c>
      <c r="AA38" s="138" t="str">
        <f>TEXT('Table '!AL36,"jj mmm aa")</f>
        <v>31 oct 18</v>
      </c>
      <c r="AB38" s="156"/>
      <c r="AC38" s="156"/>
      <c r="AD38" s="156">
        <f t="shared" si="15"/>
        <v>0</v>
      </c>
      <c r="AE38" s="157">
        <f t="shared" si="6"/>
        <v>0</v>
      </c>
      <c r="AF38" s="158">
        <f t="shared" si="7"/>
        <v>0</v>
      </c>
    </row>
    <row r="39" spans="2:32" s="7" customFormat="1" ht="19.5" thickTop="1">
      <c r="B39" s="127"/>
      <c r="C39" s="62"/>
      <c r="D39" s="62"/>
      <c r="E39" s="63" t="s">
        <v>9</v>
      </c>
      <c r="F39" s="62"/>
      <c r="G39" s="64">
        <f>SUM(G8:G38)</f>
        <v>0</v>
      </c>
      <c r="H39" s="65"/>
      <c r="J39" s="127"/>
      <c r="K39" s="62"/>
      <c r="L39" s="62"/>
      <c r="M39" s="63" t="s">
        <v>9</v>
      </c>
      <c r="N39" s="62"/>
      <c r="O39" s="64">
        <f>SUM(O8:O38)</f>
        <v>0</v>
      </c>
      <c r="P39" s="65"/>
      <c r="R39" s="127"/>
      <c r="S39" s="62"/>
      <c r="T39" s="62"/>
      <c r="U39" s="63" t="s">
        <v>9</v>
      </c>
      <c r="V39" s="62"/>
      <c r="W39" s="64">
        <f>SUM(W8:W38)</f>
        <v>0</v>
      </c>
      <c r="X39" s="65"/>
      <c r="Z39" s="127"/>
      <c r="AA39" s="62"/>
      <c r="AB39" s="62"/>
      <c r="AC39" s="63" t="s">
        <v>9</v>
      </c>
      <c r="AD39" s="62"/>
      <c r="AE39" s="64">
        <f>SUM(AE8:AE23)</f>
        <v>0</v>
      </c>
      <c r="AF39" s="65"/>
    </row>
    <row r="40" spans="2:32" s="36" customFormat="1" ht="18.75">
      <c r="B40" s="128"/>
      <c r="C40" s="33"/>
      <c r="D40" s="33"/>
      <c r="E40" s="34" t="s">
        <v>10</v>
      </c>
      <c r="F40" s="33"/>
      <c r="G40" s="35"/>
      <c r="H40" s="32">
        <f>SUM(H8:H38)*24</f>
        <v>0</v>
      </c>
      <c r="J40" s="128"/>
      <c r="K40" s="33"/>
      <c r="L40" s="33"/>
      <c r="M40" s="34" t="s">
        <v>10</v>
      </c>
      <c r="N40" s="33"/>
      <c r="O40" s="35"/>
      <c r="P40" s="32">
        <f>SUM(P8:P38)*24</f>
        <v>0</v>
      </c>
      <c r="R40" s="128"/>
      <c r="S40" s="33"/>
      <c r="T40" s="33"/>
      <c r="U40" s="34" t="s">
        <v>10</v>
      </c>
      <c r="V40" s="33"/>
      <c r="W40" s="35"/>
      <c r="X40" s="32">
        <f>SUM(X8:X38)*24</f>
        <v>0</v>
      </c>
      <c r="Z40" s="128"/>
      <c r="AA40" s="33"/>
      <c r="AB40" s="33"/>
      <c r="AC40" s="34" t="s">
        <v>10</v>
      </c>
      <c r="AD40" s="33"/>
      <c r="AE40" s="35"/>
      <c r="AF40" s="32">
        <f>SUM(AF8:AF32)*24</f>
        <v>0</v>
      </c>
    </row>
    <row r="41" spans="2:32" s="7" customFormat="1" ht="15.75" thickBot="1">
      <c r="B41" s="129"/>
      <c r="C41" s="16"/>
      <c r="D41" s="16"/>
      <c r="E41" s="16"/>
      <c r="F41" s="16"/>
      <c r="G41" s="16"/>
      <c r="H41" s="17"/>
      <c r="J41" s="129"/>
      <c r="K41" s="16"/>
      <c r="L41" s="16"/>
      <c r="M41" s="16"/>
      <c r="N41" s="16"/>
      <c r="O41" s="16"/>
      <c r="P41" s="17"/>
      <c r="R41" s="129"/>
      <c r="S41" s="16"/>
      <c r="T41" s="16"/>
      <c r="U41" s="16"/>
      <c r="V41" s="16"/>
      <c r="W41" s="16"/>
      <c r="X41" s="17"/>
      <c r="Z41" s="129"/>
      <c r="AA41" s="16"/>
      <c r="AB41" s="16"/>
      <c r="AC41" s="16"/>
      <c r="AD41" s="16"/>
      <c r="AE41" s="16"/>
      <c r="AF41" s="17"/>
    </row>
    <row r="42" spans="2:32" ht="15.75" thickTop="1"/>
  </sheetData>
  <mergeCells count="4">
    <mergeCell ref="B5:H6"/>
    <mergeCell ref="J5:P6"/>
    <mergeCell ref="R5:X6"/>
    <mergeCell ref="Z5:AF6"/>
  </mergeCells>
  <conditionalFormatting sqref="B8:H38 J8:P38 R8:X38 Z8:AF38">
    <cfRule type="expression" dxfId="8" priority="2">
      <formula>AND($B8="D")</formula>
    </cfRule>
    <cfRule type="expression" dxfId="7" priority="3">
      <formula>AND($B8="S")</formula>
    </cfRule>
    <cfRule type="expression" dxfId="6" priority="1">
      <formula>COUNTIF(Feries,$C8)&gt;0</formula>
    </cfRule>
  </conditionalFormatting>
  <pageMargins left="0.7" right="0.7" top="0.75" bottom="0.75" header="0.3" footer="0.3"/>
  <pageSetup paperSize="9" orientation="portrait" horizontalDpi="4294967294" verticalDpi="4294967294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2">
    <tabColor rgb="FFFFFF66"/>
  </sheetPr>
  <dimension ref="B1:AF42"/>
  <sheetViews>
    <sheetView showGridLines="0" workbookViewId="0"/>
  </sheetViews>
  <sheetFormatPr baseColWidth="10" defaultRowHeight="15"/>
  <cols>
    <col min="1" max="1" width="1.42578125" customWidth="1"/>
    <col min="2" max="2" width="3.7109375" customWidth="1"/>
    <col min="3" max="8" width="9.5703125" style="1" customWidth="1"/>
    <col min="9" max="9" width="1.7109375" customWidth="1"/>
    <col min="10" max="10" width="3.7109375" customWidth="1"/>
    <col min="11" max="16" width="9.5703125" customWidth="1"/>
    <col min="17" max="17" width="1.7109375" customWidth="1"/>
    <col min="18" max="18" width="3.7109375" customWidth="1"/>
    <col min="19" max="24" width="9.5703125" customWidth="1"/>
    <col min="25" max="25" width="1.7109375" customWidth="1"/>
    <col min="26" max="26" width="3.7109375" customWidth="1"/>
    <col min="27" max="32" width="9.5703125" customWidth="1"/>
  </cols>
  <sheetData>
    <row r="1" spans="2:32">
      <c r="C1" s="56" t="s">
        <v>0</v>
      </c>
      <c r="D1" s="56"/>
      <c r="E1" s="56"/>
      <c r="F1" s="57">
        <v>0.33333333333333331</v>
      </c>
      <c r="G1" s="56" t="s">
        <v>1</v>
      </c>
      <c r="H1" s="56"/>
      <c r="L1" s="165"/>
      <c r="M1" s="165"/>
      <c r="N1" s="165"/>
    </row>
    <row r="2" spans="2:32">
      <c r="C2" s="56" t="s">
        <v>2</v>
      </c>
      <c r="D2" s="57">
        <v>0.33333333333333331</v>
      </c>
      <c r="E2" s="56" t="s">
        <v>3</v>
      </c>
      <c r="F2" s="56"/>
      <c r="G2" s="56"/>
      <c r="H2" s="56"/>
      <c r="L2" s="165"/>
      <c r="M2" s="165"/>
      <c r="N2" s="165"/>
    </row>
    <row r="3" spans="2:32">
      <c r="C3" s="56"/>
      <c r="D3" s="56"/>
      <c r="E3" s="56"/>
      <c r="F3" s="56"/>
      <c r="G3" s="56"/>
      <c r="H3" s="56"/>
      <c r="L3" s="165"/>
      <c r="M3" s="165"/>
      <c r="N3" s="165"/>
    </row>
    <row r="4" spans="2:32" ht="15.75" thickBot="1">
      <c r="C4" s="6"/>
    </row>
    <row r="5" spans="2:32" s="7" customFormat="1" ht="15.75" customHeight="1" thickTop="1">
      <c r="B5" s="338">
        <f>'Table '!C3</f>
        <v>1</v>
      </c>
      <c r="C5" s="339"/>
      <c r="D5" s="339" t="e">
        <f>'Table '!#REF!</f>
        <v>#REF!</v>
      </c>
      <c r="E5" s="339"/>
      <c r="F5" s="339"/>
      <c r="G5" s="339"/>
      <c r="H5" s="340"/>
      <c r="J5" s="344">
        <f>'Table '!G3</f>
        <v>2</v>
      </c>
      <c r="K5" s="345"/>
      <c r="L5" s="345" t="e">
        <f>'Table '!#REF!</f>
        <v>#REF!</v>
      </c>
      <c r="M5" s="345"/>
      <c r="N5" s="345"/>
      <c r="O5" s="345"/>
      <c r="P5" s="346"/>
      <c r="R5" s="350">
        <f>'Table '!C6</f>
        <v>3</v>
      </c>
      <c r="S5" s="351"/>
      <c r="T5" s="351" t="e">
        <f>'Table '!#REF!</f>
        <v>#REF!</v>
      </c>
      <c r="U5" s="351"/>
      <c r="V5" s="351"/>
      <c r="W5" s="351"/>
      <c r="X5" s="352"/>
      <c r="Z5" s="356">
        <f>'Table '!G6</f>
        <v>4</v>
      </c>
      <c r="AA5" s="357"/>
      <c r="AB5" s="357" t="e">
        <f>'Table '!#REF!</f>
        <v>#REF!</v>
      </c>
      <c r="AC5" s="357"/>
      <c r="AD5" s="357"/>
      <c r="AE5" s="357"/>
      <c r="AF5" s="358"/>
    </row>
    <row r="6" spans="2:32" s="7" customFormat="1" ht="15" customHeight="1">
      <c r="B6" s="341"/>
      <c r="C6" s="342"/>
      <c r="D6" s="342"/>
      <c r="E6" s="342"/>
      <c r="F6" s="342"/>
      <c r="G6" s="342"/>
      <c r="H6" s="343"/>
      <c r="J6" s="347"/>
      <c r="K6" s="348"/>
      <c r="L6" s="348"/>
      <c r="M6" s="348"/>
      <c r="N6" s="348"/>
      <c r="O6" s="348"/>
      <c r="P6" s="349"/>
      <c r="R6" s="353"/>
      <c r="S6" s="354"/>
      <c r="T6" s="354"/>
      <c r="U6" s="354"/>
      <c r="V6" s="354"/>
      <c r="W6" s="354"/>
      <c r="X6" s="355"/>
      <c r="Z6" s="359"/>
      <c r="AA6" s="360"/>
      <c r="AB6" s="360"/>
      <c r="AC6" s="360"/>
      <c r="AD6" s="360"/>
      <c r="AE6" s="360"/>
      <c r="AF6" s="361"/>
    </row>
    <row r="7" spans="2:32" s="11" customFormat="1" ht="39" customHeight="1">
      <c r="B7" s="8"/>
      <c r="C7" s="15"/>
      <c r="D7" s="9" t="s">
        <v>4</v>
      </c>
      <c r="E7" s="9" t="s">
        <v>5</v>
      </c>
      <c r="F7" s="9" t="s">
        <v>6</v>
      </c>
      <c r="G7" s="9" t="s">
        <v>7</v>
      </c>
      <c r="H7" s="10" t="s">
        <v>8</v>
      </c>
      <c r="J7" s="8"/>
      <c r="K7" s="15"/>
      <c r="L7" s="9" t="s">
        <v>4</v>
      </c>
      <c r="M7" s="9" t="s">
        <v>5</v>
      </c>
      <c r="N7" s="9" t="s">
        <v>6</v>
      </c>
      <c r="O7" s="9" t="s">
        <v>7</v>
      </c>
      <c r="P7" s="10" t="s">
        <v>8</v>
      </c>
      <c r="R7" s="8"/>
      <c r="S7" s="15"/>
      <c r="T7" s="9" t="s">
        <v>4</v>
      </c>
      <c r="U7" s="9" t="s">
        <v>5</v>
      </c>
      <c r="V7" s="9" t="s">
        <v>6</v>
      </c>
      <c r="W7" s="9" t="s">
        <v>7</v>
      </c>
      <c r="X7" s="10" t="s">
        <v>8</v>
      </c>
      <c r="Z7" s="8"/>
      <c r="AA7" s="15"/>
      <c r="AB7" s="9" t="s">
        <v>4</v>
      </c>
      <c r="AC7" s="9" t="s">
        <v>5</v>
      </c>
      <c r="AD7" s="9" t="s">
        <v>6</v>
      </c>
      <c r="AE7" s="9" t="s">
        <v>7</v>
      </c>
      <c r="AF7" s="10" t="s">
        <v>8</v>
      </c>
    </row>
    <row r="8" spans="2:32" s="7" customFormat="1">
      <c r="B8" s="8" t="str">
        <f>CHOOSE(WEEKDAY(C8),"D","L","M","M","J","V","S")</f>
        <v>J</v>
      </c>
      <c r="C8" s="164" t="str">
        <f>TEXT('Table '!AM6,"jj mmm aa")</f>
        <v>01 nov 18</v>
      </c>
      <c r="D8" s="12"/>
      <c r="E8" s="12"/>
      <c r="F8" s="12">
        <f>E8-D8</f>
        <v>0</v>
      </c>
      <c r="G8" s="13">
        <f t="shared" ref="G8:G36" si="0">IF(F8&gt;=$F$1,1,0)</f>
        <v>0</v>
      </c>
      <c r="H8" s="14">
        <f t="shared" ref="H8:H36" si="1">IF(F8&lt;$F$1,F8,0)</f>
        <v>0</v>
      </c>
      <c r="J8" s="8" t="str">
        <f>CHOOSE(WEEKDAY(C8),"D","L","M","M","J","V","S")</f>
        <v>J</v>
      </c>
      <c r="K8" s="151" t="str">
        <f>TEXT('Table '!AM6,"jj mmm aa")</f>
        <v>01 nov 18</v>
      </c>
      <c r="L8" s="12"/>
      <c r="M8" s="12"/>
      <c r="N8" s="12">
        <f>M8-L8</f>
        <v>0</v>
      </c>
      <c r="O8" s="13">
        <f t="shared" ref="O8:O38" si="2">IF(N8&gt;=$F$1,1,0)</f>
        <v>0</v>
      </c>
      <c r="P8" s="14">
        <f t="shared" ref="P8:P38" si="3">IF(N8&lt;$F$1,N8,0)</f>
        <v>0</v>
      </c>
      <c r="R8" s="8" t="str">
        <f>CHOOSE(WEEKDAY(C8),"D","L","M","M","J","V","S")</f>
        <v>J</v>
      </c>
      <c r="S8" s="151" t="str">
        <f>TEXT('Table '!AM6,"jj mmm aa")</f>
        <v>01 nov 18</v>
      </c>
      <c r="T8" s="12"/>
      <c r="U8" s="12"/>
      <c r="V8" s="12">
        <f>U8-T8</f>
        <v>0</v>
      </c>
      <c r="W8" s="13">
        <f t="shared" ref="W8:W38" si="4">IF(V8&gt;=$F$1,1,0)</f>
        <v>0</v>
      </c>
      <c r="X8" s="14">
        <f t="shared" ref="X8:X38" si="5">IF(V8&lt;$F$1,V8,0)</f>
        <v>0</v>
      </c>
      <c r="Y8" s="21"/>
      <c r="Z8" s="131" t="str">
        <f>CHOOSE(WEEKDAY(C8),"D","L","M","M","J","V","S")</f>
        <v>J</v>
      </c>
      <c r="AA8" s="138" t="str">
        <f>TEXT('Table '!AM6,"jj mmm aa")</f>
        <v>01 nov 18</v>
      </c>
      <c r="AB8" s="18"/>
      <c r="AC8" s="18"/>
      <c r="AD8" s="18">
        <f>AC8-AB8</f>
        <v>0</v>
      </c>
      <c r="AE8" s="146">
        <f t="shared" ref="AE8:AE38" si="6">IF(AD8&gt;=$F$1,1,0)</f>
        <v>0</v>
      </c>
      <c r="AF8" s="20">
        <f t="shared" ref="AF8:AF38" si="7">IF(AD8&lt;$F$1,AD8,0)</f>
        <v>0</v>
      </c>
    </row>
    <row r="9" spans="2:32" s="7" customFormat="1">
      <c r="B9" s="8" t="str">
        <f t="shared" ref="B9:B37" si="8">CHOOSE(WEEKDAY(C9),"D","L","M","M","J","V","S")</f>
        <v>V</v>
      </c>
      <c r="C9" s="164" t="str">
        <f>TEXT('Table '!AM7,"jj mmm aa")</f>
        <v>02 nov 18</v>
      </c>
      <c r="D9" s="12"/>
      <c r="E9" s="12"/>
      <c r="F9" s="12">
        <f t="shared" ref="F9:F37" si="9">E9-D9</f>
        <v>0</v>
      </c>
      <c r="G9" s="13">
        <f t="shared" si="0"/>
        <v>0</v>
      </c>
      <c r="H9" s="14">
        <f t="shared" si="1"/>
        <v>0</v>
      </c>
      <c r="J9" s="8" t="str">
        <f t="shared" ref="J9:J37" si="10">CHOOSE(WEEKDAY(C9),"D","L","M","M","J","V","S")</f>
        <v>V</v>
      </c>
      <c r="K9" s="151" t="str">
        <f>TEXT('Table '!AM7,"jj mmm aa")</f>
        <v>02 nov 18</v>
      </c>
      <c r="L9" s="12"/>
      <c r="M9" s="12"/>
      <c r="N9" s="12">
        <f t="shared" ref="N9:N38" si="11">M9-L9</f>
        <v>0</v>
      </c>
      <c r="O9" s="13">
        <f t="shared" si="2"/>
        <v>0</v>
      </c>
      <c r="P9" s="14">
        <f t="shared" si="3"/>
        <v>0</v>
      </c>
      <c r="R9" s="8" t="str">
        <f t="shared" ref="R9:R37" si="12">CHOOSE(WEEKDAY(C9),"D","L","M","M","J","V","S")</f>
        <v>V</v>
      </c>
      <c r="S9" s="151" t="str">
        <f>TEXT('Table '!AM7,"jj mmm aa")</f>
        <v>02 nov 18</v>
      </c>
      <c r="T9" s="12"/>
      <c r="U9" s="12"/>
      <c r="V9" s="12">
        <f t="shared" ref="V9:V38" si="13">U9-T9</f>
        <v>0</v>
      </c>
      <c r="W9" s="13">
        <f t="shared" si="4"/>
        <v>0</v>
      </c>
      <c r="X9" s="14">
        <f t="shared" si="5"/>
        <v>0</v>
      </c>
      <c r="Y9" s="21"/>
      <c r="Z9" s="131" t="str">
        <f t="shared" ref="Z9:Z37" si="14">CHOOSE(WEEKDAY(C9),"D","L","M","M","J","V","S")</f>
        <v>V</v>
      </c>
      <c r="AA9" s="138" t="str">
        <f>TEXT('Table '!AM7,"jj mmm aa")</f>
        <v>02 nov 18</v>
      </c>
      <c r="AB9" s="18"/>
      <c r="AC9" s="18"/>
      <c r="AD9" s="18">
        <f t="shared" ref="AD9:AD38" si="15">AC9-AB9</f>
        <v>0</v>
      </c>
      <c r="AE9" s="146">
        <f t="shared" si="6"/>
        <v>0</v>
      </c>
      <c r="AF9" s="20">
        <f t="shared" si="7"/>
        <v>0</v>
      </c>
    </row>
    <row r="10" spans="2:32" s="7" customFormat="1">
      <c r="B10" s="8" t="str">
        <f t="shared" si="8"/>
        <v>S</v>
      </c>
      <c r="C10" s="164" t="str">
        <f>TEXT('Table '!AM8,"jj mmm aa")</f>
        <v>03 nov 18</v>
      </c>
      <c r="D10" s="12"/>
      <c r="E10" s="12"/>
      <c r="F10" s="12">
        <f t="shared" si="9"/>
        <v>0</v>
      </c>
      <c r="G10" s="13">
        <f t="shared" si="0"/>
        <v>0</v>
      </c>
      <c r="H10" s="14">
        <f t="shared" si="1"/>
        <v>0</v>
      </c>
      <c r="J10" s="8" t="str">
        <f t="shared" si="10"/>
        <v>S</v>
      </c>
      <c r="K10" s="151" t="str">
        <f>TEXT('Table '!AM8,"jj mmm aa")</f>
        <v>03 nov 18</v>
      </c>
      <c r="L10" s="12"/>
      <c r="M10" s="12"/>
      <c r="N10" s="12">
        <f t="shared" si="11"/>
        <v>0</v>
      </c>
      <c r="O10" s="13">
        <f t="shared" si="2"/>
        <v>0</v>
      </c>
      <c r="P10" s="14">
        <f t="shared" si="3"/>
        <v>0</v>
      </c>
      <c r="R10" s="8" t="str">
        <f t="shared" si="12"/>
        <v>S</v>
      </c>
      <c r="S10" s="151" t="str">
        <f>TEXT('Table '!AM8,"jj mmm aa")</f>
        <v>03 nov 18</v>
      </c>
      <c r="T10" s="12"/>
      <c r="U10" s="12"/>
      <c r="V10" s="12">
        <f t="shared" si="13"/>
        <v>0</v>
      </c>
      <c r="W10" s="13">
        <f t="shared" si="4"/>
        <v>0</v>
      </c>
      <c r="X10" s="14">
        <f t="shared" si="5"/>
        <v>0</v>
      </c>
      <c r="Y10" s="21"/>
      <c r="Z10" s="131" t="str">
        <f t="shared" si="14"/>
        <v>S</v>
      </c>
      <c r="AA10" s="138" t="str">
        <f>TEXT('Table '!AM8,"jj mmm aa")</f>
        <v>03 nov 18</v>
      </c>
      <c r="AB10" s="18"/>
      <c r="AC10" s="18"/>
      <c r="AD10" s="18">
        <f t="shared" si="15"/>
        <v>0</v>
      </c>
      <c r="AE10" s="146">
        <f t="shared" si="6"/>
        <v>0</v>
      </c>
      <c r="AF10" s="20">
        <f t="shared" si="7"/>
        <v>0</v>
      </c>
    </row>
    <row r="11" spans="2:32" s="7" customFormat="1">
      <c r="B11" s="8" t="str">
        <f t="shared" si="8"/>
        <v>D</v>
      </c>
      <c r="C11" s="164" t="str">
        <f>TEXT('Table '!AM9,"jj mmm aa")</f>
        <v>04 nov 18</v>
      </c>
      <c r="D11" s="12"/>
      <c r="E11" s="12"/>
      <c r="F11" s="25">
        <f t="shared" si="9"/>
        <v>0</v>
      </c>
      <c r="G11" s="26">
        <f t="shared" si="0"/>
        <v>0</v>
      </c>
      <c r="H11" s="27">
        <f t="shared" si="1"/>
        <v>0</v>
      </c>
      <c r="I11" s="45"/>
      <c r="J11" s="8" t="str">
        <f t="shared" si="10"/>
        <v>D</v>
      </c>
      <c r="K11" s="151" t="str">
        <f>TEXT('Table '!AM9,"jj mmm aa")</f>
        <v>04 nov 18</v>
      </c>
      <c r="L11" s="25"/>
      <c r="M11" s="25"/>
      <c r="N11" s="25">
        <f>M11-L11</f>
        <v>0</v>
      </c>
      <c r="O11" s="26">
        <f t="shared" si="2"/>
        <v>0</v>
      </c>
      <c r="P11" s="27">
        <f t="shared" si="3"/>
        <v>0</v>
      </c>
      <c r="R11" s="8" t="str">
        <f t="shared" si="12"/>
        <v>D</v>
      </c>
      <c r="S11" s="151" t="str">
        <f>TEXT('Table '!AM9,"jj mmm aa")</f>
        <v>04 nov 18</v>
      </c>
      <c r="T11" s="12"/>
      <c r="U11" s="12"/>
      <c r="V11" s="12">
        <f t="shared" si="13"/>
        <v>0</v>
      </c>
      <c r="W11" s="13">
        <f t="shared" si="4"/>
        <v>0</v>
      </c>
      <c r="X11" s="14">
        <f t="shared" si="5"/>
        <v>0</v>
      </c>
      <c r="Y11" s="21"/>
      <c r="Z11" s="131" t="str">
        <f t="shared" si="14"/>
        <v>D</v>
      </c>
      <c r="AA11" s="138" t="str">
        <f>TEXT('Table '!AM9,"jj mmm aa")</f>
        <v>04 nov 18</v>
      </c>
      <c r="AB11" s="18"/>
      <c r="AC11" s="18"/>
      <c r="AD11" s="18">
        <f t="shared" si="15"/>
        <v>0</v>
      </c>
      <c r="AE11" s="146">
        <f t="shared" si="6"/>
        <v>0</v>
      </c>
      <c r="AF11" s="20">
        <f t="shared" si="7"/>
        <v>0</v>
      </c>
    </row>
    <row r="12" spans="2:32" s="7" customFormat="1">
      <c r="B12" s="8" t="str">
        <f t="shared" si="8"/>
        <v>L</v>
      </c>
      <c r="C12" s="164" t="str">
        <f>TEXT('Table '!AM10,"jj mmm aa")</f>
        <v>05 nov 18</v>
      </c>
      <c r="D12" s="12"/>
      <c r="E12" s="12"/>
      <c r="F12" s="25">
        <f t="shared" si="9"/>
        <v>0</v>
      </c>
      <c r="G12" s="26">
        <f t="shared" si="0"/>
        <v>0</v>
      </c>
      <c r="H12" s="27">
        <f t="shared" si="1"/>
        <v>0</v>
      </c>
      <c r="I12" s="45"/>
      <c r="J12" s="8" t="str">
        <f t="shared" si="10"/>
        <v>L</v>
      </c>
      <c r="K12" s="151" t="str">
        <f>TEXT('Table '!AM10,"jj mmm aa")</f>
        <v>05 nov 18</v>
      </c>
      <c r="L12" s="12"/>
      <c r="M12" s="12"/>
      <c r="N12" s="25">
        <f>M12-L12</f>
        <v>0</v>
      </c>
      <c r="O12" s="26">
        <f t="shared" si="2"/>
        <v>0</v>
      </c>
      <c r="P12" s="27">
        <f t="shared" si="3"/>
        <v>0</v>
      </c>
      <c r="R12" s="8" t="str">
        <f t="shared" si="12"/>
        <v>L</v>
      </c>
      <c r="S12" s="151" t="str">
        <f>TEXT('Table '!AM10,"jj mmm aa")</f>
        <v>05 nov 18</v>
      </c>
      <c r="T12" s="12"/>
      <c r="U12" s="12"/>
      <c r="V12" s="12">
        <f t="shared" si="13"/>
        <v>0</v>
      </c>
      <c r="W12" s="13">
        <f t="shared" si="4"/>
        <v>0</v>
      </c>
      <c r="X12" s="14">
        <f t="shared" si="5"/>
        <v>0</v>
      </c>
      <c r="Y12" s="21"/>
      <c r="Z12" s="131" t="str">
        <f t="shared" si="14"/>
        <v>L</v>
      </c>
      <c r="AA12" s="138" t="str">
        <f>TEXT('Table '!AM10,"jj mmm aa")</f>
        <v>05 nov 18</v>
      </c>
      <c r="AB12" s="18"/>
      <c r="AC12" s="18"/>
      <c r="AD12" s="18">
        <f t="shared" si="15"/>
        <v>0</v>
      </c>
      <c r="AE12" s="146">
        <f t="shared" si="6"/>
        <v>0</v>
      </c>
      <c r="AF12" s="20">
        <f t="shared" si="7"/>
        <v>0</v>
      </c>
    </row>
    <row r="13" spans="2:32" s="7" customFormat="1">
      <c r="B13" s="8" t="str">
        <f t="shared" si="8"/>
        <v>M</v>
      </c>
      <c r="C13" s="164" t="str">
        <f>TEXT('Table '!AM11,"jj mmm aa")</f>
        <v>06 nov 18</v>
      </c>
      <c r="D13" s="12"/>
      <c r="E13" s="12"/>
      <c r="F13" s="25">
        <f t="shared" si="9"/>
        <v>0</v>
      </c>
      <c r="G13" s="26">
        <f t="shared" si="0"/>
        <v>0</v>
      </c>
      <c r="H13" s="27">
        <f t="shared" si="1"/>
        <v>0</v>
      </c>
      <c r="I13" s="45"/>
      <c r="J13" s="8" t="str">
        <f t="shared" si="10"/>
        <v>M</v>
      </c>
      <c r="K13" s="151" t="str">
        <f>TEXT('Table '!AM11,"jj mmm aa")</f>
        <v>06 nov 18</v>
      </c>
      <c r="L13" s="12"/>
      <c r="M13" s="12"/>
      <c r="N13" s="25">
        <f t="shared" si="11"/>
        <v>0</v>
      </c>
      <c r="O13" s="26">
        <f t="shared" si="2"/>
        <v>0</v>
      </c>
      <c r="P13" s="27">
        <f t="shared" si="3"/>
        <v>0</v>
      </c>
      <c r="R13" s="8" t="str">
        <f t="shared" si="12"/>
        <v>M</v>
      </c>
      <c r="S13" s="151" t="str">
        <f>TEXT('Table '!AM11,"jj mmm aa")</f>
        <v>06 nov 18</v>
      </c>
      <c r="T13" s="12"/>
      <c r="U13" s="12"/>
      <c r="V13" s="12">
        <f t="shared" si="13"/>
        <v>0</v>
      </c>
      <c r="W13" s="13">
        <f t="shared" si="4"/>
        <v>0</v>
      </c>
      <c r="X13" s="14">
        <f t="shared" si="5"/>
        <v>0</v>
      </c>
      <c r="Y13" s="21"/>
      <c r="Z13" s="131" t="str">
        <f t="shared" si="14"/>
        <v>M</v>
      </c>
      <c r="AA13" s="138" t="str">
        <f>TEXT('Table '!AM11,"jj mmm aa")</f>
        <v>06 nov 18</v>
      </c>
      <c r="AB13" s="18"/>
      <c r="AC13" s="18"/>
      <c r="AD13" s="18">
        <f t="shared" si="15"/>
        <v>0</v>
      </c>
      <c r="AE13" s="146">
        <f t="shared" si="6"/>
        <v>0</v>
      </c>
      <c r="AF13" s="20">
        <f t="shared" si="7"/>
        <v>0</v>
      </c>
    </row>
    <row r="14" spans="2:32" s="7" customFormat="1">
      <c r="B14" s="8" t="str">
        <f t="shared" si="8"/>
        <v>M</v>
      </c>
      <c r="C14" s="164" t="str">
        <f>TEXT('Table '!AM12,"jj mmm aa")</f>
        <v>07 nov 18</v>
      </c>
      <c r="D14" s="12"/>
      <c r="E14" s="12"/>
      <c r="F14" s="25">
        <f t="shared" si="9"/>
        <v>0</v>
      </c>
      <c r="G14" s="26">
        <f t="shared" si="0"/>
        <v>0</v>
      </c>
      <c r="H14" s="27">
        <f t="shared" si="1"/>
        <v>0</v>
      </c>
      <c r="I14" s="45"/>
      <c r="J14" s="8" t="str">
        <f t="shared" si="10"/>
        <v>M</v>
      </c>
      <c r="K14" s="151" t="str">
        <f>TEXT('Table '!AM12,"jj mmm aa")</f>
        <v>07 nov 18</v>
      </c>
      <c r="L14" s="12"/>
      <c r="M14" s="12"/>
      <c r="N14" s="25">
        <f t="shared" si="11"/>
        <v>0</v>
      </c>
      <c r="O14" s="26">
        <f t="shared" si="2"/>
        <v>0</v>
      </c>
      <c r="P14" s="27">
        <f t="shared" si="3"/>
        <v>0</v>
      </c>
      <c r="R14" s="8" t="str">
        <f t="shared" si="12"/>
        <v>M</v>
      </c>
      <c r="S14" s="151" t="str">
        <f>TEXT('Table '!AM12,"jj mmm aa")</f>
        <v>07 nov 18</v>
      </c>
      <c r="T14" s="12"/>
      <c r="U14" s="12"/>
      <c r="V14" s="12">
        <f t="shared" si="13"/>
        <v>0</v>
      </c>
      <c r="W14" s="13">
        <f t="shared" si="4"/>
        <v>0</v>
      </c>
      <c r="X14" s="14">
        <f t="shared" si="5"/>
        <v>0</v>
      </c>
      <c r="Y14" s="21"/>
      <c r="Z14" s="131" t="str">
        <f t="shared" si="14"/>
        <v>M</v>
      </c>
      <c r="AA14" s="138" t="str">
        <f>TEXT('Table '!AM12,"jj mmm aa")</f>
        <v>07 nov 18</v>
      </c>
      <c r="AB14" s="18"/>
      <c r="AC14" s="18"/>
      <c r="AD14" s="18">
        <f t="shared" si="15"/>
        <v>0</v>
      </c>
      <c r="AE14" s="146">
        <f t="shared" si="6"/>
        <v>0</v>
      </c>
      <c r="AF14" s="20">
        <f t="shared" si="7"/>
        <v>0</v>
      </c>
    </row>
    <row r="15" spans="2:32" s="7" customFormat="1">
      <c r="B15" s="8" t="str">
        <f t="shared" si="8"/>
        <v>J</v>
      </c>
      <c r="C15" s="164" t="str">
        <f>TEXT('Table '!AM13,"jj mmm aa")</f>
        <v>08 nov 18</v>
      </c>
      <c r="D15" s="12"/>
      <c r="E15" s="12"/>
      <c r="F15" s="25">
        <f t="shared" si="9"/>
        <v>0</v>
      </c>
      <c r="G15" s="26">
        <f t="shared" si="0"/>
        <v>0</v>
      </c>
      <c r="H15" s="27">
        <f t="shared" si="1"/>
        <v>0</v>
      </c>
      <c r="I15" s="45"/>
      <c r="J15" s="8" t="str">
        <f t="shared" si="10"/>
        <v>J</v>
      </c>
      <c r="K15" s="151" t="str">
        <f>TEXT('Table '!AM13,"jj mmm aa")</f>
        <v>08 nov 18</v>
      </c>
      <c r="L15" s="12"/>
      <c r="M15" s="12"/>
      <c r="N15" s="25">
        <f t="shared" si="11"/>
        <v>0</v>
      </c>
      <c r="O15" s="26">
        <f t="shared" si="2"/>
        <v>0</v>
      </c>
      <c r="P15" s="27">
        <f t="shared" si="3"/>
        <v>0</v>
      </c>
      <c r="R15" s="8" t="str">
        <f t="shared" si="12"/>
        <v>J</v>
      </c>
      <c r="S15" s="151" t="str">
        <f>TEXT('Table '!AM13,"jj mmm aa")</f>
        <v>08 nov 18</v>
      </c>
      <c r="T15" s="12"/>
      <c r="U15" s="12"/>
      <c r="V15" s="12">
        <f t="shared" si="13"/>
        <v>0</v>
      </c>
      <c r="W15" s="13">
        <f t="shared" si="4"/>
        <v>0</v>
      </c>
      <c r="X15" s="14">
        <f t="shared" si="5"/>
        <v>0</v>
      </c>
      <c r="Y15" s="21"/>
      <c r="Z15" s="131" t="str">
        <f t="shared" si="14"/>
        <v>J</v>
      </c>
      <c r="AA15" s="138" t="str">
        <f>TEXT('Table '!AM13,"jj mmm aa")</f>
        <v>08 nov 18</v>
      </c>
      <c r="AB15" s="18"/>
      <c r="AC15" s="18"/>
      <c r="AD15" s="18">
        <f t="shared" si="15"/>
        <v>0</v>
      </c>
      <c r="AE15" s="146">
        <f t="shared" si="6"/>
        <v>0</v>
      </c>
      <c r="AF15" s="20">
        <f t="shared" si="7"/>
        <v>0</v>
      </c>
    </row>
    <row r="16" spans="2:32" s="7" customFormat="1">
      <c r="B16" s="8" t="str">
        <f t="shared" si="8"/>
        <v>V</v>
      </c>
      <c r="C16" s="164" t="str">
        <f>TEXT('Table '!AM14,"jj mmm aa")</f>
        <v>09 nov 18</v>
      </c>
      <c r="D16" s="25"/>
      <c r="E16" s="25"/>
      <c r="F16" s="25">
        <f t="shared" si="9"/>
        <v>0</v>
      </c>
      <c r="G16" s="26">
        <f t="shared" si="0"/>
        <v>0</v>
      </c>
      <c r="H16" s="27">
        <f t="shared" si="1"/>
        <v>0</v>
      </c>
      <c r="I16" s="45"/>
      <c r="J16" s="8" t="str">
        <f t="shared" si="10"/>
        <v>V</v>
      </c>
      <c r="K16" s="151" t="str">
        <f>TEXT('Table '!AM14,"jj mmm aa")</f>
        <v>09 nov 18</v>
      </c>
      <c r="L16" s="25"/>
      <c r="M16" s="25"/>
      <c r="N16" s="25">
        <f t="shared" si="11"/>
        <v>0</v>
      </c>
      <c r="O16" s="26">
        <f t="shared" si="2"/>
        <v>0</v>
      </c>
      <c r="P16" s="27">
        <f t="shared" si="3"/>
        <v>0</v>
      </c>
      <c r="R16" s="8" t="str">
        <f t="shared" si="12"/>
        <v>V</v>
      </c>
      <c r="S16" s="151" t="str">
        <f>TEXT('Table '!AM14,"jj mmm aa")</f>
        <v>09 nov 18</v>
      </c>
      <c r="T16" s="12"/>
      <c r="U16" s="12"/>
      <c r="V16" s="12">
        <f t="shared" si="13"/>
        <v>0</v>
      </c>
      <c r="W16" s="13">
        <f t="shared" si="4"/>
        <v>0</v>
      </c>
      <c r="X16" s="14">
        <f t="shared" si="5"/>
        <v>0</v>
      </c>
      <c r="Y16" s="21"/>
      <c r="Z16" s="131" t="str">
        <f t="shared" si="14"/>
        <v>V</v>
      </c>
      <c r="AA16" s="138" t="str">
        <f>TEXT('Table '!AM14,"jj mmm aa")</f>
        <v>09 nov 18</v>
      </c>
      <c r="AB16" s="18"/>
      <c r="AC16" s="18"/>
      <c r="AD16" s="18">
        <f t="shared" si="15"/>
        <v>0</v>
      </c>
      <c r="AE16" s="146">
        <f t="shared" si="6"/>
        <v>0</v>
      </c>
      <c r="AF16" s="20">
        <f t="shared" si="7"/>
        <v>0</v>
      </c>
    </row>
    <row r="17" spans="2:32" s="7" customFormat="1">
      <c r="B17" s="8" t="str">
        <f t="shared" si="8"/>
        <v>S</v>
      </c>
      <c r="C17" s="164" t="str">
        <f>TEXT('Table '!AM15,"jj mmm aa")</f>
        <v>10 nov 18</v>
      </c>
      <c r="D17" s="25"/>
      <c r="E17" s="25"/>
      <c r="F17" s="25">
        <f t="shared" si="9"/>
        <v>0</v>
      </c>
      <c r="G17" s="26">
        <f t="shared" si="0"/>
        <v>0</v>
      </c>
      <c r="H17" s="27">
        <f t="shared" si="1"/>
        <v>0</v>
      </c>
      <c r="I17" s="45"/>
      <c r="J17" s="8" t="str">
        <f t="shared" si="10"/>
        <v>S</v>
      </c>
      <c r="K17" s="151" t="str">
        <f>TEXT('Table '!AM15,"jj mmm aa")</f>
        <v>10 nov 18</v>
      </c>
      <c r="L17" s="25"/>
      <c r="M17" s="25"/>
      <c r="N17" s="25">
        <f>M17-L17</f>
        <v>0</v>
      </c>
      <c r="O17" s="26">
        <f t="shared" si="2"/>
        <v>0</v>
      </c>
      <c r="P17" s="27">
        <f t="shared" si="3"/>
        <v>0</v>
      </c>
      <c r="R17" s="8" t="str">
        <f t="shared" si="12"/>
        <v>S</v>
      </c>
      <c r="S17" s="151" t="str">
        <f>TEXT('Table '!AM15,"jj mmm aa")</f>
        <v>10 nov 18</v>
      </c>
      <c r="T17" s="44"/>
      <c r="U17" s="12"/>
      <c r="V17" s="12">
        <f t="shared" si="13"/>
        <v>0</v>
      </c>
      <c r="W17" s="13">
        <f t="shared" si="4"/>
        <v>0</v>
      </c>
      <c r="X17" s="14">
        <f t="shared" si="5"/>
        <v>0</v>
      </c>
      <c r="Y17" s="21"/>
      <c r="Z17" s="131" t="str">
        <f t="shared" si="14"/>
        <v>S</v>
      </c>
      <c r="AA17" s="138" t="str">
        <f>TEXT('Table '!AM15,"jj mmm aa")</f>
        <v>10 nov 18</v>
      </c>
      <c r="AB17" s="18"/>
      <c r="AC17" s="18"/>
      <c r="AD17" s="18">
        <f t="shared" si="15"/>
        <v>0</v>
      </c>
      <c r="AE17" s="146">
        <f t="shared" si="6"/>
        <v>0</v>
      </c>
      <c r="AF17" s="20">
        <f t="shared" si="7"/>
        <v>0</v>
      </c>
    </row>
    <row r="18" spans="2:32" s="7" customFormat="1">
      <c r="B18" s="8" t="str">
        <f t="shared" si="8"/>
        <v>D</v>
      </c>
      <c r="C18" s="164" t="str">
        <f>TEXT('Table '!AM16,"jj mmm aa")</f>
        <v>11 nov 18</v>
      </c>
      <c r="D18" s="25"/>
      <c r="E18" s="25"/>
      <c r="F18" s="25">
        <f t="shared" si="9"/>
        <v>0</v>
      </c>
      <c r="G18" s="26">
        <f t="shared" si="0"/>
        <v>0</v>
      </c>
      <c r="H18" s="27">
        <f t="shared" si="1"/>
        <v>0</v>
      </c>
      <c r="I18" s="45"/>
      <c r="J18" s="8" t="str">
        <f t="shared" si="10"/>
        <v>D</v>
      </c>
      <c r="K18" s="151" t="str">
        <f>TEXT('Table '!AM16,"jj mmm aa")</f>
        <v>11 nov 18</v>
      </c>
      <c r="L18" s="25"/>
      <c r="M18" s="25"/>
      <c r="N18" s="25">
        <f>M18-L18</f>
        <v>0</v>
      </c>
      <c r="O18" s="26">
        <f t="shared" si="2"/>
        <v>0</v>
      </c>
      <c r="P18" s="27">
        <f t="shared" si="3"/>
        <v>0</v>
      </c>
      <c r="R18" s="8" t="str">
        <f t="shared" si="12"/>
        <v>D</v>
      </c>
      <c r="S18" s="151" t="str">
        <f>TEXT('Table '!AM16,"jj mmm aa")</f>
        <v>11 nov 18</v>
      </c>
      <c r="T18" s="12"/>
      <c r="U18" s="12"/>
      <c r="V18" s="12">
        <f t="shared" si="13"/>
        <v>0</v>
      </c>
      <c r="W18" s="13">
        <f t="shared" si="4"/>
        <v>0</v>
      </c>
      <c r="X18" s="14">
        <f t="shared" si="5"/>
        <v>0</v>
      </c>
      <c r="Y18" s="21"/>
      <c r="Z18" s="131" t="str">
        <f t="shared" si="14"/>
        <v>D</v>
      </c>
      <c r="AA18" s="138" t="str">
        <f>TEXT('Table '!AM16,"jj mmm aa")</f>
        <v>11 nov 18</v>
      </c>
      <c r="AB18" s="18"/>
      <c r="AC18" s="18"/>
      <c r="AD18" s="18">
        <f t="shared" si="15"/>
        <v>0</v>
      </c>
      <c r="AE18" s="146">
        <f t="shared" si="6"/>
        <v>0</v>
      </c>
      <c r="AF18" s="20">
        <f t="shared" si="7"/>
        <v>0</v>
      </c>
    </row>
    <row r="19" spans="2:32" s="7" customFormat="1">
      <c r="B19" s="8" t="str">
        <f t="shared" si="8"/>
        <v>L</v>
      </c>
      <c r="C19" s="164" t="str">
        <f>TEXT('Table '!AM17,"jj mmm aa")</f>
        <v>12 nov 18</v>
      </c>
      <c r="D19" s="25"/>
      <c r="E19" s="25"/>
      <c r="F19" s="25">
        <f t="shared" si="9"/>
        <v>0</v>
      </c>
      <c r="G19" s="26">
        <f t="shared" si="0"/>
        <v>0</v>
      </c>
      <c r="H19" s="27">
        <f t="shared" si="1"/>
        <v>0</v>
      </c>
      <c r="I19" s="45"/>
      <c r="J19" s="8" t="str">
        <f t="shared" si="10"/>
        <v>L</v>
      </c>
      <c r="K19" s="151" t="str">
        <f>TEXT('Table '!AM17,"jj mmm aa")</f>
        <v>12 nov 18</v>
      </c>
      <c r="L19" s="25"/>
      <c r="M19" s="25"/>
      <c r="N19" s="25">
        <f t="shared" si="11"/>
        <v>0</v>
      </c>
      <c r="O19" s="26">
        <f t="shared" si="2"/>
        <v>0</v>
      </c>
      <c r="P19" s="27">
        <f t="shared" si="3"/>
        <v>0</v>
      </c>
      <c r="R19" s="8" t="str">
        <f t="shared" si="12"/>
        <v>L</v>
      </c>
      <c r="S19" s="151" t="str">
        <f>TEXT('Table '!AM17,"jj mmm aa")</f>
        <v>12 nov 18</v>
      </c>
      <c r="T19" s="12"/>
      <c r="U19" s="12"/>
      <c r="V19" s="12">
        <f t="shared" si="13"/>
        <v>0</v>
      </c>
      <c r="W19" s="13">
        <f t="shared" si="4"/>
        <v>0</v>
      </c>
      <c r="X19" s="14">
        <f t="shared" si="5"/>
        <v>0</v>
      </c>
      <c r="Y19" s="21"/>
      <c r="Z19" s="131" t="str">
        <f t="shared" si="14"/>
        <v>L</v>
      </c>
      <c r="AA19" s="138" t="str">
        <f>TEXT('Table '!AM17,"jj mmm aa")</f>
        <v>12 nov 18</v>
      </c>
      <c r="AB19" s="18"/>
      <c r="AC19" s="18"/>
      <c r="AD19" s="18">
        <f t="shared" si="15"/>
        <v>0</v>
      </c>
      <c r="AE19" s="146">
        <f t="shared" si="6"/>
        <v>0</v>
      </c>
      <c r="AF19" s="20">
        <f t="shared" si="7"/>
        <v>0</v>
      </c>
    </row>
    <row r="20" spans="2:32" s="7" customFormat="1">
      <c r="B20" s="8" t="str">
        <f t="shared" si="8"/>
        <v>M</v>
      </c>
      <c r="C20" s="164" t="str">
        <f>TEXT('Table '!AM18,"jj mmm aa")</f>
        <v>13 nov 18</v>
      </c>
      <c r="D20" s="25"/>
      <c r="E20" s="25"/>
      <c r="F20" s="25">
        <f t="shared" si="9"/>
        <v>0</v>
      </c>
      <c r="G20" s="26">
        <f t="shared" si="0"/>
        <v>0</v>
      </c>
      <c r="H20" s="27">
        <f t="shared" si="1"/>
        <v>0</v>
      </c>
      <c r="I20" s="45"/>
      <c r="J20" s="8" t="str">
        <f t="shared" si="10"/>
        <v>M</v>
      </c>
      <c r="K20" s="151" t="str">
        <f>TEXT('Table '!AM18,"jj mmm aa")</f>
        <v>13 nov 18</v>
      </c>
      <c r="L20" s="25"/>
      <c r="M20" s="25"/>
      <c r="N20" s="25">
        <f t="shared" si="11"/>
        <v>0</v>
      </c>
      <c r="O20" s="26">
        <f t="shared" si="2"/>
        <v>0</v>
      </c>
      <c r="P20" s="27">
        <f t="shared" si="3"/>
        <v>0</v>
      </c>
      <c r="R20" s="8" t="str">
        <f t="shared" si="12"/>
        <v>M</v>
      </c>
      <c r="S20" s="151" t="str">
        <f>TEXT('Table '!AM18,"jj mmm aa")</f>
        <v>13 nov 18</v>
      </c>
      <c r="T20" s="12"/>
      <c r="U20" s="12"/>
      <c r="V20" s="12">
        <f t="shared" si="13"/>
        <v>0</v>
      </c>
      <c r="W20" s="13">
        <f t="shared" si="4"/>
        <v>0</v>
      </c>
      <c r="X20" s="14">
        <f t="shared" si="5"/>
        <v>0</v>
      </c>
      <c r="Y20" s="21"/>
      <c r="Z20" s="131" t="str">
        <f t="shared" si="14"/>
        <v>M</v>
      </c>
      <c r="AA20" s="138" t="str">
        <f>TEXT('Table '!AM18,"jj mmm aa")</f>
        <v>13 nov 18</v>
      </c>
      <c r="AB20" s="18"/>
      <c r="AC20" s="18"/>
      <c r="AD20" s="18">
        <f t="shared" si="15"/>
        <v>0</v>
      </c>
      <c r="AE20" s="146">
        <f t="shared" si="6"/>
        <v>0</v>
      </c>
      <c r="AF20" s="20">
        <f t="shared" si="7"/>
        <v>0</v>
      </c>
    </row>
    <row r="21" spans="2:32" s="7" customFormat="1">
      <c r="B21" s="8" t="str">
        <f t="shared" si="8"/>
        <v>M</v>
      </c>
      <c r="C21" s="164" t="str">
        <f>TEXT('Table '!AM19,"jj mmm aa")</f>
        <v>14 nov 18</v>
      </c>
      <c r="D21" s="25"/>
      <c r="E21" s="25"/>
      <c r="F21" s="25">
        <f t="shared" si="9"/>
        <v>0</v>
      </c>
      <c r="G21" s="26">
        <f t="shared" si="0"/>
        <v>0</v>
      </c>
      <c r="H21" s="27">
        <f t="shared" si="1"/>
        <v>0</v>
      </c>
      <c r="I21" s="45"/>
      <c r="J21" s="8" t="str">
        <f t="shared" si="10"/>
        <v>M</v>
      </c>
      <c r="K21" s="151" t="str">
        <f>TEXT('Table '!AM19,"jj mmm aa")</f>
        <v>14 nov 18</v>
      </c>
      <c r="L21" s="25"/>
      <c r="M21" s="25"/>
      <c r="N21" s="25">
        <f t="shared" si="11"/>
        <v>0</v>
      </c>
      <c r="O21" s="26">
        <f t="shared" si="2"/>
        <v>0</v>
      </c>
      <c r="P21" s="27">
        <f t="shared" si="3"/>
        <v>0</v>
      </c>
      <c r="R21" s="8" t="str">
        <f t="shared" si="12"/>
        <v>M</v>
      </c>
      <c r="S21" s="151" t="str">
        <f>TEXT('Table '!AM19,"jj mmm aa")</f>
        <v>14 nov 18</v>
      </c>
      <c r="T21" s="12"/>
      <c r="U21" s="12"/>
      <c r="V21" s="12">
        <f t="shared" si="13"/>
        <v>0</v>
      </c>
      <c r="W21" s="13">
        <f t="shared" si="4"/>
        <v>0</v>
      </c>
      <c r="X21" s="14">
        <f t="shared" si="5"/>
        <v>0</v>
      </c>
      <c r="Y21" s="21"/>
      <c r="Z21" s="131" t="str">
        <f t="shared" si="14"/>
        <v>M</v>
      </c>
      <c r="AA21" s="138" t="str">
        <f>TEXT('Table '!AM19,"jj mmm aa")</f>
        <v>14 nov 18</v>
      </c>
      <c r="AB21" s="18"/>
      <c r="AC21" s="18"/>
      <c r="AD21" s="18">
        <f t="shared" si="15"/>
        <v>0</v>
      </c>
      <c r="AE21" s="146">
        <f t="shared" si="6"/>
        <v>0</v>
      </c>
      <c r="AF21" s="20">
        <f t="shared" si="7"/>
        <v>0</v>
      </c>
    </row>
    <row r="22" spans="2:32" s="7" customFormat="1">
      <c r="B22" s="8" t="str">
        <f t="shared" si="8"/>
        <v>J</v>
      </c>
      <c r="C22" s="164" t="str">
        <f>TEXT('Table '!AM20,"jj mmm aa")</f>
        <v>15 nov 18</v>
      </c>
      <c r="D22" s="25"/>
      <c r="E22" s="25"/>
      <c r="F22" s="25">
        <f t="shared" si="9"/>
        <v>0</v>
      </c>
      <c r="G22" s="26">
        <f t="shared" si="0"/>
        <v>0</v>
      </c>
      <c r="H22" s="27">
        <f t="shared" si="1"/>
        <v>0</v>
      </c>
      <c r="I22" s="45"/>
      <c r="J22" s="8" t="str">
        <f t="shared" si="10"/>
        <v>J</v>
      </c>
      <c r="K22" s="151" t="str">
        <f>TEXT('Table '!AM20,"jj mmm aa")</f>
        <v>15 nov 18</v>
      </c>
      <c r="L22" s="25"/>
      <c r="M22" s="25"/>
      <c r="N22" s="25">
        <f t="shared" si="11"/>
        <v>0</v>
      </c>
      <c r="O22" s="26">
        <f t="shared" si="2"/>
        <v>0</v>
      </c>
      <c r="P22" s="27">
        <f t="shared" si="3"/>
        <v>0</v>
      </c>
      <c r="R22" s="8" t="str">
        <f t="shared" si="12"/>
        <v>J</v>
      </c>
      <c r="S22" s="151" t="str">
        <f>TEXT('Table '!AM20,"jj mmm aa")</f>
        <v>15 nov 18</v>
      </c>
      <c r="T22" s="12"/>
      <c r="U22" s="12"/>
      <c r="V22" s="12">
        <f t="shared" si="13"/>
        <v>0</v>
      </c>
      <c r="W22" s="13">
        <f t="shared" si="4"/>
        <v>0</v>
      </c>
      <c r="X22" s="14">
        <f t="shared" si="5"/>
        <v>0</v>
      </c>
      <c r="Y22" s="21"/>
      <c r="Z22" s="131" t="str">
        <f t="shared" si="14"/>
        <v>J</v>
      </c>
      <c r="AA22" s="138" t="str">
        <f>TEXT('Table '!AM20,"jj mmm aa")</f>
        <v>15 nov 18</v>
      </c>
      <c r="AB22" s="18"/>
      <c r="AC22" s="18"/>
      <c r="AD22" s="18">
        <f t="shared" si="15"/>
        <v>0</v>
      </c>
      <c r="AE22" s="146">
        <f t="shared" si="6"/>
        <v>0</v>
      </c>
      <c r="AF22" s="20">
        <f t="shared" si="7"/>
        <v>0</v>
      </c>
    </row>
    <row r="23" spans="2:32" s="7" customFormat="1">
      <c r="B23" s="8" t="str">
        <f t="shared" si="8"/>
        <v>V</v>
      </c>
      <c r="C23" s="164" t="str">
        <f>TEXT('Table '!AM21,"jj mmm aa")</f>
        <v>16 nov 18</v>
      </c>
      <c r="D23" s="25"/>
      <c r="E23" s="25"/>
      <c r="F23" s="25">
        <f t="shared" si="9"/>
        <v>0</v>
      </c>
      <c r="G23" s="26">
        <f t="shared" si="0"/>
        <v>0</v>
      </c>
      <c r="H23" s="27">
        <f t="shared" si="1"/>
        <v>0</v>
      </c>
      <c r="I23" s="45"/>
      <c r="J23" s="8" t="str">
        <f t="shared" si="10"/>
        <v>V</v>
      </c>
      <c r="K23" s="151" t="str">
        <f>TEXT('Table '!AM21,"jj mmm aa")</f>
        <v>16 nov 18</v>
      </c>
      <c r="L23" s="25"/>
      <c r="M23" s="25"/>
      <c r="N23" s="25">
        <f t="shared" si="11"/>
        <v>0</v>
      </c>
      <c r="O23" s="26">
        <f t="shared" si="2"/>
        <v>0</v>
      </c>
      <c r="P23" s="27">
        <f t="shared" si="3"/>
        <v>0</v>
      </c>
      <c r="R23" s="8" t="str">
        <f t="shared" si="12"/>
        <v>V</v>
      </c>
      <c r="S23" s="151" t="str">
        <f>TEXT('Table '!AM21,"jj mmm aa")</f>
        <v>16 nov 18</v>
      </c>
      <c r="T23" s="12"/>
      <c r="U23" s="12"/>
      <c r="V23" s="12">
        <f t="shared" si="13"/>
        <v>0</v>
      </c>
      <c r="W23" s="13">
        <f t="shared" si="4"/>
        <v>0</v>
      </c>
      <c r="X23" s="14">
        <f t="shared" si="5"/>
        <v>0</v>
      </c>
      <c r="Y23" s="21"/>
      <c r="Z23" s="131" t="str">
        <f t="shared" si="14"/>
        <v>V</v>
      </c>
      <c r="AA23" s="138" t="str">
        <f>TEXT('Table '!AM21,"jj mmm aa")</f>
        <v>16 nov 18</v>
      </c>
      <c r="AB23" s="18"/>
      <c r="AC23" s="18"/>
      <c r="AD23" s="18">
        <f t="shared" si="15"/>
        <v>0</v>
      </c>
      <c r="AE23" s="146">
        <f t="shared" si="6"/>
        <v>0</v>
      </c>
      <c r="AF23" s="20">
        <f t="shared" si="7"/>
        <v>0</v>
      </c>
    </row>
    <row r="24" spans="2:32" s="7" customFormat="1">
      <c r="B24" s="8" t="str">
        <f t="shared" si="8"/>
        <v>S</v>
      </c>
      <c r="C24" s="164" t="str">
        <f>TEXT('Table '!AM22,"jj mmm aa")</f>
        <v>17 nov 18</v>
      </c>
      <c r="D24" s="25"/>
      <c r="E24" s="25"/>
      <c r="F24" s="25">
        <f t="shared" si="9"/>
        <v>0</v>
      </c>
      <c r="G24" s="26">
        <f t="shared" si="0"/>
        <v>0</v>
      </c>
      <c r="H24" s="27">
        <f t="shared" si="1"/>
        <v>0</v>
      </c>
      <c r="I24" s="45"/>
      <c r="J24" s="8" t="str">
        <f t="shared" si="10"/>
        <v>S</v>
      </c>
      <c r="K24" s="151" t="str">
        <f>TEXT('Table '!AM22,"jj mmm aa")</f>
        <v>17 nov 18</v>
      </c>
      <c r="L24" s="25"/>
      <c r="M24" s="25"/>
      <c r="N24" s="25">
        <f t="shared" si="11"/>
        <v>0</v>
      </c>
      <c r="O24" s="26">
        <f t="shared" si="2"/>
        <v>0</v>
      </c>
      <c r="P24" s="27">
        <f t="shared" si="3"/>
        <v>0</v>
      </c>
      <c r="R24" s="8" t="str">
        <f t="shared" si="12"/>
        <v>S</v>
      </c>
      <c r="S24" s="151" t="str">
        <f>TEXT('Table '!AM22,"jj mmm aa")</f>
        <v>17 nov 18</v>
      </c>
      <c r="T24" s="12"/>
      <c r="U24" s="12"/>
      <c r="V24" s="12">
        <f t="shared" si="13"/>
        <v>0</v>
      </c>
      <c r="W24" s="13">
        <f t="shared" si="4"/>
        <v>0</v>
      </c>
      <c r="X24" s="14">
        <f t="shared" si="5"/>
        <v>0</v>
      </c>
      <c r="Y24" s="21"/>
      <c r="Z24" s="131" t="str">
        <f t="shared" si="14"/>
        <v>S</v>
      </c>
      <c r="AA24" s="138" t="str">
        <f>TEXT('Table '!AM22,"jj mmm aa")</f>
        <v>17 nov 18</v>
      </c>
      <c r="AB24" s="18"/>
      <c r="AC24" s="18"/>
      <c r="AD24" s="18">
        <f t="shared" si="15"/>
        <v>0</v>
      </c>
      <c r="AE24" s="146">
        <f t="shared" si="6"/>
        <v>0</v>
      </c>
      <c r="AF24" s="20">
        <f t="shared" si="7"/>
        <v>0</v>
      </c>
    </row>
    <row r="25" spans="2:32" s="7" customFormat="1">
      <c r="B25" s="8" t="str">
        <f t="shared" si="8"/>
        <v>D</v>
      </c>
      <c r="C25" s="164" t="str">
        <f>TEXT('Table '!AM23,"jj mmm aa")</f>
        <v>18 nov 18</v>
      </c>
      <c r="D25" s="12"/>
      <c r="E25" s="12"/>
      <c r="F25" s="25">
        <f t="shared" si="9"/>
        <v>0</v>
      </c>
      <c r="G25" s="26">
        <f t="shared" si="0"/>
        <v>0</v>
      </c>
      <c r="H25" s="27">
        <f t="shared" si="1"/>
        <v>0</v>
      </c>
      <c r="I25" s="45"/>
      <c r="J25" s="8" t="str">
        <f t="shared" si="10"/>
        <v>D</v>
      </c>
      <c r="K25" s="151" t="str">
        <f>TEXT('Table '!AM23,"jj mmm aa")</f>
        <v>18 nov 18</v>
      </c>
      <c r="L25" s="25"/>
      <c r="M25" s="25"/>
      <c r="N25" s="25">
        <f t="shared" si="11"/>
        <v>0</v>
      </c>
      <c r="O25" s="26">
        <f t="shared" si="2"/>
        <v>0</v>
      </c>
      <c r="P25" s="27">
        <f t="shared" si="3"/>
        <v>0</v>
      </c>
      <c r="R25" s="8" t="str">
        <f t="shared" si="12"/>
        <v>D</v>
      </c>
      <c r="S25" s="151" t="str">
        <f>TEXT('Table '!AM23,"jj mmm aa")</f>
        <v>18 nov 18</v>
      </c>
      <c r="T25" s="12"/>
      <c r="U25" s="12"/>
      <c r="V25" s="12">
        <f t="shared" si="13"/>
        <v>0</v>
      </c>
      <c r="W25" s="13">
        <f t="shared" si="4"/>
        <v>0</v>
      </c>
      <c r="X25" s="14">
        <f t="shared" si="5"/>
        <v>0</v>
      </c>
      <c r="Y25" s="21"/>
      <c r="Z25" s="131" t="str">
        <f t="shared" si="14"/>
        <v>D</v>
      </c>
      <c r="AA25" s="138" t="str">
        <f>TEXT('Table '!AM23,"jj mmm aa")</f>
        <v>18 nov 18</v>
      </c>
      <c r="AB25" s="18"/>
      <c r="AC25" s="18"/>
      <c r="AD25" s="18">
        <f t="shared" si="15"/>
        <v>0</v>
      </c>
      <c r="AE25" s="146">
        <f t="shared" si="6"/>
        <v>0</v>
      </c>
      <c r="AF25" s="20">
        <f t="shared" si="7"/>
        <v>0</v>
      </c>
    </row>
    <row r="26" spans="2:32" s="7" customFormat="1">
      <c r="B26" s="8" t="str">
        <f t="shared" si="8"/>
        <v>L</v>
      </c>
      <c r="C26" s="164" t="str">
        <f>TEXT('Table '!AM24,"jj mmm aa")</f>
        <v>19 nov 18</v>
      </c>
      <c r="D26" s="12"/>
      <c r="E26" s="12"/>
      <c r="F26" s="25">
        <f t="shared" si="9"/>
        <v>0</v>
      </c>
      <c r="G26" s="26">
        <f t="shared" si="0"/>
        <v>0</v>
      </c>
      <c r="H26" s="27">
        <f t="shared" si="1"/>
        <v>0</v>
      </c>
      <c r="I26" s="45"/>
      <c r="J26" s="8" t="str">
        <f t="shared" si="10"/>
        <v>L</v>
      </c>
      <c r="K26" s="151" t="str">
        <f>TEXT('Table '!AM24,"jj mmm aa")</f>
        <v>19 nov 18</v>
      </c>
      <c r="L26" s="25"/>
      <c r="M26" s="25"/>
      <c r="N26" s="25">
        <f t="shared" si="11"/>
        <v>0</v>
      </c>
      <c r="O26" s="26">
        <f t="shared" si="2"/>
        <v>0</v>
      </c>
      <c r="P26" s="27">
        <f t="shared" si="3"/>
        <v>0</v>
      </c>
      <c r="R26" s="8" t="str">
        <f t="shared" si="12"/>
        <v>L</v>
      </c>
      <c r="S26" s="151" t="str">
        <f>TEXT('Table '!AM24,"jj mmm aa")</f>
        <v>19 nov 18</v>
      </c>
      <c r="T26" s="12"/>
      <c r="U26" s="12"/>
      <c r="V26" s="12">
        <f t="shared" si="13"/>
        <v>0</v>
      </c>
      <c r="W26" s="13">
        <f t="shared" si="4"/>
        <v>0</v>
      </c>
      <c r="X26" s="14">
        <f t="shared" si="5"/>
        <v>0</v>
      </c>
      <c r="Y26" s="21"/>
      <c r="Z26" s="131" t="str">
        <f t="shared" si="14"/>
        <v>L</v>
      </c>
      <c r="AA26" s="138" t="str">
        <f>TEXT('Table '!AM24,"jj mmm aa")</f>
        <v>19 nov 18</v>
      </c>
      <c r="AB26" s="18"/>
      <c r="AC26" s="18"/>
      <c r="AD26" s="18">
        <f t="shared" si="15"/>
        <v>0</v>
      </c>
      <c r="AE26" s="146">
        <f t="shared" si="6"/>
        <v>0</v>
      </c>
      <c r="AF26" s="20">
        <f t="shared" si="7"/>
        <v>0</v>
      </c>
    </row>
    <row r="27" spans="2:32" s="7" customFormat="1">
      <c r="B27" s="8" t="str">
        <f t="shared" si="8"/>
        <v>M</v>
      </c>
      <c r="C27" s="164" t="str">
        <f>TEXT('Table '!AM25,"jj mmm aa")</f>
        <v>20 nov 18</v>
      </c>
      <c r="D27" s="12"/>
      <c r="E27" s="12"/>
      <c r="F27" s="25">
        <f t="shared" si="9"/>
        <v>0</v>
      </c>
      <c r="G27" s="26">
        <f t="shared" si="0"/>
        <v>0</v>
      </c>
      <c r="H27" s="27">
        <f t="shared" si="1"/>
        <v>0</v>
      </c>
      <c r="I27" s="45"/>
      <c r="J27" s="8" t="str">
        <f t="shared" si="10"/>
        <v>M</v>
      </c>
      <c r="K27" s="151" t="str">
        <f>TEXT('Table '!AM25,"jj mmm aa")</f>
        <v>20 nov 18</v>
      </c>
      <c r="L27" s="25"/>
      <c r="M27" s="25"/>
      <c r="N27" s="25">
        <f t="shared" si="11"/>
        <v>0</v>
      </c>
      <c r="O27" s="26">
        <f t="shared" si="2"/>
        <v>0</v>
      </c>
      <c r="P27" s="27">
        <f t="shared" si="3"/>
        <v>0</v>
      </c>
      <c r="R27" s="8" t="str">
        <f t="shared" si="12"/>
        <v>M</v>
      </c>
      <c r="S27" s="151" t="str">
        <f>TEXT('Table '!AM25,"jj mmm aa")</f>
        <v>20 nov 18</v>
      </c>
      <c r="T27" s="12"/>
      <c r="U27" s="12"/>
      <c r="V27" s="12">
        <f t="shared" si="13"/>
        <v>0</v>
      </c>
      <c r="W27" s="13">
        <f t="shared" si="4"/>
        <v>0</v>
      </c>
      <c r="X27" s="14">
        <f t="shared" si="5"/>
        <v>0</v>
      </c>
      <c r="Y27" s="21"/>
      <c r="Z27" s="131" t="str">
        <f t="shared" si="14"/>
        <v>M</v>
      </c>
      <c r="AA27" s="138" t="str">
        <f>TEXT('Table '!AM25,"jj mmm aa")</f>
        <v>20 nov 18</v>
      </c>
      <c r="AB27" s="18"/>
      <c r="AC27" s="18"/>
      <c r="AD27" s="18">
        <f t="shared" si="15"/>
        <v>0</v>
      </c>
      <c r="AE27" s="146">
        <f t="shared" si="6"/>
        <v>0</v>
      </c>
      <c r="AF27" s="20">
        <f t="shared" si="7"/>
        <v>0</v>
      </c>
    </row>
    <row r="28" spans="2:32" s="7" customFormat="1">
      <c r="B28" s="8" t="str">
        <f t="shared" si="8"/>
        <v>M</v>
      </c>
      <c r="C28" s="164" t="str">
        <f>TEXT('Table '!AM26,"jj mmm aa")</f>
        <v>21 nov 18</v>
      </c>
      <c r="D28" s="12"/>
      <c r="E28" s="12"/>
      <c r="F28" s="25">
        <f t="shared" si="9"/>
        <v>0</v>
      </c>
      <c r="G28" s="26">
        <f t="shared" si="0"/>
        <v>0</v>
      </c>
      <c r="H28" s="27">
        <f t="shared" si="1"/>
        <v>0</v>
      </c>
      <c r="I28" s="45"/>
      <c r="J28" s="8" t="str">
        <f t="shared" si="10"/>
        <v>M</v>
      </c>
      <c r="K28" s="151" t="str">
        <f>TEXT('Table '!AM26,"jj mmm aa")</f>
        <v>21 nov 18</v>
      </c>
      <c r="L28" s="25"/>
      <c r="M28" s="25"/>
      <c r="N28" s="25">
        <f t="shared" si="11"/>
        <v>0</v>
      </c>
      <c r="O28" s="26">
        <f t="shared" si="2"/>
        <v>0</v>
      </c>
      <c r="P28" s="27">
        <f t="shared" si="3"/>
        <v>0</v>
      </c>
      <c r="R28" s="8" t="str">
        <f t="shared" si="12"/>
        <v>M</v>
      </c>
      <c r="S28" s="151" t="str">
        <f>TEXT('Table '!AM26,"jj mmm aa")</f>
        <v>21 nov 18</v>
      </c>
      <c r="T28" s="12"/>
      <c r="U28" s="12"/>
      <c r="V28" s="12">
        <f t="shared" si="13"/>
        <v>0</v>
      </c>
      <c r="W28" s="13">
        <f t="shared" si="4"/>
        <v>0</v>
      </c>
      <c r="X28" s="14">
        <f t="shared" si="5"/>
        <v>0</v>
      </c>
      <c r="Y28" s="21"/>
      <c r="Z28" s="131" t="str">
        <f t="shared" si="14"/>
        <v>M</v>
      </c>
      <c r="AA28" s="138" t="str">
        <f>TEXT('Table '!AM26,"jj mmm aa")</f>
        <v>21 nov 18</v>
      </c>
      <c r="AB28" s="18"/>
      <c r="AC28" s="18"/>
      <c r="AD28" s="18">
        <f t="shared" si="15"/>
        <v>0</v>
      </c>
      <c r="AE28" s="146">
        <f t="shared" si="6"/>
        <v>0</v>
      </c>
      <c r="AF28" s="20">
        <f t="shared" si="7"/>
        <v>0</v>
      </c>
    </row>
    <row r="29" spans="2:32" s="7" customFormat="1">
      <c r="B29" s="8" t="str">
        <f t="shared" si="8"/>
        <v>J</v>
      </c>
      <c r="C29" s="164" t="str">
        <f>TEXT('Table '!AM27,"jj mmm aa")</f>
        <v>22 nov 18</v>
      </c>
      <c r="D29" s="12"/>
      <c r="E29" s="12"/>
      <c r="F29" s="25">
        <f t="shared" si="9"/>
        <v>0</v>
      </c>
      <c r="G29" s="26">
        <f t="shared" si="0"/>
        <v>0</v>
      </c>
      <c r="H29" s="27">
        <f t="shared" si="1"/>
        <v>0</v>
      </c>
      <c r="I29" s="45"/>
      <c r="J29" s="8" t="str">
        <f t="shared" si="10"/>
        <v>J</v>
      </c>
      <c r="K29" s="151" t="str">
        <f>TEXT('Table '!AM27,"jj mmm aa")</f>
        <v>22 nov 18</v>
      </c>
      <c r="L29" s="25"/>
      <c r="M29" s="25"/>
      <c r="N29" s="25">
        <f t="shared" si="11"/>
        <v>0</v>
      </c>
      <c r="O29" s="26">
        <f t="shared" si="2"/>
        <v>0</v>
      </c>
      <c r="P29" s="27">
        <f t="shared" si="3"/>
        <v>0</v>
      </c>
      <c r="R29" s="8" t="str">
        <f t="shared" si="12"/>
        <v>J</v>
      </c>
      <c r="S29" s="151" t="str">
        <f>TEXT('Table '!AM27,"jj mmm aa")</f>
        <v>22 nov 18</v>
      </c>
      <c r="T29" s="12"/>
      <c r="U29" s="12"/>
      <c r="V29" s="12">
        <f t="shared" si="13"/>
        <v>0</v>
      </c>
      <c r="W29" s="13">
        <f t="shared" si="4"/>
        <v>0</v>
      </c>
      <c r="X29" s="14">
        <f t="shared" si="5"/>
        <v>0</v>
      </c>
      <c r="Y29" s="21"/>
      <c r="Z29" s="131" t="str">
        <f t="shared" si="14"/>
        <v>J</v>
      </c>
      <c r="AA29" s="138" t="str">
        <f>TEXT('Table '!AM27,"jj mmm aa")</f>
        <v>22 nov 18</v>
      </c>
      <c r="AB29" s="18"/>
      <c r="AC29" s="18"/>
      <c r="AD29" s="18">
        <f t="shared" si="15"/>
        <v>0</v>
      </c>
      <c r="AE29" s="146">
        <f t="shared" si="6"/>
        <v>0</v>
      </c>
      <c r="AF29" s="20">
        <f t="shared" si="7"/>
        <v>0</v>
      </c>
    </row>
    <row r="30" spans="2:32" s="7" customFormat="1">
      <c r="B30" s="8" t="str">
        <f t="shared" si="8"/>
        <v>V</v>
      </c>
      <c r="C30" s="164" t="str">
        <f>TEXT('Table '!AM28,"jj mmm aa")</f>
        <v>23 nov 18</v>
      </c>
      <c r="D30" s="25"/>
      <c r="E30" s="25"/>
      <c r="F30" s="25">
        <f t="shared" si="9"/>
        <v>0</v>
      </c>
      <c r="G30" s="26">
        <f t="shared" si="0"/>
        <v>0</v>
      </c>
      <c r="H30" s="27">
        <f t="shared" si="1"/>
        <v>0</v>
      </c>
      <c r="I30" s="45"/>
      <c r="J30" s="8" t="str">
        <f t="shared" si="10"/>
        <v>V</v>
      </c>
      <c r="K30" s="151" t="str">
        <f>TEXT('Table '!AM28,"jj mmm aa")</f>
        <v>23 nov 18</v>
      </c>
      <c r="L30" s="25"/>
      <c r="M30" s="25"/>
      <c r="N30" s="25">
        <f t="shared" si="11"/>
        <v>0</v>
      </c>
      <c r="O30" s="26">
        <f t="shared" si="2"/>
        <v>0</v>
      </c>
      <c r="P30" s="27">
        <f t="shared" si="3"/>
        <v>0</v>
      </c>
      <c r="R30" s="8" t="str">
        <f t="shared" si="12"/>
        <v>V</v>
      </c>
      <c r="S30" s="151" t="str">
        <f>TEXT('Table '!AM28,"jj mmm aa")</f>
        <v>23 nov 18</v>
      </c>
      <c r="T30" s="12"/>
      <c r="U30" s="12"/>
      <c r="V30" s="12">
        <f t="shared" si="13"/>
        <v>0</v>
      </c>
      <c r="W30" s="13">
        <f t="shared" si="4"/>
        <v>0</v>
      </c>
      <c r="X30" s="14">
        <f t="shared" si="5"/>
        <v>0</v>
      </c>
      <c r="Y30" s="21"/>
      <c r="Z30" s="131" t="str">
        <f t="shared" si="14"/>
        <v>V</v>
      </c>
      <c r="AA30" s="138" t="str">
        <f>TEXT('Table '!AM28,"jj mmm aa")</f>
        <v>23 nov 18</v>
      </c>
      <c r="AB30" s="18"/>
      <c r="AC30" s="18"/>
      <c r="AD30" s="18">
        <f t="shared" si="15"/>
        <v>0</v>
      </c>
      <c r="AE30" s="146">
        <f t="shared" si="6"/>
        <v>0</v>
      </c>
      <c r="AF30" s="20">
        <f t="shared" si="7"/>
        <v>0</v>
      </c>
    </row>
    <row r="31" spans="2:32" s="7" customFormat="1">
      <c r="B31" s="8" t="str">
        <f t="shared" si="8"/>
        <v>S</v>
      </c>
      <c r="C31" s="164" t="str">
        <f>TEXT('Table '!AM29,"jj mmm aa")</f>
        <v>24 nov 18</v>
      </c>
      <c r="D31" s="25"/>
      <c r="E31" s="25"/>
      <c r="F31" s="25">
        <f t="shared" si="9"/>
        <v>0</v>
      </c>
      <c r="G31" s="26">
        <f t="shared" si="0"/>
        <v>0</v>
      </c>
      <c r="H31" s="27">
        <f t="shared" si="1"/>
        <v>0</v>
      </c>
      <c r="I31" s="45"/>
      <c r="J31" s="8" t="str">
        <f t="shared" si="10"/>
        <v>S</v>
      </c>
      <c r="K31" s="151" t="str">
        <f>TEXT('Table '!AM29,"jj mmm aa")</f>
        <v>24 nov 18</v>
      </c>
      <c r="L31" s="25"/>
      <c r="M31" s="25"/>
      <c r="N31" s="25">
        <f t="shared" si="11"/>
        <v>0</v>
      </c>
      <c r="O31" s="26">
        <f t="shared" si="2"/>
        <v>0</v>
      </c>
      <c r="P31" s="27">
        <f t="shared" si="3"/>
        <v>0</v>
      </c>
      <c r="R31" s="8" t="str">
        <f t="shared" si="12"/>
        <v>S</v>
      </c>
      <c r="S31" s="151" t="str">
        <f>TEXT('Table '!AM29,"jj mmm aa")</f>
        <v>24 nov 18</v>
      </c>
      <c r="T31" s="12"/>
      <c r="U31" s="12"/>
      <c r="V31" s="12">
        <f t="shared" si="13"/>
        <v>0</v>
      </c>
      <c r="W31" s="13">
        <f t="shared" si="4"/>
        <v>0</v>
      </c>
      <c r="X31" s="14">
        <f t="shared" si="5"/>
        <v>0</v>
      </c>
      <c r="Y31" s="21"/>
      <c r="Z31" s="131" t="str">
        <f t="shared" si="14"/>
        <v>S</v>
      </c>
      <c r="AA31" s="138" t="str">
        <f>TEXT('Table '!AM29,"jj mmm aa")</f>
        <v>24 nov 18</v>
      </c>
      <c r="AB31" s="18"/>
      <c r="AC31" s="18"/>
      <c r="AD31" s="18">
        <f t="shared" si="15"/>
        <v>0</v>
      </c>
      <c r="AE31" s="146">
        <f t="shared" si="6"/>
        <v>0</v>
      </c>
      <c r="AF31" s="20">
        <f t="shared" si="7"/>
        <v>0</v>
      </c>
    </row>
    <row r="32" spans="2:32" s="7" customFormat="1">
      <c r="B32" s="8" t="str">
        <f t="shared" si="8"/>
        <v>D</v>
      </c>
      <c r="C32" s="164" t="str">
        <f>TEXT('Table '!AM30,"jj mmm aa")</f>
        <v>25 nov 18</v>
      </c>
      <c r="D32" s="12"/>
      <c r="E32" s="12"/>
      <c r="F32" s="25">
        <f t="shared" si="9"/>
        <v>0</v>
      </c>
      <c r="G32" s="26">
        <f t="shared" si="0"/>
        <v>0</v>
      </c>
      <c r="H32" s="27">
        <f t="shared" si="1"/>
        <v>0</v>
      </c>
      <c r="I32" s="45"/>
      <c r="J32" s="8" t="str">
        <f t="shared" si="10"/>
        <v>D</v>
      </c>
      <c r="K32" s="151" t="str">
        <f>TEXT('Table '!AM30,"jj mmm aa")</f>
        <v>25 nov 18</v>
      </c>
      <c r="L32" s="25"/>
      <c r="M32" s="25"/>
      <c r="N32" s="25">
        <f t="shared" si="11"/>
        <v>0</v>
      </c>
      <c r="O32" s="26">
        <f t="shared" si="2"/>
        <v>0</v>
      </c>
      <c r="P32" s="27">
        <f t="shared" si="3"/>
        <v>0</v>
      </c>
      <c r="R32" s="8" t="str">
        <f t="shared" si="12"/>
        <v>D</v>
      </c>
      <c r="S32" s="151" t="str">
        <f>TEXT('Table '!AM30,"jj mmm aa")</f>
        <v>25 nov 18</v>
      </c>
      <c r="T32" s="12"/>
      <c r="U32" s="12"/>
      <c r="V32" s="12">
        <f t="shared" si="13"/>
        <v>0</v>
      </c>
      <c r="W32" s="13">
        <f t="shared" si="4"/>
        <v>0</v>
      </c>
      <c r="X32" s="14">
        <f t="shared" si="5"/>
        <v>0</v>
      </c>
      <c r="Y32" s="21"/>
      <c r="Z32" s="131" t="str">
        <f t="shared" si="14"/>
        <v>D</v>
      </c>
      <c r="AA32" s="138" t="str">
        <f>TEXT('Table '!AM30,"jj mmm aa")</f>
        <v>25 nov 18</v>
      </c>
      <c r="AB32" s="18"/>
      <c r="AC32" s="18"/>
      <c r="AD32" s="18">
        <f t="shared" si="15"/>
        <v>0</v>
      </c>
      <c r="AE32" s="146">
        <f t="shared" si="6"/>
        <v>0</v>
      </c>
      <c r="AF32" s="20">
        <f t="shared" si="7"/>
        <v>0</v>
      </c>
    </row>
    <row r="33" spans="2:32" s="7" customFormat="1">
      <c r="B33" s="8" t="str">
        <f t="shared" si="8"/>
        <v>L</v>
      </c>
      <c r="C33" s="164" t="str">
        <f>TEXT('Table '!AM31,"jj mmm aa")</f>
        <v>26 nov 18</v>
      </c>
      <c r="D33" s="12"/>
      <c r="E33" s="12"/>
      <c r="F33" s="25">
        <f t="shared" si="9"/>
        <v>0</v>
      </c>
      <c r="G33" s="26">
        <f t="shared" si="0"/>
        <v>0</v>
      </c>
      <c r="H33" s="27">
        <f t="shared" si="1"/>
        <v>0</v>
      </c>
      <c r="I33" s="45"/>
      <c r="J33" s="8" t="str">
        <f t="shared" si="10"/>
        <v>L</v>
      </c>
      <c r="K33" s="151" t="str">
        <f>TEXT('Table '!AM31,"jj mmm aa")</f>
        <v>26 nov 18</v>
      </c>
      <c r="L33" s="12"/>
      <c r="M33" s="12"/>
      <c r="N33" s="25">
        <f t="shared" si="11"/>
        <v>0</v>
      </c>
      <c r="O33" s="26">
        <f t="shared" si="2"/>
        <v>0</v>
      </c>
      <c r="P33" s="27">
        <f t="shared" si="3"/>
        <v>0</v>
      </c>
      <c r="R33" s="8" t="str">
        <f t="shared" si="12"/>
        <v>L</v>
      </c>
      <c r="S33" s="151" t="str">
        <f>TEXT('Table '!AM31,"jj mmm aa")</f>
        <v>26 nov 18</v>
      </c>
      <c r="T33" s="12"/>
      <c r="U33" s="12"/>
      <c r="V33" s="12">
        <f t="shared" si="13"/>
        <v>0</v>
      </c>
      <c r="W33" s="13">
        <f t="shared" si="4"/>
        <v>0</v>
      </c>
      <c r="X33" s="14">
        <f t="shared" si="5"/>
        <v>0</v>
      </c>
      <c r="Y33" s="21"/>
      <c r="Z33" s="131" t="str">
        <f t="shared" si="14"/>
        <v>L</v>
      </c>
      <c r="AA33" s="138" t="str">
        <f>TEXT('Table '!AM31,"jj mmm aa")</f>
        <v>26 nov 18</v>
      </c>
      <c r="AB33" s="18"/>
      <c r="AC33" s="18"/>
      <c r="AD33" s="18">
        <f t="shared" si="15"/>
        <v>0</v>
      </c>
      <c r="AE33" s="146">
        <f t="shared" si="6"/>
        <v>0</v>
      </c>
      <c r="AF33" s="20">
        <f t="shared" si="7"/>
        <v>0</v>
      </c>
    </row>
    <row r="34" spans="2:32" s="7" customFormat="1">
      <c r="B34" s="8" t="str">
        <f t="shared" si="8"/>
        <v>M</v>
      </c>
      <c r="C34" s="164" t="str">
        <f>TEXT('Table '!AM32,"jj mmm aa")</f>
        <v>27 nov 18</v>
      </c>
      <c r="D34" s="12"/>
      <c r="E34" s="12"/>
      <c r="F34" s="25">
        <f t="shared" si="9"/>
        <v>0</v>
      </c>
      <c r="G34" s="26">
        <f t="shared" si="0"/>
        <v>0</v>
      </c>
      <c r="H34" s="27">
        <f t="shared" si="1"/>
        <v>0</v>
      </c>
      <c r="I34" s="45"/>
      <c r="J34" s="8" t="str">
        <f t="shared" si="10"/>
        <v>M</v>
      </c>
      <c r="K34" s="151" t="str">
        <f>TEXT('Table '!AM32,"jj mmm aa")</f>
        <v>27 nov 18</v>
      </c>
      <c r="L34" s="12"/>
      <c r="M34" s="12"/>
      <c r="N34" s="25">
        <f t="shared" si="11"/>
        <v>0</v>
      </c>
      <c r="O34" s="26">
        <f t="shared" si="2"/>
        <v>0</v>
      </c>
      <c r="P34" s="27">
        <f t="shared" si="3"/>
        <v>0</v>
      </c>
      <c r="R34" s="8" t="str">
        <f t="shared" si="12"/>
        <v>M</v>
      </c>
      <c r="S34" s="151" t="str">
        <f>TEXT('Table '!AM32,"jj mmm aa")</f>
        <v>27 nov 18</v>
      </c>
      <c r="T34" s="12"/>
      <c r="U34" s="12"/>
      <c r="V34" s="12">
        <f t="shared" si="13"/>
        <v>0</v>
      </c>
      <c r="W34" s="13">
        <f t="shared" si="4"/>
        <v>0</v>
      </c>
      <c r="X34" s="14">
        <f t="shared" si="5"/>
        <v>0</v>
      </c>
      <c r="Y34" s="21"/>
      <c r="Z34" s="131" t="str">
        <f t="shared" si="14"/>
        <v>M</v>
      </c>
      <c r="AA34" s="138" t="str">
        <f>TEXT('Table '!AM32,"jj mmm aa")</f>
        <v>27 nov 18</v>
      </c>
      <c r="AB34" s="18"/>
      <c r="AC34" s="18"/>
      <c r="AD34" s="18">
        <f t="shared" si="15"/>
        <v>0</v>
      </c>
      <c r="AE34" s="146">
        <f t="shared" si="6"/>
        <v>0</v>
      </c>
      <c r="AF34" s="20">
        <f t="shared" si="7"/>
        <v>0</v>
      </c>
    </row>
    <row r="35" spans="2:32" s="7" customFormat="1">
      <c r="B35" s="8" t="str">
        <f t="shared" si="8"/>
        <v>M</v>
      </c>
      <c r="C35" s="164" t="str">
        <f>TEXT('Table '!AM33,"jj mmm aa")</f>
        <v>28 nov 18</v>
      </c>
      <c r="D35" s="12"/>
      <c r="E35" s="12"/>
      <c r="F35" s="25">
        <f t="shared" si="9"/>
        <v>0</v>
      </c>
      <c r="G35" s="26">
        <f t="shared" si="0"/>
        <v>0</v>
      </c>
      <c r="H35" s="27">
        <f t="shared" si="1"/>
        <v>0</v>
      </c>
      <c r="I35" s="45"/>
      <c r="J35" s="8" t="str">
        <f t="shared" si="10"/>
        <v>M</v>
      </c>
      <c r="K35" s="151" t="str">
        <f>TEXT('Table '!AM33,"jj mmm aa")</f>
        <v>28 nov 18</v>
      </c>
      <c r="L35" s="12"/>
      <c r="M35" s="12"/>
      <c r="N35" s="25">
        <f t="shared" si="11"/>
        <v>0</v>
      </c>
      <c r="O35" s="26">
        <f t="shared" si="2"/>
        <v>0</v>
      </c>
      <c r="P35" s="27">
        <f t="shared" si="3"/>
        <v>0</v>
      </c>
      <c r="R35" s="8" t="str">
        <f t="shared" si="12"/>
        <v>M</v>
      </c>
      <c r="S35" s="151" t="str">
        <f>TEXT('Table '!AM33,"jj mmm aa")</f>
        <v>28 nov 18</v>
      </c>
      <c r="T35" s="12"/>
      <c r="U35" s="12"/>
      <c r="V35" s="12">
        <f t="shared" si="13"/>
        <v>0</v>
      </c>
      <c r="W35" s="13">
        <f t="shared" si="4"/>
        <v>0</v>
      </c>
      <c r="X35" s="14">
        <f t="shared" si="5"/>
        <v>0</v>
      </c>
      <c r="Y35" s="21"/>
      <c r="Z35" s="131" t="str">
        <f t="shared" si="14"/>
        <v>M</v>
      </c>
      <c r="AA35" s="138" t="str">
        <f>TEXT('Table '!AM33,"jj mmm aa")</f>
        <v>28 nov 18</v>
      </c>
      <c r="AB35" s="18"/>
      <c r="AC35" s="18"/>
      <c r="AD35" s="18">
        <f t="shared" si="15"/>
        <v>0</v>
      </c>
      <c r="AE35" s="146">
        <f t="shared" si="6"/>
        <v>0</v>
      </c>
      <c r="AF35" s="20">
        <f t="shared" si="7"/>
        <v>0</v>
      </c>
    </row>
    <row r="36" spans="2:32" s="7" customFormat="1">
      <c r="B36" s="8" t="str">
        <f t="shared" si="8"/>
        <v>J</v>
      </c>
      <c r="C36" s="164" t="str">
        <f>TEXT('Table '!AM34,"jj mmm aa")</f>
        <v>29 nov 18</v>
      </c>
      <c r="D36" s="12"/>
      <c r="E36" s="12"/>
      <c r="F36" s="25">
        <f t="shared" si="9"/>
        <v>0</v>
      </c>
      <c r="G36" s="26">
        <f t="shared" si="0"/>
        <v>0</v>
      </c>
      <c r="H36" s="27">
        <f t="shared" si="1"/>
        <v>0</v>
      </c>
      <c r="I36" s="45"/>
      <c r="J36" s="8" t="str">
        <f t="shared" si="10"/>
        <v>J</v>
      </c>
      <c r="K36" s="151" t="str">
        <f>TEXT('Table '!AM34,"jj mmm aa")</f>
        <v>29 nov 18</v>
      </c>
      <c r="L36" s="12"/>
      <c r="M36" s="12"/>
      <c r="N36" s="25">
        <f t="shared" si="11"/>
        <v>0</v>
      </c>
      <c r="O36" s="26">
        <f t="shared" si="2"/>
        <v>0</v>
      </c>
      <c r="P36" s="27">
        <f t="shared" si="3"/>
        <v>0</v>
      </c>
      <c r="R36" s="8" t="str">
        <f t="shared" si="12"/>
        <v>J</v>
      </c>
      <c r="S36" s="151" t="str">
        <f>TEXT('Table '!AM34,"jj mmm aa")</f>
        <v>29 nov 18</v>
      </c>
      <c r="T36" s="12"/>
      <c r="U36" s="12"/>
      <c r="V36" s="12">
        <f t="shared" si="13"/>
        <v>0</v>
      </c>
      <c r="W36" s="13">
        <f t="shared" si="4"/>
        <v>0</v>
      </c>
      <c r="X36" s="14">
        <f t="shared" si="5"/>
        <v>0</v>
      </c>
      <c r="Y36" s="21"/>
      <c r="Z36" s="131" t="str">
        <f t="shared" si="14"/>
        <v>J</v>
      </c>
      <c r="AA36" s="138" t="str">
        <f>TEXT('Table '!AM34,"jj mmm aa")</f>
        <v>29 nov 18</v>
      </c>
      <c r="AB36" s="18"/>
      <c r="AC36" s="18"/>
      <c r="AD36" s="18">
        <f t="shared" si="15"/>
        <v>0</v>
      </c>
      <c r="AE36" s="146">
        <f t="shared" si="6"/>
        <v>0</v>
      </c>
      <c r="AF36" s="20">
        <f t="shared" si="7"/>
        <v>0</v>
      </c>
    </row>
    <row r="37" spans="2:32" s="7" customFormat="1">
      <c r="B37" s="8" t="str">
        <f t="shared" si="8"/>
        <v>V</v>
      </c>
      <c r="C37" s="164" t="str">
        <f>TEXT('Table '!AM35,"jj mmm aa")</f>
        <v>30 nov 18</v>
      </c>
      <c r="D37" s="25"/>
      <c r="E37" s="25"/>
      <c r="F37" s="25">
        <f t="shared" si="9"/>
        <v>0</v>
      </c>
      <c r="G37" s="26">
        <f t="shared" ref="G37" si="16">IF(F37&gt;=$F$1,1,0)</f>
        <v>0</v>
      </c>
      <c r="H37" s="27">
        <f t="shared" ref="H37" si="17">IF(F37&lt;$F$1,F37,0)</f>
        <v>0</v>
      </c>
      <c r="I37" s="45"/>
      <c r="J37" s="8" t="str">
        <f t="shared" si="10"/>
        <v>V</v>
      </c>
      <c r="K37" s="151" t="str">
        <f>TEXT('Table '!AM35,"jj mmm aa")</f>
        <v>30 nov 18</v>
      </c>
      <c r="L37" s="25"/>
      <c r="M37" s="25"/>
      <c r="N37" s="25">
        <f t="shared" si="11"/>
        <v>0</v>
      </c>
      <c r="O37" s="26">
        <f t="shared" si="2"/>
        <v>0</v>
      </c>
      <c r="P37" s="27">
        <f t="shared" si="3"/>
        <v>0</v>
      </c>
      <c r="R37" s="8" t="str">
        <f t="shared" si="12"/>
        <v>V</v>
      </c>
      <c r="S37" s="151" t="str">
        <f>TEXT('Table '!AM35,"jj mmm aa")</f>
        <v>30 nov 18</v>
      </c>
      <c r="T37" s="12"/>
      <c r="U37" s="12"/>
      <c r="V37" s="12">
        <f t="shared" si="13"/>
        <v>0</v>
      </c>
      <c r="W37" s="13">
        <f t="shared" si="4"/>
        <v>0</v>
      </c>
      <c r="X37" s="14">
        <f t="shared" si="5"/>
        <v>0</v>
      </c>
      <c r="Y37" s="21"/>
      <c r="Z37" s="131" t="str">
        <f t="shared" si="14"/>
        <v>V</v>
      </c>
      <c r="AA37" s="138" t="str">
        <f>TEXT('Table '!AM35,"jj mmm aa")</f>
        <v>30 nov 18</v>
      </c>
      <c r="AB37" s="18"/>
      <c r="AC37" s="18"/>
      <c r="AD37" s="18">
        <f t="shared" si="15"/>
        <v>0</v>
      </c>
      <c r="AE37" s="146">
        <f t="shared" si="6"/>
        <v>0</v>
      </c>
      <c r="AF37" s="20">
        <f t="shared" si="7"/>
        <v>0</v>
      </c>
    </row>
    <row r="38" spans="2:32" s="7" customFormat="1" ht="15.75" thickBot="1">
      <c r="B38" s="8"/>
      <c r="C38" s="164"/>
      <c r="D38" s="156"/>
      <c r="E38" s="156"/>
      <c r="F38" s="156"/>
      <c r="G38" s="157"/>
      <c r="H38" s="158"/>
      <c r="I38" s="21"/>
      <c r="J38" s="8"/>
      <c r="K38" s="151"/>
      <c r="L38" s="156"/>
      <c r="M38" s="156"/>
      <c r="N38" s="156">
        <f t="shared" si="11"/>
        <v>0</v>
      </c>
      <c r="O38" s="157">
        <f t="shared" si="2"/>
        <v>0</v>
      </c>
      <c r="P38" s="158">
        <f t="shared" si="3"/>
        <v>0</v>
      </c>
      <c r="Q38" s="21"/>
      <c r="R38" s="8"/>
      <c r="S38" s="151"/>
      <c r="T38" s="156"/>
      <c r="U38" s="156"/>
      <c r="V38" s="156">
        <f t="shared" si="13"/>
        <v>0</v>
      </c>
      <c r="W38" s="157">
        <f t="shared" si="4"/>
        <v>0</v>
      </c>
      <c r="X38" s="158">
        <f t="shared" si="5"/>
        <v>0</v>
      </c>
      <c r="Y38" s="21"/>
      <c r="Z38" s="131"/>
      <c r="AA38" s="138"/>
      <c r="AB38" s="156"/>
      <c r="AC38" s="156"/>
      <c r="AD38" s="156">
        <f t="shared" si="15"/>
        <v>0</v>
      </c>
      <c r="AE38" s="157">
        <f t="shared" si="6"/>
        <v>0</v>
      </c>
      <c r="AF38" s="158">
        <f t="shared" si="7"/>
        <v>0</v>
      </c>
    </row>
    <row r="39" spans="2:32" s="7" customFormat="1" ht="19.5" thickTop="1">
      <c r="B39" s="127"/>
      <c r="C39" s="62"/>
      <c r="D39" s="62"/>
      <c r="E39" s="63" t="s">
        <v>9</v>
      </c>
      <c r="F39" s="62"/>
      <c r="G39" s="64">
        <f>SUM(G8:G38)</f>
        <v>0</v>
      </c>
      <c r="H39" s="65"/>
      <c r="J39" s="127"/>
      <c r="K39" s="62"/>
      <c r="L39" s="62"/>
      <c r="M39" s="63" t="s">
        <v>9</v>
      </c>
      <c r="N39" s="62"/>
      <c r="O39" s="64">
        <f>SUM(O8:O38)</f>
        <v>0</v>
      </c>
      <c r="P39" s="65"/>
      <c r="R39" s="127"/>
      <c r="S39" s="62"/>
      <c r="T39" s="62"/>
      <c r="U39" s="63" t="s">
        <v>9</v>
      </c>
      <c r="V39" s="62"/>
      <c r="W39" s="64">
        <f>SUM(W8:W38)</f>
        <v>0</v>
      </c>
      <c r="X39" s="65"/>
      <c r="Z39" s="127"/>
      <c r="AA39" s="62"/>
      <c r="AB39" s="62"/>
      <c r="AC39" s="63" t="s">
        <v>9</v>
      </c>
      <c r="AD39" s="62"/>
      <c r="AE39" s="64">
        <f>SUM(AE8:AE23)</f>
        <v>0</v>
      </c>
      <c r="AF39" s="65"/>
    </row>
    <row r="40" spans="2:32" s="36" customFormat="1" ht="18.75">
      <c r="B40" s="128"/>
      <c r="C40" s="33"/>
      <c r="D40" s="33"/>
      <c r="E40" s="34" t="s">
        <v>10</v>
      </c>
      <c r="F40" s="33"/>
      <c r="G40" s="35"/>
      <c r="H40" s="32">
        <f>SUM(H8:H38)*24</f>
        <v>0</v>
      </c>
      <c r="J40" s="128"/>
      <c r="K40" s="33"/>
      <c r="L40" s="33"/>
      <c r="M40" s="34" t="s">
        <v>10</v>
      </c>
      <c r="N40" s="33"/>
      <c r="O40" s="35"/>
      <c r="P40" s="32">
        <f>SUM(P8:P38)*24</f>
        <v>0</v>
      </c>
      <c r="R40" s="128"/>
      <c r="S40" s="33"/>
      <c r="T40" s="33"/>
      <c r="U40" s="34" t="s">
        <v>10</v>
      </c>
      <c r="V40" s="33"/>
      <c r="W40" s="35"/>
      <c r="X40" s="32">
        <f>SUM(X8:X38)*24</f>
        <v>0</v>
      </c>
      <c r="Z40" s="128"/>
      <c r="AA40" s="33"/>
      <c r="AB40" s="33"/>
      <c r="AC40" s="34" t="s">
        <v>10</v>
      </c>
      <c r="AD40" s="33"/>
      <c r="AE40" s="35"/>
      <c r="AF40" s="32">
        <f>SUM(AF8:AF32)*24</f>
        <v>0</v>
      </c>
    </row>
    <row r="41" spans="2:32" s="7" customFormat="1" ht="15.75" thickBot="1">
      <c r="B41" s="129"/>
      <c r="C41" s="16"/>
      <c r="D41" s="16"/>
      <c r="E41" s="16"/>
      <c r="F41" s="16"/>
      <c r="G41" s="16"/>
      <c r="H41" s="17"/>
      <c r="J41" s="129"/>
      <c r="K41" s="16"/>
      <c r="L41" s="16"/>
      <c r="M41" s="16"/>
      <c r="N41" s="16"/>
      <c r="O41" s="16"/>
      <c r="P41" s="17"/>
      <c r="R41" s="129"/>
      <c r="S41" s="16"/>
      <c r="T41" s="16"/>
      <c r="U41" s="16"/>
      <c r="V41" s="16"/>
      <c r="W41" s="16"/>
      <c r="X41" s="17"/>
      <c r="Z41" s="129"/>
      <c r="AA41" s="16"/>
      <c r="AB41" s="16"/>
      <c r="AC41" s="16"/>
      <c r="AD41" s="16"/>
      <c r="AE41" s="16"/>
      <c r="AF41" s="17"/>
    </row>
    <row r="42" spans="2:32" ht="15.75" thickTop="1"/>
  </sheetData>
  <mergeCells count="4">
    <mergeCell ref="B5:H6"/>
    <mergeCell ref="J5:P6"/>
    <mergeCell ref="R5:X6"/>
    <mergeCell ref="Z5:AF6"/>
  </mergeCells>
  <conditionalFormatting sqref="B8:H38 J8:P38 R8:X38 Z8:AF38">
    <cfRule type="expression" dxfId="5" priority="2">
      <formula>AND($B8="D")</formula>
    </cfRule>
    <cfRule type="expression" dxfId="4" priority="3">
      <formula>AND($B8="S")</formula>
    </cfRule>
    <cfRule type="expression" dxfId="3" priority="1">
      <formula>COUNTIF(Feries,$C8)&gt;0</formula>
    </cfRule>
  </conditionalFormatting>
  <pageMargins left="0.7" right="0.7" top="0.75" bottom="0.75" header="0.3" footer="0.3"/>
  <pageSetup paperSize="9" orientation="portrait" horizontalDpi="4294967294" verticalDpi="4294967294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3">
    <tabColor rgb="FFFFFFCC"/>
  </sheetPr>
  <dimension ref="B1:AF42"/>
  <sheetViews>
    <sheetView showGridLines="0" workbookViewId="0">
      <selection activeCell="L3" sqref="L3"/>
    </sheetView>
  </sheetViews>
  <sheetFormatPr baseColWidth="10" defaultRowHeight="15"/>
  <cols>
    <col min="1" max="1" width="1" customWidth="1"/>
    <col min="2" max="2" width="3.7109375" customWidth="1"/>
    <col min="3" max="8" width="9.5703125" style="1" customWidth="1"/>
    <col min="9" max="9" width="1.7109375" customWidth="1"/>
    <col min="10" max="10" width="3.7109375" customWidth="1"/>
    <col min="11" max="16" width="9.5703125" customWidth="1"/>
    <col min="17" max="17" width="1.7109375" customWidth="1"/>
    <col min="18" max="18" width="3.7109375" customWidth="1"/>
    <col min="19" max="24" width="9.5703125" customWidth="1"/>
    <col min="25" max="25" width="1.7109375" customWidth="1"/>
    <col min="26" max="26" width="3.7109375" customWidth="1"/>
    <col min="27" max="32" width="9.5703125" customWidth="1"/>
  </cols>
  <sheetData>
    <row r="1" spans="2:32">
      <c r="C1" s="56" t="s">
        <v>0</v>
      </c>
      <c r="D1" s="56"/>
      <c r="E1" s="56"/>
      <c r="F1" s="57">
        <v>0.33333333333333331</v>
      </c>
      <c r="G1" s="56" t="s">
        <v>1</v>
      </c>
      <c r="H1" s="56"/>
      <c r="L1" s="165"/>
      <c r="M1" s="165"/>
      <c r="N1" s="165"/>
    </row>
    <row r="2" spans="2:32">
      <c r="C2" s="56" t="s">
        <v>2</v>
      </c>
      <c r="D2" s="57">
        <v>0.33333333333333331</v>
      </c>
      <c r="E2" s="56" t="s">
        <v>3</v>
      </c>
      <c r="F2" s="56"/>
      <c r="G2" s="56"/>
      <c r="H2" s="56"/>
      <c r="L2" s="165"/>
      <c r="M2" s="165"/>
      <c r="N2" s="165"/>
    </row>
    <row r="3" spans="2:32">
      <c r="C3" s="56"/>
      <c r="D3" s="56"/>
      <c r="E3" s="56"/>
      <c r="F3" s="56"/>
      <c r="G3" s="56"/>
      <c r="H3" s="56"/>
      <c r="L3" s="165"/>
      <c r="M3" s="165"/>
      <c r="N3" s="165"/>
    </row>
    <row r="4" spans="2:32" ht="15.75" thickBot="1">
      <c r="C4" s="6"/>
    </row>
    <row r="5" spans="2:32" s="7" customFormat="1" ht="15.75" customHeight="1" thickTop="1">
      <c r="B5" s="338">
        <f>'Table '!C3</f>
        <v>1</v>
      </c>
      <c r="C5" s="339"/>
      <c r="D5" s="339"/>
      <c r="E5" s="339"/>
      <c r="F5" s="339"/>
      <c r="G5" s="339"/>
      <c r="H5" s="340"/>
      <c r="J5" s="344">
        <f>'Table '!G3</f>
        <v>2</v>
      </c>
      <c r="K5" s="345"/>
      <c r="L5" s="345" t="e">
        <f>'Table '!#REF!</f>
        <v>#REF!</v>
      </c>
      <c r="M5" s="345"/>
      <c r="N5" s="345"/>
      <c r="O5" s="345"/>
      <c r="P5" s="346"/>
      <c r="R5" s="350">
        <f>'Table '!C6</f>
        <v>3</v>
      </c>
      <c r="S5" s="351"/>
      <c r="T5" s="351" t="e">
        <f>'Table '!#REF!</f>
        <v>#REF!</v>
      </c>
      <c r="U5" s="351"/>
      <c r="V5" s="351"/>
      <c r="W5" s="351"/>
      <c r="X5" s="352"/>
      <c r="Z5" s="356">
        <f>'Table '!G6</f>
        <v>4</v>
      </c>
      <c r="AA5" s="357"/>
      <c r="AB5" s="357" t="e">
        <f>'Table '!#REF!</f>
        <v>#REF!</v>
      </c>
      <c r="AC5" s="357"/>
      <c r="AD5" s="357"/>
      <c r="AE5" s="357"/>
      <c r="AF5" s="358"/>
    </row>
    <row r="6" spans="2:32" s="7" customFormat="1" ht="15" customHeight="1">
      <c r="B6" s="341"/>
      <c r="C6" s="342"/>
      <c r="D6" s="342"/>
      <c r="E6" s="342"/>
      <c r="F6" s="342"/>
      <c r="G6" s="342"/>
      <c r="H6" s="343"/>
      <c r="J6" s="347"/>
      <c r="K6" s="348"/>
      <c r="L6" s="348"/>
      <c r="M6" s="348"/>
      <c r="N6" s="348"/>
      <c r="O6" s="348"/>
      <c r="P6" s="349"/>
      <c r="R6" s="353"/>
      <c r="S6" s="354"/>
      <c r="T6" s="354"/>
      <c r="U6" s="354"/>
      <c r="V6" s="354"/>
      <c r="W6" s="354"/>
      <c r="X6" s="355"/>
      <c r="Z6" s="359"/>
      <c r="AA6" s="360"/>
      <c r="AB6" s="360"/>
      <c r="AC6" s="360"/>
      <c r="AD6" s="360"/>
      <c r="AE6" s="360"/>
      <c r="AF6" s="361"/>
    </row>
    <row r="7" spans="2:32" s="11" customFormat="1" ht="39" customHeight="1">
      <c r="B7" s="8"/>
      <c r="C7" s="15"/>
      <c r="D7" s="9" t="s">
        <v>4</v>
      </c>
      <c r="E7" s="9" t="s">
        <v>5</v>
      </c>
      <c r="F7" s="9" t="s">
        <v>6</v>
      </c>
      <c r="G7" s="9" t="s">
        <v>7</v>
      </c>
      <c r="H7" s="10" t="s">
        <v>8</v>
      </c>
      <c r="J7" s="8"/>
      <c r="K7" s="15"/>
      <c r="L7" s="9" t="s">
        <v>4</v>
      </c>
      <c r="M7" s="9" t="s">
        <v>5</v>
      </c>
      <c r="N7" s="9" t="s">
        <v>6</v>
      </c>
      <c r="O7" s="9" t="s">
        <v>7</v>
      </c>
      <c r="P7" s="10" t="s">
        <v>8</v>
      </c>
      <c r="R7" s="8"/>
      <c r="S7" s="15"/>
      <c r="T7" s="9" t="s">
        <v>4</v>
      </c>
      <c r="U7" s="9" t="s">
        <v>5</v>
      </c>
      <c r="V7" s="9" t="s">
        <v>6</v>
      </c>
      <c r="W7" s="9" t="s">
        <v>7</v>
      </c>
      <c r="X7" s="10" t="s">
        <v>8</v>
      </c>
      <c r="Z7" s="8"/>
      <c r="AA7" s="15"/>
      <c r="AB7" s="9" t="s">
        <v>4</v>
      </c>
      <c r="AC7" s="9" t="s">
        <v>5</v>
      </c>
      <c r="AD7" s="9" t="s">
        <v>6</v>
      </c>
      <c r="AE7" s="9" t="s">
        <v>7</v>
      </c>
      <c r="AF7" s="10" t="s">
        <v>8</v>
      </c>
    </row>
    <row r="8" spans="2:32" s="7" customFormat="1">
      <c r="B8" s="8" t="str">
        <f>CHOOSE(WEEKDAY(C8),"D","L","M","M","J","V","S")</f>
        <v>S</v>
      </c>
      <c r="C8" s="164" t="str">
        <f>TEXT('Table '!AN6,"jj mmm aa")</f>
        <v>01 déc 18</v>
      </c>
      <c r="D8" s="12"/>
      <c r="E8" s="12"/>
      <c r="F8" s="12">
        <f>E8-D8</f>
        <v>0</v>
      </c>
      <c r="G8" s="13">
        <f t="shared" ref="G8:G36" si="0">IF(F8&gt;=$F$1,1,0)</f>
        <v>0</v>
      </c>
      <c r="H8" s="14">
        <f t="shared" ref="H8:H36" si="1">IF(F8&lt;$F$1,F8,0)</f>
        <v>0</v>
      </c>
      <c r="J8" s="8" t="str">
        <f>CHOOSE(WEEKDAY(C8),"D","L","M","M","J","V","S")</f>
        <v>S</v>
      </c>
      <c r="K8" s="151" t="str">
        <f>TEXT('Table '!AN6,"jj mmm aa")</f>
        <v>01 déc 18</v>
      </c>
      <c r="L8" s="12"/>
      <c r="M8" s="12"/>
      <c r="N8" s="12">
        <f>M8-L8</f>
        <v>0</v>
      </c>
      <c r="O8" s="13">
        <f t="shared" ref="O8:O38" si="2">IF(N8&gt;=$F$1,1,0)</f>
        <v>0</v>
      </c>
      <c r="P8" s="14">
        <f t="shared" ref="P8:P38" si="3">IF(N8&lt;$F$1,N8,0)</f>
        <v>0</v>
      </c>
      <c r="R8" s="8" t="str">
        <f>CHOOSE(WEEKDAY(C8),"D","L","M","M","J","V","S")</f>
        <v>S</v>
      </c>
      <c r="S8" s="151" t="str">
        <f>TEXT('Table '!AN6,"jj mmm aa")</f>
        <v>01 déc 18</v>
      </c>
      <c r="T8" s="12"/>
      <c r="U8" s="12"/>
      <c r="V8" s="12">
        <f>U8-T8</f>
        <v>0</v>
      </c>
      <c r="W8" s="13">
        <f t="shared" ref="W8:W38" si="4">IF(V8&gt;=$F$1,1,0)</f>
        <v>0</v>
      </c>
      <c r="X8" s="14">
        <f t="shared" ref="X8:X38" si="5">IF(V8&lt;$F$1,V8,0)</f>
        <v>0</v>
      </c>
      <c r="Y8" s="21"/>
      <c r="Z8" s="131" t="str">
        <f>CHOOSE(WEEKDAY(C8),"D","L","M","M","J","V","S")</f>
        <v>S</v>
      </c>
      <c r="AA8" s="138" t="str">
        <f>TEXT('Table '!AN6,"jj mmm aa")</f>
        <v>01 déc 18</v>
      </c>
      <c r="AB8" s="18"/>
      <c r="AC8" s="18"/>
      <c r="AD8" s="18">
        <f>AC8-AB8</f>
        <v>0</v>
      </c>
      <c r="AE8" s="146">
        <f t="shared" ref="AE8:AE38" si="6">IF(AD8&gt;=$F$1,1,0)</f>
        <v>0</v>
      </c>
      <c r="AF8" s="20">
        <f t="shared" ref="AF8:AF38" si="7">IF(AD8&lt;$F$1,AD8,0)</f>
        <v>0</v>
      </c>
    </row>
    <row r="9" spans="2:32" s="7" customFormat="1">
      <c r="B9" s="8" t="str">
        <f t="shared" ref="B9:B38" si="8">CHOOSE(WEEKDAY(C9),"D","L","M","M","J","V","S")</f>
        <v>D</v>
      </c>
      <c r="C9" s="164" t="str">
        <f>TEXT('Table '!AN7,"jj mmm aa")</f>
        <v>02 déc 18</v>
      </c>
      <c r="D9" s="12"/>
      <c r="E9" s="12"/>
      <c r="F9" s="12">
        <f t="shared" ref="F9:F38" si="9">E9-D9</f>
        <v>0</v>
      </c>
      <c r="G9" s="13">
        <f t="shared" si="0"/>
        <v>0</v>
      </c>
      <c r="H9" s="14">
        <f t="shared" si="1"/>
        <v>0</v>
      </c>
      <c r="J9" s="8" t="str">
        <f t="shared" ref="J9:J38" si="10">CHOOSE(WEEKDAY(C9),"D","L","M","M","J","V","S")</f>
        <v>D</v>
      </c>
      <c r="K9" s="151" t="str">
        <f>TEXT('Table '!AN7,"jj mmm aa")</f>
        <v>02 déc 18</v>
      </c>
      <c r="L9" s="12"/>
      <c r="M9" s="12"/>
      <c r="N9" s="12">
        <f t="shared" ref="N9:N38" si="11">M9-L9</f>
        <v>0</v>
      </c>
      <c r="O9" s="13">
        <f t="shared" si="2"/>
        <v>0</v>
      </c>
      <c r="P9" s="14">
        <f t="shared" si="3"/>
        <v>0</v>
      </c>
      <c r="R9" s="8" t="str">
        <f t="shared" ref="R9:R38" si="12">CHOOSE(WEEKDAY(C9),"D","L","M","M","J","V","S")</f>
        <v>D</v>
      </c>
      <c r="S9" s="151" t="str">
        <f>TEXT('Table '!AN7,"jj mmm aa")</f>
        <v>02 déc 18</v>
      </c>
      <c r="T9" s="12"/>
      <c r="U9" s="12"/>
      <c r="V9" s="12">
        <f t="shared" ref="V9:V38" si="13">U9-T9</f>
        <v>0</v>
      </c>
      <c r="W9" s="13">
        <f t="shared" si="4"/>
        <v>0</v>
      </c>
      <c r="X9" s="14">
        <f t="shared" si="5"/>
        <v>0</v>
      </c>
      <c r="Y9" s="21"/>
      <c r="Z9" s="131" t="str">
        <f t="shared" ref="Z9:Z38" si="14">CHOOSE(WEEKDAY(C9),"D","L","M","M","J","V","S")</f>
        <v>D</v>
      </c>
      <c r="AA9" s="138" t="str">
        <f>TEXT('Table '!AN7,"jj mmm aa")</f>
        <v>02 déc 18</v>
      </c>
      <c r="AB9" s="18"/>
      <c r="AC9" s="18"/>
      <c r="AD9" s="18">
        <f t="shared" ref="AD9:AD38" si="15">AC9-AB9</f>
        <v>0</v>
      </c>
      <c r="AE9" s="146">
        <f t="shared" si="6"/>
        <v>0</v>
      </c>
      <c r="AF9" s="20">
        <f t="shared" si="7"/>
        <v>0</v>
      </c>
    </row>
    <row r="10" spans="2:32" s="7" customFormat="1">
      <c r="B10" s="8" t="str">
        <f t="shared" si="8"/>
        <v>L</v>
      </c>
      <c r="C10" s="164" t="str">
        <f>TEXT('Table '!AN8,"jj mmm aa")</f>
        <v>03 déc 18</v>
      </c>
      <c r="D10" s="12"/>
      <c r="E10" s="12"/>
      <c r="F10" s="12">
        <f t="shared" si="9"/>
        <v>0</v>
      </c>
      <c r="G10" s="13">
        <f t="shared" si="0"/>
        <v>0</v>
      </c>
      <c r="H10" s="14">
        <f t="shared" si="1"/>
        <v>0</v>
      </c>
      <c r="J10" s="8" t="str">
        <f t="shared" si="10"/>
        <v>L</v>
      </c>
      <c r="K10" s="151" t="str">
        <f>TEXT('Table '!AN8,"jj mmm aa")</f>
        <v>03 déc 18</v>
      </c>
      <c r="L10" s="12"/>
      <c r="M10" s="12"/>
      <c r="N10" s="12">
        <f t="shared" si="11"/>
        <v>0</v>
      </c>
      <c r="O10" s="13">
        <f t="shared" si="2"/>
        <v>0</v>
      </c>
      <c r="P10" s="14">
        <f t="shared" si="3"/>
        <v>0</v>
      </c>
      <c r="R10" s="8" t="str">
        <f t="shared" si="12"/>
        <v>L</v>
      </c>
      <c r="S10" s="151" t="str">
        <f>TEXT('Table '!AN8,"jj mmm aa")</f>
        <v>03 déc 18</v>
      </c>
      <c r="T10" s="12"/>
      <c r="U10" s="12"/>
      <c r="V10" s="12">
        <f t="shared" si="13"/>
        <v>0</v>
      </c>
      <c r="W10" s="13">
        <f t="shared" si="4"/>
        <v>0</v>
      </c>
      <c r="X10" s="14">
        <f t="shared" si="5"/>
        <v>0</v>
      </c>
      <c r="Y10" s="21"/>
      <c r="Z10" s="131" t="str">
        <f t="shared" si="14"/>
        <v>L</v>
      </c>
      <c r="AA10" s="138" t="str">
        <f>TEXT('Table '!AN8,"jj mmm aa")</f>
        <v>03 déc 18</v>
      </c>
      <c r="AB10" s="18"/>
      <c r="AC10" s="18"/>
      <c r="AD10" s="18">
        <f t="shared" si="15"/>
        <v>0</v>
      </c>
      <c r="AE10" s="146">
        <f t="shared" si="6"/>
        <v>0</v>
      </c>
      <c r="AF10" s="20">
        <f t="shared" si="7"/>
        <v>0</v>
      </c>
    </row>
    <row r="11" spans="2:32" s="7" customFormat="1">
      <c r="B11" s="8" t="str">
        <f t="shared" si="8"/>
        <v>M</v>
      </c>
      <c r="C11" s="164" t="str">
        <f>TEXT('Table '!AN9,"jj mmm aa")</f>
        <v>04 déc 18</v>
      </c>
      <c r="D11" s="12"/>
      <c r="E11" s="12"/>
      <c r="F11" s="25">
        <f t="shared" si="9"/>
        <v>0</v>
      </c>
      <c r="G11" s="26">
        <f t="shared" si="0"/>
        <v>0</v>
      </c>
      <c r="H11" s="27">
        <f t="shared" si="1"/>
        <v>0</v>
      </c>
      <c r="I11" s="45"/>
      <c r="J11" s="8" t="str">
        <f t="shared" si="10"/>
        <v>M</v>
      </c>
      <c r="K11" s="151" t="str">
        <f>TEXT('Table '!AN9,"jj mmm aa")</f>
        <v>04 déc 18</v>
      </c>
      <c r="L11" s="25"/>
      <c r="M11" s="25"/>
      <c r="N11" s="25">
        <f>M11-L11</f>
        <v>0</v>
      </c>
      <c r="O11" s="26">
        <f t="shared" si="2"/>
        <v>0</v>
      </c>
      <c r="P11" s="27">
        <f t="shared" si="3"/>
        <v>0</v>
      </c>
      <c r="R11" s="8" t="str">
        <f t="shared" si="12"/>
        <v>M</v>
      </c>
      <c r="S11" s="151" t="str">
        <f>TEXT('Table '!AN9,"jj mmm aa")</f>
        <v>04 déc 18</v>
      </c>
      <c r="T11" s="12"/>
      <c r="U11" s="12"/>
      <c r="V11" s="12">
        <f t="shared" si="13"/>
        <v>0</v>
      </c>
      <c r="W11" s="13">
        <f t="shared" si="4"/>
        <v>0</v>
      </c>
      <c r="X11" s="14">
        <f t="shared" si="5"/>
        <v>0</v>
      </c>
      <c r="Y11" s="21"/>
      <c r="Z11" s="131" t="str">
        <f t="shared" si="14"/>
        <v>M</v>
      </c>
      <c r="AA11" s="138" t="str">
        <f>TEXT('Table '!AN9,"jj mmm aa")</f>
        <v>04 déc 18</v>
      </c>
      <c r="AB11" s="18"/>
      <c r="AC11" s="18"/>
      <c r="AD11" s="18">
        <f t="shared" si="15"/>
        <v>0</v>
      </c>
      <c r="AE11" s="146">
        <f t="shared" si="6"/>
        <v>0</v>
      </c>
      <c r="AF11" s="20">
        <f t="shared" si="7"/>
        <v>0</v>
      </c>
    </row>
    <row r="12" spans="2:32" s="7" customFormat="1">
      <c r="B12" s="8" t="str">
        <f t="shared" si="8"/>
        <v>M</v>
      </c>
      <c r="C12" s="164" t="str">
        <f>TEXT('Table '!AN10,"jj mmm aa")</f>
        <v>05 déc 18</v>
      </c>
      <c r="D12" s="12"/>
      <c r="E12" s="12"/>
      <c r="F12" s="25">
        <f t="shared" si="9"/>
        <v>0</v>
      </c>
      <c r="G12" s="26">
        <f t="shared" si="0"/>
        <v>0</v>
      </c>
      <c r="H12" s="27">
        <f t="shared" si="1"/>
        <v>0</v>
      </c>
      <c r="I12" s="45"/>
      <c r="J12" s="8" t="str">
        <f t="shared" si="10"/>
        <v>M</v>
      </c>
      <c r="K12" s="151" t="str">
        <f>TEXT('Table '!AN10,"jj mmm aa")</f>
        <v>05 déc 18</v>
      </c>
      <c r="L12" s="12"/>
      <c r="M12" s="12"/>
      <c r="N12" s="25">
        <f>M12-L12</f>
        <v>0</v>
      </c>
      <c r="O12" s="26">
        <f t="shared" si="2"/>
        <v>0</v>
      </c>
      <c r="P12" s="27">
        <f t="shared" si="3"/>
        <v>0</v>
      </c>
      <c r="R12" s="8" t="str">
        <f t="shared" si="12"/>
        <v>M</v>
      </c>
      <c r="S12" s="151" t="str">
        <f>TEXT('Table '!AN10,"jj mmm aa")</f>
        <v>05 déc 18</v>
      </c>
      <c r="T12" s="12"/>
      <c r="U12" s="12"/>
      <c r="V12" s="12">
        <f t="shared" si="13"/>
        <v>0</v>
      </c>
      <c r="W12" s="13">
        <f t="shared" si="4"/>
        <v>0</v>
      </c>
      <c r="X12" s="14">
        <f t="shared" si="5"/>
        <v>0</v>
      </c>
      <c r="Y12" s="21"/>
      <c r="Z12" s="131" t="str">
        <f t="shared" si="14"/>
        <v>M</v>
      </c>
      <c r="AA12" s="138" t="str">
        <f>TEXT('Table '!AN10,"jj mmm aa")</f>
        <v>05 déc 18</v>
      </c>
      <c r="AB12" s="18"/>
      <c r="AC12" s="18"/>
      <c r="AD12" s="18">
        <f t="shared" si="15"/>
        <v>0</v>
      </c>
      <c r="AE12" s="146">
        <f t="shared" si="6"/>
        <v>0</v>
      </c>
      <c r="AF12" s="20">
        <f t="shared" si="7"/>
        <v>0</v>
      </c>
    </row>
    <row r="13" spans="2:32" s="7" customFormat="1">
      <c r="B13" s="8" t="str">
        <f t="shared" si="8"/>
        <v>J</v>
      </c>
      <c r="C13" s="164" t="str">
        <f>TEXT('Table '!AN11,"jj mmm aa")</f>
        <v>06 déc 18</v>
      </c>
      <c r="D13" s="12"/>
      <c r="E13" s="12"/>
      <c r="F13" s="25">
        <f t="shared" si="9"/>
        <v>0</v>
      </c>
      <c r="G13" s="26">
        <f t="shared" si="0"/>
        <v>0</v>
      </c>
      <c r="H13" s="27">
        <f t="shared" si="1"/>
        <v>0</v>
      </c>
      <c r="I13" s="45"/>
      <c r="J13" s="8" t="str">
        <f t="shared" si="10"/>
        <v>J</v>
      </c>
      <c r="K13" s="151" t="str">
        <f>TEXT('Table '!AN11,"jj mmm aa")</f>
        <v>06 déc 18</v>
      </c>
      <c r="L13" s="12"/>
      <c r="M13" s="12"/>
      <c r="N13" s="25">
        <f t="shared" si="11"/>
        <v>0</v>
      </c>
      <c r="O13" s="26">
        <f t="shared" si="2"/>
        <v>0</v>
      </c>
      <c r="P13" s="27">
        <f t="shared" si="3"/>
        <v>0</v>
      </c>
      <c r="R13" s="8" t="str">
        <f t="shared" si="12"/>
        <v>J</v>
      </c>
      <c r="S13" s="151" t="str">
        <f>TEXT('Table '!AN11,"jj mmm aa")</f>
        <v>06 déc 18</v>
      </c>
      <c r="T13" s="12"/>
      <c r="U13" s="12"/>
      <c r="V13" s="12">
        <f t="shared" si="13"/>
        <v>0</v>
      </c>
      <c r="W13" s="13">
        <f t="shared" si="4"/>
        <v>0</v>
      </c>
      <c r="X13" s="14">
        <f t="shared" si="5"/>
        <v>0</v>
      </c>
      <c r="Y13" s="21"/>
      <c r="Z13" s="131" t="str">
        <f t="shared" si="14"/>
        <v>J</v>
      </c>
      <c r="AA13" s="138" t="str">
        <f>TEXT('Table '!AN11,"jj mmm aa")</f>
        <v>06 déc 18</v>
      </c>
      <c r="AB13" s="18"/>
      <c r="AC13" s="18"/>
      <c r="AD13" s="18">
        <f t="shared" si="15"/>
        <v>0</v>
      </c>
      <c r="AE13" s="146">
        <f t="shared" si="6"/>
        <v>0</v>
      </c>
      <c r="AF13" s="20">
        <f t="shared" si="7"/>
        <v>0</v>
      </c>
    </row>
    <row r="14" spans="2:32" s="7" customFormat="1">
      <c r="B14" s="8" t="str">
        <f t="shared" si="8"/>
        <v>V</v>
      </c>
      <c r="C14" s="164" t="str">
        <f>TEXT('Table '!AN12,"jj mmm aa")</f>
        <v>07 déc 18</v>
      </c>
      <c r="D14" s="12"/>
      <c r="E14" s="12"/>
      <c r="F14" s="25">
        <f t="shared" si="9"/>
        <v>0</v>
      </c>
      <c r="G14" s="26">
        <f t="shared" si="0"/>
        <v>0</v>
      </c>
      <c r="H14" s="27">
        <f t="shared" si="1"/>
        <v>0</v>
      </c>
      <c r="I14" s="45"/>
      <c r="J14" s="8" t="str">
        <f t="shared" si="10"/>
        <v>V</v>
      </c>
      <c r="K14" s="151" t="str">
        <f>TEXT('Table '!AN12,"jj mmm aa")</f>
        <v>07 déc 18</v>
      </c>
      <c r="L14" s="12"/>
      <c r="M14" s="12"/>
      <c r="N14" s="25">
        <f t="shared" si="11"/>
        <v>0</v>
      </c>
      <c r="O14" s="26">
        <f t="shared" si="2"/>
        <v>0</v>
      </c>
      <c r="P14" s="27">
        <f t="shared" si="3"/>
        <v>0</v>
      </c>
      <c r="R14" s="8" t="str">
        <f t="shared" si="12"/>
        <v>V</v>
      </c>
      <c r="S14" s="151" t="str">
        <f>TEXT('Table '!AN12,"jj mmm aa")</f>
        <v>07 déc 18</v>
      </c>
      <c r="T14" s="12"/>
      <c r="U14" s="12"/>
      <c r="V14" s="12">
        <f t="shared" si="13"/>
        <v>0</v>
      </c>
      <c r="W14" s="13">
        <f t="shared" si="4"/>
        <v>0</v>
      </c>
      <c r="X14" s="14">
        <f t="shared" si="5"/>
        <v>0</v>
      </c>
      <c r="Y14" s="21"/>
      <c r="Z14" s="131" t="str">
        <f t="shared" si="14"/>
        <v>V</v>
      </c>
      <c r="AA14" s="138" t="str">
        <f>TEXT('Table '!AN12,"jj mmm aa")</f>
        <v>07 déc 18</v>
      </c>
      <c r="AB14" s="18"/>
      <c r="AC14" s="18"/>
      <c r="AD14" s="18">
        <f t="shared" si="15"/>
        <v>0</v>
      </c>
      <c r="AE14" s="146">
        <f t="shared" si="6"/>
        <v>0</v>
      </c>
      <c r="AF14" s="20">
        <f t="shared" si="7"/>
        <v>0</v>
      </c>
    </row>
    <row r="15" spans="2:32" s="7" customFormat="1">
      <c r="B15" s="8" t="str">
        <f t="shared" si="8"/>
        <v>S</v>
      </c>
      <c r="C15" s="164" t="str">
        <f>TEXT('Table '!AN13,"jj mmm aa")</f>
        <v>08 déc 18</v>
      </c>
      <c r="D15" s="12"/>
      <c r="E15" s="12"/>
      <c r="F15" s="25">
        <f t="shared" si="9"/>
        <v>0</v>
      </c>
      <c r="G15" s="26">
        <f t="shared" si="0"/>
        <v>0</v>
      </c>
      <c r="H15" s="27">
        <f t="shared" si="1"/>
        <v>0</v>
      </c>
      <c r="I15" s="45"/>
      <c r="J15" s="8" t="str">
        <f t="shared" si="10"/>
        <v>S</v>
      </c>
      <c r="K15" s="151" t="str">
        <f>TEXT('Table '!AN13,"jj mmm aa")</f>
        <v>08 déc 18</v>
      </c>
      <c r="L15" s="12"/>
      <c r="M15" s="12"/>
      <c r="N15" s="25">
        <f t="shared" si="11"/>
        <v>0</v>
      </c>
      <c r="O15" s="26">
        <f t="shared" si="2"/>
        <v>0</v>
      </c>
      <c r="P15" s="27">
        <f t="shared" si="3"/>
        <v>0</v>
      </c>
      <c r="R15" s="8" t="str">
        <f t="shared" si="12"/>
        <v>S</v>
      </c>
      <c r="S15" s="151" t="str">
        <f>TEXT('Table '!AN13,"jj mmm aa")</f>
        <v>08 déc 18</v>
      </c>
      <c r="T15" s="12"/>
      <c r="U15" s="12"/>
      <c r="V15" s="12">
        <f t="shared" si="13"/>
        <v>0</v>
      </c>
      <c r="W15" s="13">
        <f t="shared" si="4"/>
        <v>0</v>
      </c>
      <c r="X15" s="14">
        <f t="shared" si="5"/>
        <v>0</v>
      </c>
      <c r="Y15" s="21"/>
      <c r="Z15" s="131" t="str">
        <f t="shared" si="14"/>
        <v>S</v>
      </c>
      <c r="AA15" s="138" t="str">
        <f>TEXT('Table '!AN13,"jj mmm aa")</f>
        <v>08 déc 18</v>
      </c>
      <c r="AB15" s="18"/>
      <c r="AC15" s="18"/>
      <c r="AD15" s="18">
        <f t="shared" si="15"/>
        <v>0</v>
      </c>
      <c r="AE15" s="146">
        <f t="shared" si="6"/>
        <v>0</v>
      </c>
      <c r="AF15" s="20">
        <f t="shared" si="7"/>
        <v>0</v>
      </c>
    </row>
    <row r="16" spans="2:32" s="7" customFormat="1">
      <c r="B16" s="8" t="str">
        <f t="shared" si="8"/>
        <v>D</v>
      </c>
      <c r="C16" s="164" t="str">
        <f>TEXT('Table '!AN14,"jj mmm aa")</f>
        <v>09 déc 18</v>
      </c>
      <c r="D16" s="25"/>
      <c r="E16" s="25"/>
      <c r="F16" s="25">
        <f t="shared" si="9"/>
        <v>0</v>
      </c>
      <c r="G16" s="26">
        <f t="shared" si="0"/>
        <v>0</v>
      </c>
      <c r="H16" s="27">
        <f t="shared" si="1"/>
        <v>0</v>
      </c>
      <c r="I16" s="45"/>
      <c r="J16" s="8" t="str">
        <f t="shared" si="10"/>
        <v>D</v>
      </c>
      <c r="K16" s="151" t="str">
        <f>TEXT('Table '!AN14,"jj mmm aa")</f>
        <v>09 déc 18</v>
      </c>
      <c r="L16" s="25"/>
      <c r="M16" s="25"/>
      <c r="N16" s="25">
        <f t="shared" si="11"/>
        <v>0</v>
      </c>
      <c r="O16" s="26">
        <f t="shared" si="2"/>
        <v>0</v>
      </c>
      <c r="P16" s="27">
        <f t="shared" si="3"/>
        <v>0</v>
      </c>
      <c r="R16" s="8" t="str">
        <f t="shared" si="12"/>
        <v>D</v>
      </c>
      <c r="S16" s="151" t="str">
        <f>TEXT('Table '!AN14,"jj mmm aa")</f>
        <v>09 déc 18</v>
      </c>
      <c r="T16" s="12"/>
      <c r="U16" s="12"/>
      <c r="V16" s="12">
        <f t="shared" si="13"/>
        <v>0</v>
      </c>
      <c r="W16" s="13">
        <f t="shared" si="4"/>
        <v>0</v>
      </c>
      <c r="X16" s="14">
        <f t="shared" si="5"/>
        <v>0</v>
      </c>
      <c r="Y16" s="21"/>
      <c r="Z16" s="131" t="str">
        <f t="shared" si="14"/>
        <v>D</v>
      </c>
      <c r="AA16" s="138" t="str">
        <f>TEXT('Table '!AN14,"jj mmm aa")</f>
        <v>09 déc 18</v>
      </c>
      <c r="AB16" s="18"/>
      <c r="AC16" s="18"/>
      <c r="AD16" s="18">
        <f t="shared" si="15"/>
        <v>0</v>
      </c>
      <c r="AE16" s="146">
        <f t="shared" si="6"/>
        <v>0</v>
      </c>
      <c r="AF16" s="20">
        <f t="shared" si="7"/>
        <v>0</v>
      </c>
    </row>
    <row r="17" spans="2:32" s="7" customFormat="1">
      <c r="B17" s="8" t="str">
        <f t="shared" si="8"/>
        <v>L</v>
      </c>
      <c r="C17" s="164" t="str">
        <f>TEXT('Table '!AN15,"jj mmm aa")</f>
        <v>10 déc 18</v>
      </c>
      <c r="D17" s="25"/>
      <c r="E17" s="25"/>
      <c r="F17" s="25">
        <f t="shared" si="9"/>
        <v>0</v>
      </c>
      <c r="G17" s="26">
        <f t="shared" si="0"/>
        <v>0</v>
      </c>
      <c r="H17" s="27">
        <f t="shared" si="1"/>
        <v>0</v>
      </c>
      <c r="I17" s="45"/>
      <c r="J17" s="8" t="str">
        <f t="shared" si="10"/>
        <v>L</v>
      </c>
      <c r="K17" s="151" t="str">
        <f>TEXT('Table '!AN15,"jj mmm aa")</f>
        <v>10 déc 18</v>
      </c>
      <c r="L17" s="25"/>
      <c r="M17" s="25"/>
      <c r="N17" s="25">
        <f>M17-L17</f>
        <v>0</v>
      </c>
      <c r="O17" s="26">
        <f t="shared" si="2"/>
        <v>0</v>
      </c>
      <c r="P17" s="27">
        <f t="shared" si="3"/>
        <v>0</v>
      </c>
      <c r="R17" s="8" t="str">
        <f t="shared" si="12"/>
        <v>L</v>
      </c>
      <c r="S17" s="151" t="str">
        <f>TEXT('Table '!AN15,"jj mmm aa")</f>
        <v>10 déc 18</v>
      </c>
      <c r="T17" s="44"/>
      <c r="U17" s="12"/>
      <c r="V17" s="12">
        <f t="shared" si="13"/>
        <v>0</v>
      </c>
      <c r="W17" s="13">
        <f t="shared" si="4"/>
        <v>0</v>
      </c>
      <c r="X17" s="14">
        <f t="shared" si="5"/>
        <v>0</v>
      </c>
      <c r="Y17" s="21"/>
      <c r="Z17" s="131" t="str">
        <f t="shared" si="14"/>
        <v>L</v>
      </c>
      <c r="AA17" s="138" t="str">
        <f>TEXT('Table '!AN15,"jj mmm aa")</f>
        <v>10 déc 18</v>
      </c>
      <c r="AB17" s="18"/>
      <c r="AC17" s="18"/>
      <c r="AD17" s="18">
        <f t="shared" si="15"/>
        <v>0</v>
      </c>
      <c r="AE17" s="146">
        <f t="shared" si="6"/>
        <v>0</v>
      </c>
      <c r="AF17" s="20">
        <f t="shared" si="7"/>
        <v>0</v>
      </c>
    </row>
    <row r="18" spans="2:32" s="7" customFormat="1">
      <c r="B18" s="8" t="str">
        <f t="shared" si="8"/>
        <v>M</v>
      </c>
      <c r="C18" s="164" t="str">
        <f>TEXT('Table '!AN16,"jj mmm aa")</f>
        <v>11 déc 18</v>
      </c>
      <c r="D18" s="25"/>
      <c r="E18" s="25"/>
      <c r="F18" s="25">
        <f t="shared" si="9"/>
        <v>0</v>
      </c>
      <c r="G18" s="26">
        <f t="shared" si="0"/>
        <v>0</v>
      </c>
      <c r="H18" s="27">
        <f t="shared" si="1"/>
        <v>0</v>
      </c>
      <c r="I18" s="45"/>
      <c r="J18" s="8" t="str">
        <f t="shared" si="10"/>
        <v>M</v>
      </c>
      <c r="K18" s="151" t="str">
        <f>TEXT('Table '!AN16,"jj mmm aa")</f>
        <v>11 déc 18</v>
      </c>
      <c r="L18" s="25"/>
      <c r="M18" s="25"/>
      <c r="N18" s="25">
        <f>M18-L18</f>
        <v>0</v>
      </c>
      <c r="O18" s="26">
        <f t="shared" si="2"/>
        <v>0</v>
      </c>
      <c r="P18" s="27">
        <f t="shared" si="3"/>
        <v>0</v>
      </c>
      <c r="R18" s="8" t="str">
        <f t="shared" si="12"/>
        <v>M</v>
      </c>
      <c r="S18" s="151" t="str">
        <f>TEXT('Table '!AN16,"jj mmm aa")</f>
        <v>11 déc 18</v>
      </c>
      <c r="T18" s="12"/>
      <c r="U18" s="12"/>
      <c r="V18" s="12">
        <f t="shared" si="13"/>
        <v>0</v>
      </c>
      <c r="W18" s="13">
        <f t="shared" si="4"/>
        <v>0</v>
      </c>
      <c r="X18" s="14">
        <f t="shared" si="5"/>
        <v>0</v>
      </c>
      <c r="Y18" s="21"/>
      <c r="Z18" s="131" t="str">
        <f t="shared" si="14"/>
        <v>M</v>
      </c>
      <c r="AA18" s="138" t="str">
        <f>TEXT('Table '!AN16,"jj mmm aa")</f>
        <v>11 déc 18</v>
      </c>
      <c r="AB18" s="18"/>
      <c r="AC18" s="18"/>
      <c r="AD18" s="18">
        <f t="shared" si="15"/>
        <v>0</v>
      </c>
      <c r="AE18" s="146">
        <f t="shared" si="6"/>
        <v>0</v>
      </c>
      <c r="AF18" s="20">
        <f t="shared" si="7"/>
        <v>0</v>
      </c>
    </row>
    <row r="19" spans="2:32" s="7" customFormat="1">
      <c r="B19" s="8" t="str">
        <f t="shared" si="8"/>
        <v>M</v>
      </c>
      <c r="C19" s="164" t="str">
        <f>TEXT('Table '!AN17,"jj mmm aa")</f>
        <v>12 déc 18</v>
      </c>
      <c r="D19" s="25"/>
      <c r="E19" s="25"/>
      <c r="F19" s="25">
        <f t="shared" si="9"/>
        <v>0</v>
      </c>
      <c r="G19" s="26">
        <f t="shared" si="0"/>
        <v>0</v>
      </c>
      <c r="H19" s="27">
        <f t="shared" si="1"/>
        <v>0</v>
      </c>
      <c r="I19" s="45"/>
      <c r="J19" s="8" t="str">
        <f t="shared" si="10"/>
        <v>M</v>
      </c>
      <c r="K19" s="151" t="str">
        <f>TEXT('Table '!AN17,"jj mmm aa")</f>
        <v>12 déc 18</v>
      </c>
      <c r="L19" s="25"/>
      <c r="M19" s="25"/>
      <c r="N19" s="25">
        <f t="shared" si="11"/>
        <v>0</v>
      </c>
      <c r="O19" s="26">
        <f t="shared" si="2"/>
        <v>0</v>
      </c>
      <c r="P19" s="27">
        <f t="shared" si="3"/>
        <v>0</v>
      </c>
      <c r="R19" s="8" t="str">
        <f t="shared" si="12"/>
        <v>M</v>
      </c>
      <c r="S19" s="151" t="str">
        <f>TEXT('Table '!AN17,"jj mmm aa")</f>
        <v>12 déc 18</v>
      </c>
      <c r="T19" s="12"/>
      <c r="U19" s="12"/>
      <c r="V19" s="12">
        <f t="shared" si="13"/>
        <v>0</v>
      </c>
      <c r="W19" s="13">
        <f t="shared" si="4"/>
        <v>0</v>
      </c>
      <c r="X19" s="14">
        <f t="shared" si="5"/>
        <v>0</v>
      </c>
      <c r="Y19" s="21"/>
      <c r="Z19" s="131" t="str">
        <f t="shared" si="14"/>
        <v>M</v>
      </c>
      <c r="AA19" s="138" t="str">
        <f>TEXT('Table '!AN17,"jj mmm aa")</f>
        <v>12 déc 18</v>
      </c>
      <c r="AB19" s="18"/>
      <c r="AC19" s="18"/>
      <c r="AD19" s="18">
        <f t="shared" si="15"/>
        <v>0</v>
      </c>
      <c r="AE19" s="146">
        <f t="shared" si="6"/>
        <v>0</v>
      </c>
      <c r="AF19" s="20">
        <f t="shared" si="7"/>
        <v>0</v>
      </c>
    </row>
    <row r="20" spans="2:32" s="7" customFormat="1">
      <c r="B20" s="8" t="str">
        <f t="shared" si="8"/>
        <v>J</v>
      </c>
      <c r="C20" s="164" t="str">
        <f>TEXT('Table '!AN18,"jj mmm aa")</f>
        <v>13 déc 18</v>
      </c>
      <c r="D20" s="25"/>
      <c r="E20" s="25"/>
      <c r="F20" s="25">
        <f t="shared" si="9"/>
        <v>0</v>
      </c>
      <c r="G20" s="26">
        <f t="shared" si="0"/>
        <v>0</v>
      </c>
      <c r="H20" s="27">
        <f t="shared" si="1"/>
        <v>0</v>
      </c>
      <c r="I20" s="45"/>
      <c r="J20" s="8" t="str">
        <f t="shared" si="10"/>
        <v>J</v>
      </c>
      <c r="K20" s="151" t="str">
        <f>TEXT('Table '!AN18,"jj mmm aa")</f>
        <v>13 déc 18</v>
      </c>
      <c r="L20" s="25"/>
      <c r="M20" s="25"/>
      <c r="N20" s="25">
        <f t="shared" si="11"/>
        <v>0</v>
      </c>
      <c r="O20" s="26">
        <f t="shared" si="2"/>
        <v>0</v>
      </c>
      <c r="P20" s="27">
        <f t="shared" si="3"/>
        <v>0</v>
      </c>
      <c r="R20" s="8" t="str">
        <f t="shared" si="12"/>
        <v>J</v>
      </c>
      <c r="S20" s="151" t="str">
        <f>TEXT('Table '!AN18,"jj mmm aa")</f>
        <v>13 déc 18</v>
      </c>
      <c r="T20" s="12"/>
      <c r="U20" s="12"/>
      <c r="V20" s="12">
        <f t="shared" si="13"/>
        <v>0</v>
      </c>
      <c r="W20" s="13">
        <f t="shared" si="4"/>
        <v>0</v>
      </c>
      <c r="X20" s="14">
        <f t="shared" si="5"/>
        <v>0</v>
      </c>
      <c r="Y20" s="21"/>
      <c r="Z20" s="131" t="str">
        <f t="shared" si="14"/>
        <v>J</v>
      </c>
      <c r="AA20" s="138" t="str">
        <f>TEXT('Table '!AN18,"jj mmm aa")</f>
        <v>13 déc 18</v>
      </c>
      <c r="AB20" s="18"/>
      <c r="AC20" s="18"/>
      <c r="AD20" s="18">
        <f t="shared" si="15"/>
        <v>0</v>
      </c>
      <c r="AE20" s="146">
        <f t="shared" si="6"/>
        <v>0</v>
      </c>
      <c r="AF20" s="20">
        <f t="shared" si="7"/>
        <v>0</v>
      </c>
    </row>
    <row r="21" spans="2:32" s="7" customFormat="1">
      <c r="B21" s="8" t="str">
        <f t="shared" si="8"/>
        <v>V</v>
      </c>
      <c r="C21" s="164" t="str">
        <f>TEXT('Table '!AN19,"jj mmm aa")</f>
        <v>14 déc 18</v>
      </c>
      <c r="D21" s="25"/>
      <c r="E21" s="25"/>
      <c r="F21" s="25">
        <f t="shared" si="9"/>
        <v>0</v>
      </c>
      <c r="G21" s="26">
        <f t="shared" si="0"/>
        <v>0</v>
      </c>
      <c r="H21" s="27">
        <f t="shared" si="1"/>
        <v>0</v>
      </c>
      <c r="I21" s="45"/>
      <c r="J21" s="8" t="str">
        <f t="shared" si="10"/>
        <v>V</v>
      </c>
      <c r="K21" s="151" t="str">
        <f>TEXT('Table '!AN19,"jj mmm aa")</f>
        <v>14 déc 18</v>
      </c>
      <c r="L21" s="25"/>
      <c r="M21" s="25"/>
      <c r="N21" s="25">
        <f t="shared" si="11"/>
        <v>0</v>
      </c>
      <c r="O21" s="26">
        <f t="shared" si="2"/>
        <v>0</v>
      </c>
      <c r="P21" s="27">
        <f t="shared" si="3"/>
        <v>0</v>
      </c>
      <c r="R21" s="8" t="str">
        <f t="shared" si="12"/>
        <v>V</v>
      </c>
      <c r="S21" s="151" t="str">
        <f>TEXT('Table '!AN19,"jj mmm aa")</f>
        <v>14 déc 18</v>
      </c>
      <c r="T21" s="12"/>
      <c r="U21" s="12"/>
      <c r="V21" s="12">
        <f t="shared" si="13"/>
        <v>0</v>
      </c>
      <c r="W21" s="13">
        <f t="shared" si="4"/>
        <v>0</v>
      </c>
      <c r="X21" s="14">
        <f t="shared" si="5"/>
        <v>0</v>
      </c>
      <c r="Y21" s="21"/>
      <c r="Z21" s="131" t="str">
        <f t="shared" si="14"/>
        <v>V</v>
      </c>
      <c r="AA21" s="138" t="str">
        <f>TEXT('Table '!AN19,"jj mmm aa")</f>
        <v>14 déc 18</v>
      </c>
      <c r="AB21" s="18"/>
      <c r="AC21" s="18"/>
      <c r="AD21" s="18">
        <f t="shared" si="15"/>
        <v>0</v>
      </c>
      <c r="AE21" s="146">
        <f t="shared" si="6"/>
        <v>0</v>
      </c>
      <c r="AF21" s="20">
        <f t="shared" si="7"/>
        <v>0</v>
      </c>
    </row>
    <row r="22" spans="2:32" s="7" customFormat="1">
      <c r="B22" s="8" t="str">
        <f t="shared" si="8"/>
        <v>S</v>
      </c>
      <c r="C22" s="164" t="str">
        <f>TEXT('Table '!AN20,"jj mmm aa")</f>
        <v>15 déc 18</v>
      </c>
      <c r="D22" s="25"/>
      <c r="E22" s="25"/>
      <c r="F22" s="25">
        <f t="shared" si="9"/>
        <v>0</v>
      </c>
      <c r="G22" s="26">
        <f t="shared" si="0"/>
        <v>0</v>
      </c>
      <c r="H22" s="27">
        <f t="shared" si="1"/>
        <v>0</v>
      </c>
      <c r="I22" s="45"/>
      <c r="J22" s="8" t="str">
        <f t="shared" si="10"/>
        <v>S</v>
      </c>
      <c r="K22" s="151" t="str">
        <f>TEXT('Table '!AN20,"jj mmm aa")</f>
        <v>15 déc 18</v>
      </c>
      <c r="L22" s="25"/>
      <c r="M22" s="25"/>
      <c r="N22" s="25">
        <f t="shared" si="11"/>
        <v>0</v>
      </c>
      <c r="O22" s="26">
        <f t="shared" si="2"/>
        <v>0</v>
      </c>
      <c r="P22" s="27">
        <f t="shared" si="3"/>
        <v>0</v>
      </c>
      <c r="R22" s="8" t="str">
        <f t="shared" si="12"/>
        <v>S</v>
      </c>
      <c r="S22" s="151" t="str">
        <f>TEXT('Table '!AN20,"jj mmm aa")</f>
        <v>15 déc 18</v>
      </c>
      <c r="T22" s="12"/>
      <c r="U22" s="12"/>
      <c r="V22" s="12">
        <f t="shared" si="13"/>
        <v>0</v>
      </c>
      <c r="W22" s="13">
        <f t="shared" si="4"/>
        <v>0</v>
      </c>
      <c r="X22" s="14">
        <f t="shared" si="5"/>
        <v>0</v>
      </c>
      <c r="Y22" s="21"/>
      <c r="Z22" s="131" t="str">
        <f t="shared" si="14"/>
        <v>S</v>
      </c>
      <c r="AA22" s="138" t="str">
        <f>TEXT('Table '!AN20,"jj mmm aa")</f>
        <v>15 déc 18</v>
      </c>
      <c r="AB22" s="18"/>
      <c r="AC22" s="18"/>
      <c r="AD22" s="18">
        <f t="shared" si="15"/>
        <v>0</v>
      </c>
      <c r="AE22" s="146">
        <f t="shared" si="6"/>
        <v>0</v>
      </c>
      <c r="AF22" s="20">
        <f t="shared" si="7"/>
        <v>0</v>
      </c>
    </row>
    <row r="23" spans="2:32" s="7" customFormat="1">
      <c r="B23" s="8" t="str">
        <f t="shared" si="8"/>
        <v>D</v>
      </c>
      <c r="C23" s="164" t="str">
        <f>TEXT('Table '!AN21,"jj mmm aa")</f>
        <v>16 déc 18</v>
      </c>
      <c r="D23" s="25"/>
      <c r="E23" s="25"/>
      <c r="F23" s="25">
        <f t="shared" si="9"/>
        <v>0</v>
      </c>
      <c r="G23" s="26">
        <f t="shared" si="0"/>
        <v>0</v>
      </c>
      <c r="H23" s="27">
        <f t="shared" si="1"/>
        <v>0</v>
      </c>
      <c r="I23" s="45"/>
      <c r="J23" s="8" t="str">
        <f t="shared" si="10"/>
        <v>D</v>
      </c>
      <c r="K23" s="151" t="str">
        <f>TEXT('Table '!AN21,"jj mmm aa")</f>
        <v>16 déc 18</v>
      </c>
      <c r="L23" s="25"/>
      <c r="M23" s="25"/>
      <c r="N23" s="25">
        <f t="shared" si="11"/>
        <v>0</v>
      </c>
      <c r="O23" s="26">
        <f t="shared" si="2"/>
        <v>0</v>
      </c>
      <c r="P23" s="27">
        <f t="shared" si="3"/>
        <v>0</v>
      </c>
      <c r="R23" s="8" t="str">
        <f t="shared" si="12"/>
        <v>D</v>
      </c>
      <c r="S23" s="151" t="str">
        <f>TEXT('Table '!AN21,"jj mmm aa")</f>
        <v>16 déc 18</v>
      </c>
      <c r="T23" s="12"/>
      <c r="U23" s="12"/>
      <c r="V23" s="12">
        <f t="shared" si="13"/>
        <v>0</v>
      </c>
      <c r="W23" s="13">
        <f t="shared" si="4"/>
        <v>0</v>
      </c>
      <c r="X23" s="14">
        <f t="shared" si="5"/>
        <v>0</v>
      </c>
      <c r="Y23" s="21"/>
      <c r="Z23" s="131" t="str">
        <f t="shared" si="14"/>
        <v>D</v>
      </c>
      <c r="AA23" s="138" t="str">
        <f>TEXT('Table '!AN21,"jj mmm aa")</f>
        <v>16 déc 18</v>
      </c>
      <c r="AB23" s="18"/>
      <c r="AC23" s="18"/>
      <c r="AD23" s="18">
        <f t="shared" si="15"/>
        <v>0</v>
      </c>
      <c r="AE23" s="146">
        <f t="shared" si="6"/>
        <v>0</v>
      </c>
      <c r="AF23" s="20">
        <f t="shared" si="7"/>
        <v>0</v>
      </c>
    </row>
    <row r="24" spans="2:32" s="7" customFormat="1">
      <c r="B24" s="8" t="str">
        <f t="shared" si="8"/>
        <v>L</v>
      </c>
      <c r="C24" s="164" t="str">
        <f>TEXT('Table '!AN22,"jj mmm aa")</f>
        <v>17 déc 18</v>
      </c>
      <c r="D24" s="25"/>
      <c r="E24" s="25"/>
      <c r="F24" s="25">
        <f t="shared" si="9"/>
        <v>0</v>
      </c>
      <c r="G24" s="26">
        <f t="shared" si="0"/>
        <v>0</v>
      </c>
      <c r="H24" s="27">
        <f t="shared" si="1"/>
        <v>0</v>
      </c>
      <c r="I24" s="45"/>
      <c r="J24" s="8" t="str">
        <f t="shared" si="10"/>
        <v>L</v>
      </c>
      <c r="K24" s="151" t="str">
        <f>TEXT('Table '!AN22,"jj mmm aa")</f>
        <v>17 déc 18</v>
      </c>
      <c r="L24" s="25"/>
      <c r="M24" s="25"/>
      <c r="N24" s="25">
        <f t="shared" si="11"/>
        <v>0</v>
      </c>
      <c r="O24" s="26">
        <f t="shared" si="2"/>
        <v>0</v>
      </c>
      <c r="P24" s="27">
        <f t="shared" si="3"/>
        <v>0</v>
      </c>
      <c r="R24" s="8" t="str">
        <f t="shared" si="12"/>
        <v>L</v>
      </c>
      <c r="S24" s="151" t="str">
        <f>TEXT('Table '!AN22,"jj mmm aa")</f>
        <v>17 déc 18</v>
      </c>
      <c r="T24" s="12"/>
      <c r="U24" s="12"/>
      <c r="V24" s="12">
        <f t="shared" si="13"/>
        <v>0</v>
      </c>
      <c r="W24" s="13">
        <f t="shared" si="4"/>
        <v>0</v>
      </c>
      <c r="X24" s="14">
        <f t="shared" si="5"/>
        <v>0</v>
      </c>
      <c r="Y24" s="21"/>
      <c r="Z24" s="131" t="str">
        <f t="shared" si="14"/>
        <v>L</v>
      </c>
      <c r="AA24" s="138" t="str">
        <f>TEXT('Table '!AN22,"jj mmm aa")</f>
        <v>17 déc 18</v>
      </c>
      <c r="AB24" s="18"/>
      <c r="AC24" s="18"/>
      <c r="AD24" s="18">
        <f t="shared" si="15"/>
        <v>0</v>
      </c>
      <c r="AE24" s="146">
        <f t="shared" si="6"/>
        <v>0</v>
      </c>
      <c r="AF24" s="20">
        <f t="shared" si="7"/>
        <v>0</v>
      </c>
    </row>
    <row r="25" spans="2:32" s="7" customFormat="1">
      <c r="B25" s="8" t="str">
        <f t="shared" si="8"/>
        <v>M</v>
      </c>
      <c r="C25" s="164" t="str">
        <f>TEXT('Table '!AN23,"jj mmm aa")</f>
        <v>18 déc 18</v>
      </c>
      <c r="D25" s="12"/>
      <c r="E25" s="12"/>
      <c r="F25" s="25">
        <f t="shared" si="9"/>
        <v>0</v>
      </c>
      <c r="G25" s="26">
        <f t="shared" si="0"/>
        <v>0</v>
      </c>
      <c r="H25" s="27">
        <f t="shared" si="1"/>
        <v>0</v>
      </c>
      <c r="I25" s="45"/>
      <c r="J25" s="8" t="str">
        <f t="shared" si="10"/>
        <v>M</v>
      </c>
      <c r="K25" s="151" t="str">
        <f>TEXT('Table '!AN23,"jj mmm aa")</f>
        <v>18 déc 18</v>
      </c>
      <c r="L25" s="25"/>
      <c r="M25" s="25"/>
      <c r="N25" s="25">
        <f t="shared" si="11"/>
        <v>0</v>
      </c>
      <c r="O25" s="26">
        <f t="shared" si="2"/>
        <v>0</v>
      </c>
      <c r="P25" s="27">
        <f t="shared" si="3"/>
        <v>0</v>
      </c>
      <c r="R25" s="8" t="str">
        <f t="shared" si="12"/>
        <v>M</v>
      </c>
      <c r="S25" s="151" t="str">
        <f>TEXT('Table '!AN23,"jj mmm aa")</f>
        <v>18 déc 18</v>
      </c>
      <c r="T25" s="12"/>
      <c r="U25" s="12"/>
      <c r="V25" s="12">
        <f t="shared" si="13"/>
        <v>0</v>
      </c>
      <c r="W25" s="13">
        <f t="shared" si="4"/>
        <v>0</v>
      </c>
      <c r="X25" s="14">
        <f t="shared" si="5"/>
        <v>0</v>
      </c>
      <c r="Y25" s="21"/>
      <c r="Z25" s="131" t="str">
        <f t="shared" si="14"/>
        <v>M</v>
      </c>
      <c r="AA25" s="138" t="str">
        <f>TEXT('Table '!AN23,"jj mmm aa")</f>
        <v>18 déc 18</v>
      </c>
      <c r="AB25" s="18"/>
      <c r="AC25" s="18"/>
      <c r="AD25" s="18">
        <f t="shared" si="15"/>
        <v>0</v>
      </c>
      <c r="AE25" s="146">
        <f t="shared" si="6"/>
        <v>0</v>
      </c>
      <c r="AF25" s="20">
        <f t="shared" si="7"/>
        <v>0</v>
      </c>
    </row>
    <row r="26" spans="2:32" s="7" customFormat="1">
      <c r="B26" s="8" t="str">
        <f t="shared" si="8"/>
        <v>M</v>
      </c>
      <c r="C26" s="164" t="str">
        <f>TEXT('Table '!AN24,"jj mmm aa")</f>
        <v>19 déc 18</v>
      </c>
      <c r="D26" s="12"/>
      <c r="E26" s="12"/>
      <c r="F26" s="25">
        <f t="shared" si="9"/>
        <v>0</v>
      </c>
      <c r="G26" s="26">
        <f t="shared" si="0"/>
        <v>0</v>
      </c>
      <c r="H26" s="27">
        <f t="shared" si="1"/>
        <v>0</v>
      </c>
      <c r="I26" s="45"/>
      <c r="J26" s="8" t="str">
        <f t="shared" si="10"/>
        <v>M</v>
      </c>
      <c r="K26" s="151" t="str">
        <f>TEXT('Table '!AN24,"jj mmm aa")</f>
        <v>19 déc 18</v>
      </c>
      <c r="L26" s="25"/>
      <c r="M26" s="25"/>
      <c r="N26" s="25">
        <f t="shared" si="11"/>
        <v>0</v>
      </c>
      <c r="O26" s="26">
        <f t="shared" si="2"/>
        <v>0</v>
      </c>
      <c r="P26" s="27">
        <f t="shared" si="3"/>
        <v>0</v>
      </c>
      <c r="R26" s="8" t="str">
        <f t="shared" si="12"/>
        <v>M</v>
      </c>
      <c r="S26" s="151" t="str">
        <f>TEXT('Table '!AN24,"jj mmm aa")</f>
        <v>19 déc 18</v>
      </c>
      <c r="T26" s="12"/>
      <c r="U26" s="12"/>
      <c r="V26" s="12">
        <f t="shared" si="13"/>
        <v>0</v>
      </c>
      <c r="W26" s="13">
        <f t="shared" si="4"/>
        <v>0</v>
      </c>
      <c r="X26" s="14">
        <f t="shared" si="5"/>
        <v>0</v>
      </c>
      <c r="Y26" s="21"/>
      <c r="Z26" s="131" t="str">
        <f t="shared" si="14"/>
        <v>M</v>
      </c>
      <c r="AA26" s="138" t="str">
        <f>TEXT('Table '!AN24,"jj mmm aa")</f>
        <v>19 déc 18</v>
      </c>
      <c r="AB26" s="18"/>
      <c r="AC26" s="18"/>
      <c r="AD26" s="18">
        <f t="shared" si="15"/>
        <v>0</v>
      </c>
      <c r="AE26" s="146">
        <f t="shared" si="6"/>
        <v>0</v>
      </c>
      <c r="AF26" s="20">
        <f t="shared" si="7"/>
        <v>0</v>
      </c>
    </row>
    <row r="27" spans="2:32" s="7" customFormat="1">
      <c r="B27" s="8" t="str">
        <f t="shared" si="8"/>
        <v>J</v>
      </c>
      <c r="C27" s="164" t="str">
        <f>TEXT('Table '!AN25,"jj mmm aa")</f>
        <v>20 déc 18</v>
      </c>
      <c r="D27" s="12"/>
      <c r="E27" s="12"/>
      <c r="F27" s="25">
        <f t="shared" si="9"/>
        <v>0</v>
      </c>
      <c r="G27" s="26">
        <f t="shared" si="0"/>
        <v>0</v>
      </c>
      <c r="H27" s="27">
        <f t="shared" si="1"/>
        <v>0</v>
      </c>
      <c r="I27" s="45"/>
      <c r="J27" s="8" t="str">
        <f t="shared" si="10"/>
        <v>J</v>
      </c>
      <c r="K27" s="151" t="str">
        <f>TEXT('Table '!AN25,"jj mmm aa")</f>
        <v>20 déc 18</v>
      </c>
      <c r="L27" s="25"/>
      <c r="M27" s="25"/>
      <c r="N27" s="25">
        <f t="shared" si="11"/>
        <v>0</v>
      </c>
      <c r="O27" s="26">
        <f t="shared" si="2"/>
        <v>0</v>
      </c>
      <c r="P27" s="27">
        <f t="shared" si="3"/>
        <v>0</v>
      </c>
      <c r="R27" s="8" t="str">
        <f t="shared" si="12"/>
        <v>J</v>
      </c>
      <c r="S27" s="151" t="str">
        <f>TEXT('Table '!AN25,"jj mmm aa")</f>
        <v>20 déc 18</v>
      </c>
      <c r="T27" s="12"/>
      <c r="U27" s="12"/>
      <c r="V27" s="12">
        <f t="shared" si="13"/>
        <v>0</v>
      </c>
      <c r="W27" s="13">
        <f t="shared" si="4"/>
        <v>0</v>
      </c>
      <c r="X27" s="14">
        <f t="shared" si="5"/>
        <v>0</v>
      </c>
      <c r="Y27" s="21"/>
      <c r="Z27" s="131" t="str">
        <f t="shared" si="14"/>
        <v>J</v>
      </c>
      <c r="AA27" s="138" t="str">
        <f>TEXT('Table '!AN25,"jj mmm aa")</f>
        <v>20 déc 18</v>
      </c>
      <c r="AB27" s="18"/>
      <c r="AC27" s="18"/>
      <c r="AD27" s="18">
        <f t="shared" si="15"/>
        <v>0</v>
      </c>
      <c r="AE27" s="146">
        <f t="shared" si="6"/>
        <v>0</v>
      </c>
      <c r="AF27" s="20">
        <f t="shared" si="7"/>
        <v>0</v>
      </c>
    </row>
    <row r="28" spans="2:32" s="7" customFormat="1">
      <c r="B28" s="8" t="str">
        <f t="shared" si="8"/>
        <v>V</v>
      </c>
      <c r="C28" s="164" t="str">
        <f>TEXT('Table '!AN26,"jj mmm aa")</f>
        <v>21 déc 18</v>
      </c>
      <c r="D28" s="12"/>
      <c r="E28" s="12"/>
      <c r="F28" s="25">
        <f t="shared" si="9"/>
        <v>0</v>
      </c>
      <c r="G28" s="26">
        <f t="shared" si="0"/>
        <v>0</v>
      </c>
      <c r="H28" s="27">
        <f t="shared" si="1"/>
        <v>0</v>
      </c>
      <c r="I28" s="45"/>
      <c r="J28" s="8" t="str">
        <f t="shared" si="10"/>
        <v>V</v>
      </c>
      <c r="K28" s="151" t="str">
        <f>TEXT('Table '!AN26,"jj mmm aa")</f>
        <v>21 déc 18</v>
      </c>
      <c r="L28" s="25"/>
      <c r="M28" s="25"/>
      <c r="N28" s="25">
        <f t="shared" si="11"/>
        <v>0</v>
      </c>
      <c r="O28" s="26">
        <f t="shared" si="2"/>
        <v>0</v>
      </c>
      <c r="P28" s="27">
        <f t="shared" si="3"/>
        <v>0</v>
      </c>
      <c r="R28" s="8" t="str">
        <f t="shared" si="12"/>
        <v>V</v>
      </c>
      <c r="S28" s="151" t="str">
        <f>TEXT('Table '!AN26,"jj mmm aa")</f>
        <v>21 déc 18</v>
      </c>
      <c r="T28" s="12"/>
      <c r="U28" s="12"/>
      <c r="V28" s="12">
        <f t="shared" si="13"/>
        <v>0</v>
      </c>
      <c r="W28" s="13">
        <f t="shared" si="4"/>
        <v>0</v>
      </c>
      <c r="X28" s="14">
        <f t="shared" si="5"/>
        <v>0</v>
      </c>
      <c r="Y28" s="21"/>
      <c r="Z28" s="131" t="str">
        <f t="shared" si="14"/>
        <v>V</v>
      </c>
      <c r="AA28" s="138" t="str">
        <f>TEXT('Table '!AN26,"jj mmm aa")</f>
        <v>21 déc 18</v>
      </c>
      <c r="AB28" s="18"/>
      <c r="AC28" s="18"/>
      <c r="AD28" s="18">
        <f t="shared" si="15"/>
        <v>0</v>
      </c>
      <c r="AE28" s="146">
        <f t="shared" si="6"/>
        <v>0</v>
      </c>
      <c r="AF28" s="20">
        <f t="shared" si="7"/>
        <v>0</v>
      </c>
    </row>
    <row r="29" spans="2:32" s="7" customFormat="1">
      <c r="B29" s="8" t="str">
        <f t="shared" si="8"/>
        <v>S</v>
      </c>
      <c r="C29" s="164" t="str">
        <f>TEXT('Table '!AN27,"jj mmm aa")</f>
        <v>22 déc 18</v>
      </c>
      <c r="D29" s="12"/>
      <c r="E29" s="12"/>
      <c r="F29" s="25">
        <f t="shared" si="9"/>
        <v>0</v>
      </c>
      <c r="G29" s="26">
        <f t="shared" si="0"/>
        <v>0</v>
      </c>
      <c r="H29" s="27">
        <f t="shared" si="1"/>
        <v>0</v>
      </c>
      <c r="I29" s="45"/>
      <c r="J29" s="8" t="str">
        <f t="shared" si="10"/>
        <v>S</v>
      </c>
      <c r="K29" s="151" t="str">
        <f>TEXT('Table '!AN27,"jj mmm aa")</f>
        <v>22 déc 18</v>
      </c>
      <c r="L29" s="25"/>
      <c r="M29" s="25"/>
      <c r="N29" s="25">
        <f t="shared" si="11"/>
        <v>0</v>
      </c>
      <c r="O29" s="26">
        <f t="shared" si="2"/>
        <v>0</v>
      </c>
      <c r="P29" s="27">
        <f t="shared" si="3"/>
        <v>0</v>
      </c>
      <c r="R29" s="8" t="str">
        <f t="shared" si="12"/>
        <v>S</v>
      </c>
      <c r="S29" s="151" t="str">
        <f>TEXT('Table '!AN27,"jj mmm aa")</f>
        <v>22 déc 18</v>
      </c>
      <c r="T29" s="12"/>
      <c r="U29" s="12"/>
      <c r="V29" s="12">
        <f t="shared" si="13"/>
        <v>0</v>
      </c>
      <c r="W29" s="13">
        <f t="shared" si="4"/>
        <v>0</v>
      </c>
      <c r="X29" s="14">
        <f t="shared" si="5"/>
        <v>0</v>
      </c>
      <c r="Y29" s="21"/>
      <c r="Z29" s="131" t="str">
        <f t="shared" si="14"/>
        <v>S</v>
      </c>
      <c r="AA29" s="138" t="str">
        <f>TEXT('Table '!AN27,"jj mmm aa")</f>
        <v>22 déc 18</v>
      </c>
      <c r="AB29" s="18"/>
      <c r="AC29" s="18"/>
      <c r="AD29" s="18">
        <f t="shared" si="15"/>
        <v>0</v>
      </c>
      <c r="AE29" s="146">
        <f t="shared" si="6"/>
        <v>0</v>
      </c>
      <c r="AF29" s="20">
        <f t="shared" si="7"/>
        <v>0</v>
      </c>
    </row>
    <row r="30" spans="2:32" s="7" customFormat="1">
      <c r="B30" s="8" t="str">
        <f t="shared" si="8"/>
        <v>D</v>
      </c>
      <c r="C30" s="164" t="str">
        <f>TEXT('Table '!AN28,"jj mmm aa")</f>
        <v>23 déc 18</v>
      </c>
      <c r="D30" s="25"/>
      <c r="E30" s="25"/>
      <c r="F30" s="25">
        <f t="shared" si="9"/>
        <v>0</v>
      </c>
      <c r="G30" s="26">
        <f t="shared" si="0"/>
        <v>0</v>
      </c>
      <c r="H30" s="27">
        <f t="shared" si="1"/>
        <v>0</v>
      </c>
      <c r="I30" s="45"/>
      <c r="J30" s="8" t="str">
        <f t="shared" si="10"/>
        <v>D</v>
      </c>
      <c r="K30" s="151" t="str">
        <f>TEXT('Table '!AN28,"jj mmm aa")</f>
        <v>23 déc 18</v>
      </c>
      <c r="L30" s="25"/>
      <c r="M30" s="25"/>
      <c r="N30" s="25">
        <f t="shared" si="11"/>
        <v>0</v>
      </c>
      <c r="O30" s="26">
        <f t="shared" si="2"/>
        <v>0</v>
      </c>
      <c r="P30" s="27">
        <f t="shared" si="3"/>
        <v>0</v>
      </c>
      <c r="R30" s="8" t="str">
        <f t="shared" si="12"/>
        <v>D</v>
      </c>
      <c r="S30" s="151" t="str">
        <f>TEXT('Table '!AN28,"jj mmm aa")</f>
        <v>23 déc 18</v>
      </c>
      <c r="T30" s="12"/>
      <c r="U30" s="12"/>
      <c r="V30" s="12">
        <f t="shared" si="13"/>
        <v>0</v>
      </c>
      <c r="W30" s="13">
        <f t="shared" si="4"/>
        <v>0</v>
      </c>
      <c r="X30" s="14">
        <f t="shared" si="5"/>
        <v>0</v>
      </c>
      <c r="Y30" s="21"/>
      <c r="Z30" s="131" t="str">
        <f t="shared" si="14"/>
        <v>D</v>
      </c>
      <c r="AA30" s="138" t="str">
        <f>TEXT('Table '!AN28,"jj mmm aa")</f>
        <v>23 déc 18</v>
      </c>
      <c r="AB30" s="18"/>
      <c r="AC30" s="18"/>
      <c r="AD30" s="18">
        <f t="shared" si="15"/>
        <v>0</v>
      </c>
      <c r="AE30" s="146">
        <f t="shared" si="6"/>
        <v>0</v>
      </c>
      <c r="AF30" s="20">
        <f t="shared" si="7"/>
        <v>0</v>
      </c>
    </row>
    <row r="31" spans="2:32" s="7" customFormat="1">
      <c r="B31" s="8" t="str">
        <f t="shared" si="8"/>
        <v>L</v>
      </c>
      <c r="C31" s="164" t="str">
        <f>TEXT('Table '!AN29,"jj mmm aa")</f>
        <v>24 déc 18</v>
      </c>
      <c r="D31" s="25"/>
      <c r="E31" s="25"/>
      <c r="F31" s="25">
        <f t="shared" si="9"/>
        <v>0</v>
      </c>
      <c r="G31" s="26">
        <f t="shared" si="0"/>
        <v>0</v>
      </c>
      <c r="H31" s="27">
        <f t="shared" si="1"/>
        <v>0</v>
      </c>
      <c r="I31" s="45"/>
      <c r="J31" s="8" t="str">
        <f t="shared" si="10"/>
        <v>L</v>
      </c>
      <c r="K31" s="151" t="str">
        <f>TEXT('Table '!AN29,"jj mmm aa")</f>
        <v>24 déc 18</v>
      </c>
      <c r="L31" s="25"/>
      <c r="M31" s="25"/>
      <c r="N31" s="25">
        <f t="shared" si="11"/>
        <v>0</v>
      </c>
      <c r="O31" s="26">
        <f t="shared" si="2"/>
        <v>0</v>
      </c>
      <c r="P31" s="27">
        <f t="shared" si="3"/>
        <v>0</v>
      </c>
      <c r="R31" s="8" t="str">
        <f t="shared" si="12"/>
        <v>L</v>
      </c>
      <c r="S31" s="151" t="str">
        <f>TEXT('Table '!AN29,"jj mmm aa")</f>
        <v>24 déc 18</v>
      </c>
      <c r="T31" s="12"/>
      <c r="U31" s="12"/>
      <c r="V31" s="12">
        <f t="shared" si="13"/>
        <v>0</v>
      </c>
      <c r="W31" s="13">
        <f t="shared" si="4"/>
        <v>0</v>
      </c>
      <c r="X31" s="14">
        <f t="shared" si="5"/>
        <v>0</v>
      </c>
      <c r="Y31" s="21"/>
      <c r="Z31" s="131" t="str">
        <f t="shared" si="14"/>
        <v>L</v>
      </c>
      <c r="AA31" s="138" t="str">
        <f>TEXT('Table '!AN29,"jj mmm aa")</f>
        <v>24 déc 18</v>
      </c>
      <c r="AB31" s="18"/>
      <c r="AC31" s="18"/>
      <c r="AD31" s="18">
        <f t="shared" si="15"/>
        <v>0</v>
      </c>
      <c r="AE31" s="146">
        <f t="shared" si="6"/>
        <v>0</v>
      </c>
      <c r="AF31" s="20">
        <f t="shared" si="7"/>
        <v>0</v>
      </c>
    </row>
    <row r="32" spans="2:32" s="7" customFormat="1">
      <c r="B32" s="8" t="str">
        <f t="shared" si="8"/>
        <v>M</v>
      </c>
      <c r="C32" s="164" t="str">
        <f>TEXT('Table '!AN30,"jj mmm aa")</f>
        <v>25 déc 18</v>
      </c>
      <c r="D32" s="12"/>
      <c r="E32" s="12"/>
      <c r="F32" s="25">
        <f t="shared" si="9"/>
        <v>0</v>
      </c>
      <c r="G32" s="26">
        <f t="shared" si="0"/>
        <v>0</v>
      </c>
      <c r="H32" s="27">
        <f t="shared" si="1"/>
        <v>0</v>
      </c>
      <c r="I32" s="45"/>
      <c r="J32" s="8" t="str">
        <f t="shared" si="10"/>
        <v>M</v>
      </c>
      <c r="K32" s="151" t="str">
        <f>TEXT('Table '!AN30,"jj mmm aa")</f>
        <v>25 déc 18</v>
      </c>
      <c r="L32" s="25"/>
      <c r="M32" s="25"/>
      <c r="N32" s="25">
        <f t="shared" si="11"/>
        <v>0</v>
      </c>
      <c r="O32" s="26">
        <f t="shared" si="2"/>
        <v>0</v>
      </c>
      <c r="P32" s="27">
        <f t="shared" si="3"/>
        <v>0</v>
      </c>
      <c r="R32" s="8" t="str">
        <f t="shared" si="12"/>
        <v>M</v>
      </c>
      <c r="S32" s="151" t="str">
        <f>TEXT('Table '!AN30,"jj mmm aa")</f>
        <v>25 déc 18</v>
      </c>
      <c r="T32" s="12"/>
      <c r="U32" s="12"/>
      <c r="V32" s="12">
        <f t="shared" si="13"/>
        <v>0</v>
      </c>
      <c r="W32" s="13">
        <f t="shared" si="4"/>
        <v>0</v>
      </c>
      <c r="X32" s="14">
        <f t="shared" si="5"/>
        <v>0</v>
      </c>
      <c r="Y32" s="21"/>
      <c r="Z32" s="131" t="str">
        <f t="shared" si="14"/>
        <v>M</v>
      </c>
      <c r="AA32" s="138" t="str">
        <f>TEXT('Table '!AN30,"jj mmm aa")</f>
        <v>25 déc 18</v>
      </c>
      <c r="AB32" s="18"/>
      <c r="AC32" s="18"/>
      <c r="AD32" s="18">
        <f t="shared" si="15"/>
        <v>0</v>
      </c>
      <c r="AE32" s="146">
        <f t="shared" si="6"/>
        <v>0</v>
      </c>
      <c r="AF32" s="20">
        <f t="shared" si="7"/>
        <v>0</v>
      </c>
    </row>
    <row r="33" spans="2:32" s="7" customFormat="1">
      <c r="B33" s="8" t="str">
        <f t="shared" si="8"/>
        <v>M</v>
      </c>
      <c r="C33" s="164" t="str">
        <f>TEXT('Table '!AN31,"jj mmm aa")</f>
        <v>26 déc 18</v>
      </c>
      <c r="D33" s="12"/>
      <c r="E33" s="12"/>
      <c r="F33" s="25">
        <f t="shared" si="9"/>
        <v>0</v>
      </c>
      <c r="G33" s="26">
        <f t="shared" si="0"/>
        <v>0</v>
      </c>
      <c r="H33" s="27">
        <f t="shared" si="1"/>
        <v>0</v>
      </c>
      <c r="I33" s="45"/>
      <c r="J33" s="8" t="str">
        <f t="shared" si="10"/>
        <v>M</v>
      </c>
      <c r="K33" s="151" t="str">
        <f>TEXT('Table '!AN31,"jj mmm aa")</f>
        <v>26 déc 18</v>
      </c>
      <c r="L33" s="12"/>
      <c r="M33" s="12"/>
      <c r="N33" s="25">
        <f t="shared" si="11"/>
        <v>0</v>
      </c>
      <c r="O33" s="26">
        <f t="shared" si="2"/>
        <v>0</v>
      </c>
      <c r="P33" s="27">
        <f t="shared" si="3"/>
        <v>0</v>
      </c>
      <c r="R33" s="8" t="str">
        <f t="shared" si="12"/>
        <v>M</v>
      </c>
      <c r="S33" s="151" t="str">
        <f>TEXT('Table '!AN31,"jj mmm aa")</f>
        <v>26 déc 18</v>
      </c>
      <c r="T33" s="12"/>
      <c r="U33" s="12"/>
      <c r="V33" s="12">
        <f t="shared" si="13"/>
        <v>0</v>
      </c>
      <c r="W33" s="13">
        <f t="shared" si="4"/>
        <v>0</v>
      </c>
      <c r="X33" s="14">
        <f t="shared" si="5"/>
        <v>0</v>
      </c>
      <c r="Y33" s="21"/>
      <c r="Z33" s="131" t="str">
        <f t="shared" si="14"/>
        <v>M</v>
      </c>
      <c r="AA33" s="138" t="str">
        <f>TEXT('Table '!AN31,"jj mmm aa")</f>
        <v>26 déc 18</v>
      </c>
      <c r="AB33" s="18"/>
      <c r="AC33" s="18"/>
      <c r="AD33" s="18">
        <f t="shared" si="15"/>
        <v>0</v>
      </c>
      <c r="AE33" s="146">
        <f t="shared" si="6"/>
        <v>0</v>
      </c>
      <c r="AF33" s="20">
        <f t="shared" si="7"/>
        <v>0</v>
      </c>
    </row>
    <row r="34" spans="2:32" s="7" customFormat="1">
      <c r="B34" s="8" t="str">
        <f t="shared" si="8"/>
        <v>J</v>
      </c>
      <c r="C34" s="164" t="str">
        <f>TEXT('Table '!AN32,"jj mmm aa")</f>
        <v>27 déc 18</v>
      </c>
      <c r="D34" s="12"/>
      <c r="E34" s="12"/>
      <c r="F34" s="25">
        <f t="shared" si="9"/>
        <v>0</v>
      </c>
      <c r="G34" s="26">
        <f t="shared" si="0"/>
        <v>0</v>
      </c>
      <c r="H34" s="27">
        <f t="shared" si="1"/>
        <v>0</v>
      </c>
      <c r="I34" s="45"/>
      <c r="J34" s="8" t="str">
        <f t="shared" si="10"/>
        <v>J</v>
      </c>
      <c r="K34" s="151" t="str">
        <f>TEXT('Table '!AN32,"jj mmm aa")</f>
        <v>27 déc 18</v>
      </c>
      <c r="L34" s="12"/>
      <c r="M34" s="12"/>
      <c r="N34" s="25">
        <f t="shared" si="11"/>
        <v>0</v>
      </c>
      <c r="O34" s="26">
        <f t="shared" si="2"/>
        <v>0</v>
      </c>
      <c r="P34" s="27">
        <f t="shared" si="3"/>
        <v>0</v>
      </c>
      <c r="R34" s="8" t="str">
        <f t="shared" si="12"/>
        <v>J</v>
      </c>
      <c r="S34" s="151" t="str">
        <f>TEXT('Table '!AN32,"jj mmm aa")</f>
        <v>27 déc 18</v>
      </c>
      <c r="T34" s="12"/>
      <c r="U34" s="12"/>
      <c r="V34" s="12">
        <f t="shared" si="13"/>
        <v>0</v>
      </c>
      <c r="W34" s="13">
        <f t="shared" si="4"/>
        <v>0</v>
      </c>
      <c r="X34" s="14">
        <f t="shared" si="5"/>
        <v>0</v>
      </c>
      <c r="Y34" s="21"/>
      <c r="Z34" s="131" t="str">
        <f t="shared" si="14"/>
        <v>J</v>
      </c>
      <c r="AA34" s="138" t="str">
        <f>TEXT('Table '!AN32,"jj mmm aa")</f>
        <v>27 déc 18</v>
      </c>
      <c r="AB34" s="18"/>
      <c r="AC34" s="18"/>
      <c r="AD34" s="18">
        <f t="shared" si="15"/>
        <v>0</v>
      </c>
      <c r="AE34" s="146">
        <f t="shared" si="6"/>
        <v>0</v>
      </c>
      <c r="AF34" s="20">
        <f t="shared" si="7"/>
        <v>0</v>
      </c>
    </row>
    <row r="35" spans="2:32" s="7" customFormat="1">
      <c r="B35" s="8" t="str">
        <f t="shared" si="8"/>
        <v>V</v>
      </c>
      <c r="C35" s="164" t="str">
        <f>TEXT('Table '!AN33,"jj mmm aa")</f>
        <v>28 déc 18</v>
      </c>
      <c r="D35" s="12"/>
      <c r="E35" s="12"/>
      <c r="F35" s="25">
        <f t="shared" si="9"/>
        <v>0</v>
      </c>
      <c r="G35" s="26">
        <f t="shared" si="0"/>
        <v>0</v>
      </c>
      <c r="H35" s="27">
        <f t="shared" si="1"/>
        <v>0</v>
      </c>
      <c r="I35" s="45"/>
      <c r="J35" s="8" t="str">
        <f t="shared" si="10"/>
        <v>V</v>
      </c>
      <c r="K35" s="151" t="str">
        <f>TEXT('Table '!AN33,"jj mmm aa")</f>
        <v>28 déc 18</v>
      </c>
      <c r="L35" s="12"/>
      <c r="M35" s="12"/>
      <c r="N35" s="25">
        <f t="shared" si="11"/>
        <v>0</v>
      </c>
      <c r="O35" s="26">
        <f t="shared" si="2"/>
        <v>0</v>
      </c>
      <c r="P35" s="27">
        <f t="shared" si="3"/>
        <v>0</v>
      </c>
      <c r="R35" s="8" t="str">
        <f t="shared" si="12"/>
        <v>V</v>
      </c>
      <c r="S35" s="151" t="str">
        <f>TEXT('Table '!AN33,"jj mmm aa")</f>
        <v>28 déc 18</v>
      </c>
      <c r="T35" s="12"/>
      <c r="U35" s="12"/>
      <c r="V35" s="12">
        <f t="shared" si="13"/>
        <v>0</v>
      </c>
      <c r="W35" s="13">
        <f t="shared" si="4"/>
        <v>0</v>
      </c>
      <c r="X35" s="14">
        <f t="shared" si="5"/>
        <v>0</v>
      </c>
      <c r="Y35" s="21"/>
      <c r="Z35" s="131" t="str">
        <f t="shared" si="14"/>
        <v>V</v>
      </c>
      <c r="AA35" s="138" t="str">
        <f>TEXT('Table '!AN33,"jj mmm aa")</f>
        <v>28 déc 18</v>
      </c>
      <c r="AB35" s="18"/>
      <c r="AC35" s="18"/>
      <c r="AD35" s="18">
        <f t="shared" si="15"/>
        <v>0</v>
      </c>
      <c r="AE35" s="146">
        <f t="shared" si="6"/>
        <v>0</v>
      </c>
      <c r="AF35" s="20">
        <f t="shared" si="7"/>
        <v>0</v>
      </c>
    </row>
    <row r="36" spans="2:32" s="7" customFormat="1">
      <c r="B36" s="8" t="str">
        <f t="shared" si="8"/>
        <v>S</v>
      </c>
      <c r="C36" s="164" t="str">
        <f>TEXT('Table '!AN34,"jj mmm aa")</f>
        <v>29 déc 18</v>
      </c>
      <c r="D36" s="12"/>
      <c r="E36" s="12"/>
      <c r="F36" s="25">
        <f t="shared" si="9"/>
        <v>0</v>
      </c>
      <c r="G36" s="26">
        <f t="shared" si="0"/>
        <v>0</v>
      </c>
      <c r="H36" s="27">
        <f t="shared" si="1"/>
        <v>0</v>
      </c>
      <c r="I36" s="45"/>
      <c r="J36" s="8" t="str">
        <f t="shared" si="10"/>
        <v>S</v>
      </c>
      <c r="K36" s="151" t="str">
        <f>TEXT('Table '!AN34,"jj mmm aa")</f>
        <v>29 déc 18</v>
      </c>
      <c r="L36" s="12"/>
      <c r="M36" s="12"/>
      <c r="N36" s="25">
        <f t="shared" si="11"/>
        <v>0</v>
      </c>
      <c r="O36" s="26">
        <f t="shared" si="2"/>
        <v>0</v>
      </c>
      <c r="P36" s="27">
        <f t="shared" si="3"/>
        <v>0</v>
      </c>
      <c r="R36" s="8" t="str">
        <f t="shared" si="12"/>
        <v>S</v>
      </c>
      <c r="S36" s="151" t="str">
        <f>TEXT('Table '!AN34,"jj mmm aa")</f>
        <v>29 déc 18</v>
      </c>
      <c r="T36" s="12"/>
      <c r="U36" s="12"/>
      <c r="V36" s="12">
        <f t="shared" si="13"/>
        <v>0</v>
      </c>
      <c r="W36" s="13">
        <f t="shared" si="4"/>
        <v>0</v>
      </c>
      <c r="X36" s="14">
        <f t="shared" si="5"/>
        <v>0</v>
      </c>
      <c r="Y36" s="21"/>
      <c r="Z36" s="131" t="str">
        <f t="shared" si="14"/>
        <v>S</v>
      </c>
      <c r="AA36" s="138" t="str">
        <f>TEXT('Table '!AN34,"jj mmm aa")</f>
        <v>29 déc 18</v>
      </c>
      <c r="AB36" s="18"/>
      <c r="AC36" s="18"/>
      <c r="AD36" s="18">
        <f t="shared" si="15"/>
        <v>0</v>
      </c>
      <c r="AE36" s="146">
        <f t="shared" si="6"/>
        <v>0</v>
      </c>
      <c r="AF36" s="20">
        <f t="shared" si="7"/>
        <v>0</v>
      </c>
    </row>
    <row r="37" spans="2:32" s="7" customFormat="1">
      <c r="B37" s="8" t="str">
        <f t="shared" si="8"/>
        <v>D</v>
      </c>
      <c r="C37" s="164" t="str">
        <f>TEXT('Table '!AN35,"jj mmm aa")</f>
        <v>30 déc 18</v>
      </c>
      <c r="D37" s="25"/>
      <c r="E37" s="25"/>
      <c r="F37" s="25">
        <f t="shared" si="9"/>
        <v>0</v>
      </c>
      <c r="G37" s="26">
        <f t="shared" ref="G37:G38" si="16">IF(F37&gt;=$F$1,1,0)</f>
        <v>0</v>
      </c>
      <c r="H37" s="27">
        <f t="shared" ref="H37:H38" si="17">IF(F37&lt;$F$1,F37,0)</f>
        <v>0</v>
      </c>
      <c r="I37" s="45"/>
      <c r="J37" s="8" t="str">
        <f t="shared" si="10"/>
        <v>D</v>
      </c>
      <c r="K37" s="151" t="str">
        <f>TEXT('Table '!AN35,"jj mmm aa")</f>
        <v>30 déc 18</v>
      </c>
      <c r="L37" s="25"/>
      <c r="M37" s="25"/>
      <c r="N37" s="25">
        <f t="shared" si="11"/>
        <v>0</v>
      </c>
      <c r="O37" s="26">
        <f t="shared" si="2"/>
        <v>0</v>
      </c>
      <c r="P37" s="27">
        <f t="shared" si="3"/>
        <v>0</v>
      </c>
      <c r="R37" s="8" t="str">
        <f t="shared" si="12"/>
        <v>D</v>
      </c>
      <c r="S37" s="151" t="str">
        <f>TEXT('Table '!AN35,"jj mmm aa")</f>
        <v>30 déc 18</v>
      </c>
      <c r="T37" s="12"/>
      <c r="U37" s="12"/>
      <c r="V37" s="12">
        <f t="shared" si="13"/>
        <v>0</v>
      </c>
      <c r="W37" s="13">
        <f t="shared" si="4"/>
        <v>0</v>
      </c>
      <c r="X37" s="14">
        <f t="shared" si="5"/>
        <v>0</v>
      </c>
      <c r="Y37" s="21"/>
      <c r="Z37" s="131" t="str">
        <f t="shared" si="14"/>
        <v>D</v>
      </c>
      <c r="AA37" s="138" t="str">
        <f>TEXT('Table '!AN35,"jj mmm aa")</f>
        <v>30 déc 18</v>
      </c>
      <c r="AB37" s="18"/>
      <c r="AC37" s="18"/>
      <c r="AD37" s="18">
        <f t="shared" si="15"/>
        <v>0</v>
      </c>
      <c r="AE37" s="146">
        <f t="shared" si="6"/>
        <v>0</v>
      </c>
      <c r="AF37" s="20">
        <f t="shared" si="7"/>
        <v>0</v>
      </c>
    </row>
    <row r="38" spans="2:32" s="7" customFormat="1" ht="15.75" thickBot="1">
      <c r="B38" s="8" t="str">
        <f t="shared" si="8"/>
        <v>L</v>
      </c>
      <c r="C38" s="164" t="str">
        <f>TEXT('Table '!AN36,"jj mmm aa")</f>
        <v>31 déc 18</v>
      </c>
      <c r="D38" s="156"/>
      <c r="E38" s="156"/>
      <c r="F38" s="156">
        <f t="shared" si="9"/>
        <v>0</v>
      </c>
      <c r="G38" s="157">
        <f t="shared" si="16"/>
        <v>0</v>
      </c>
      <c r="H38" s="158">
        <f t="shared" si="17"/>
        <v>0</v>
      </c>
      <c r="I38" s="21"/>
      <c r="J38" s="8" t="str">
        <f t="shared" si="10"/>
        <v>L</v>
      </c>
      <c r="K38" s="151" t="str">
        <f>TEXT('Table '!AN36,"jj mmm aa")</f>
        <v>31 déc 18</v>
      </c>
      <c r="L38" s="156"/>
      <c r="M38" s="156"/>
      <c r="N38" s="156">
        <f t="shared" si="11"/>
        <v>0</v>
      </c>
      <c r="O38" s="157">
        <f t="shared" si="2"/>
        <v>0</v>
      </c>
      <c r="P38" s="158">
        <f t="shared" si="3"/>
        <v>0</v>
      </c>
      <c r="Q38" s="21"/>
      <c r="R38" s="8" t="str">
        <f t="shared" si="12"/>
        <v>L</v>
      </c>
      <c r="S38" s="151" t="str">
        <f>TEXT('Table '!AN36,"jj mmm aa")</f>
        <v>31 déc 18</v>
      </c>
      <c r="T38" s="156"/>
      <c r="U38" s="156"/>
      <c r="V38" s="156">
        <f t="shared" si="13"/>
        <v>0</v>
      </c>
      <c r="W38" s="157">
        <f t="shared" si="4"/>
        <v>0</v>
      </c>
      <c r="X38" s="158">
        <f t="shared" si="5"/>
        <v>0</v>
      </c>
      <c r="Y38" s="21"/>
      <c r="Z38" s="131" t="str">
        <f t="shared" si="14"/>
        <v>L</v>
      </c>
      <c r="AA38" s="138" t="str">
        <f>TEXT('Table '!AN36,"jj mmm aa")</f>
        <v>31 déc 18</v>
      </c>
      <c r="AB38" s="156"/>
      <c r="AC38" s="156"/>
      <c r="AD38" s="156">
        <f t="shared" si="15"/>
        <v>0</v>
      </c>
      <c r="AE38" s="157">
        <f t="shared" si="6"/>
        <v>0</v>
      </c>
      <c r="AF38" s="158">
        <f t="shared" si="7"/>
        <v>0</v>
      </c>
    </row>
    <row r="39" spans="2:32" s="7" customFormat="1" ht="19.5" thickTop="1">
      <c r="B39" s="127"/>
      <c r="C39" s="62"/>
      <c r="D39" s="62"/>
      <c r="E39" s="63" t="s">
        <v>9</v>
      </c>
      <c r="F39" s="62"/>
      <c r="G39" s="64">
        <f>SUM(G8:G38)</f>
        <v>0</v>
      </c>
      <c r="H39" s="65"/>
      <c r="J39" s="127"/>
      <c r="K39" s="62"/>
      <c r="L39" s="62"/>
      <c r="M39" s="63" t="s">
        <v>9</v>
      </c>
      <c r="N39" s="62"/>
      <c r="O39" s="64">
        <f>SUM(O8:O38)</f>
        <v>0</v>
      </c>
      <c r="P39" s="65"/>
      <c r="R39" s="127"/>
      <c r="S39" s="62"/>
      <c r="T39" s="62"/>
      <c r="U39" s="63" t="s">
        <v>9</v>
      </c>
      <c r="V39" s="62"/>
      <c r="W39" s="64">
        <f>SUM(W8:W38)</f>
        <v>0</v>
      </c>
      <c r="X39" s="65"/>
      <c r="Z39" s="127"/>
      <c r="AA39" s="62"/>
      <c r="AB39" s="62"/>
      <c r="AC39" s="63" t="s">
        <v>9</v>
      </c>
      <c r="AD39" s="62"/>
      <c r="AE39" s="64">
        <f>SUM(AE8:AE23)</f>
        <v>0</v>
      </c>
      <c r="AF39" s="65"/>
    </row>
    <row r="40" spans="2:32" s="36" customFormat="1" ht="18.75">
      <c r="B40" s="128"/>
      <c r="C40" s="33"/>
      <c r="D40" s="33"/>
      <c r="E40" s="34" t="s">
        <v>10</v>
      </c>
      <c r="F40" s="33"/>
      <c r="G40" s="35"/>
      <c r="H40" s="32">
        <f>SUM(H8:H38)*24</f>
        <v>0</v>
      </c>
      <c r="J40" s="128"/>
      <c r="K40" s="33"/>
      <c r="L40" s="33"/>
      <c r="M40" s="34" t="s">
        <v>10</v>
      </c>
      <c r="N40" s="33"/>
      <c r="O40" s="35"/>
      <c r="P40" s="32">
        <f>SUM(P8:P38)*24</f>
        <v>0</v>
      </c>
      <c r="R40" s="128"/>
      <c r="S40" s="33"/>
      <c r="T40" s="33"/>
      <c r="U40" s="34" t="s">
        <v>10</v>
      </c>
      <c r="V40" s="33"/>
      <c r="W40" s="35"/>
      <c r="X40" s="32">
        <f>SUM(X8:X38)*24</f>
        <v>0</v>
      </c>
      <c r="Z40" s="128"/>
      <c r="AA40" s="33"/>
      <c r="AB40" s="33"/>
      <c r="AC40" s="34" t="s">
        <v>10</v>
      </c>
      <c r="AD40" s="33"/>
      <c r="AE40" s="35"/>
      <c r="AF40" s="32">
        <f>SUM(AF8:AF32)*24</f>
        <v>0</v>
      </c>
    </row>
    <row r="41" spans="2:32" s="7" customFormat="1" ht="15.75" thickBot="1">
      <c r="B41" s="129"/>
      <c r="C41" s="16"/>
      <c r="D41" s="16"/>
      <c r="E41" s="16"/>
      <c r="F41" s="16"/>
      <c r="G41" s="16"/>
      <c r="H41" s="17"/>
      <c r="J41" s="129"/>
      <c r="K41" s="16"/>
      <c r="L41" s="16"/>
      <c r="M41" s="16"/>
      <c r="N41" s="16"/>
      <c r="O41" s="16"/>
      <c r="P41" s="17"/>
      <c r="R41" s="129"/>
      <c r="S41" s="16"/>
      <c r="T41" s="16"/>
      <c r="U41" s="16"/>
      <c r="V41" s="16"/>
      <c r="W41" s="16"/>
      <c r="X41" s="17"/>
      <c r="Z41" s="129"/>
      <c r="AA41" s="16"/>
      <c r="AB41" s="16"/>
      <c r="AC41" s="16"/>
      <c r="AD41" s="16"/>
      <c r="AE41" s="16"/>
      <c r="AF41" s="17"/>
    </row>
    <row r="42" spans="2:32" ht="15.75" thickTop="1"/>
  </sheetData>
  <mergeCells count="4">
    <mergeCell ref="B5:H6"/>
    <mergeCell ref="J5:P6"/>
    <mergeCell ref="R5:X6"/>
    <mergeCell ref="Z5:AF6"/>
  </mergeCells>
  <conditionalFormatting sqref="B8:H38 J8:P38 R8:X38 Z8:AF38">
    <cfRule type="expression" dxfId="2" priority="2">
      <formula>AND($B8="D")</formula>
    </cfRule>
    <cfRule type="expression" dxfId="1" priority="3">
      <formula>AND($B8="S")</formula>
    </cfRule>
    <cfRule type="expression" dxfId="0" priority="1">
      <formula>COUNTIF(Feries,$C8)&gt;0</formula>
    </cfRule>
  </conditionalFormatting>
  <pageMargins left="0.7" right="0.7" top="0.75" bottom="0.75" header="0.3" footer="0.3"/>
  <pageSetup paperSize="9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9</vt:i4>
      </vt:variant>
    </vt:vector>
  </HeadingPairs>
  <TitlesOfParts>
    <vt:vector size="24" baseType="lpstr">
      <vt:lpstr>Table </vt:lpstr>
      <vt:lpstr>Calcul_Impots</vt:lpstr>
      <vt:lpstr>DECEMBRE_-1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An_Ref</vt:lpstr>
      <vt:lpstr>année</vt:lpstr>
      <vt:lpstr>'Table '!Criteres</vt:lpstr>
      <vt:lpstr>Feries</vt:lpstr>
      <vt:lpstr>Fete</vt:lpstr>
      <vt:lpstr>Fete_M</vt:lpstr>
      <vt:lpstr>MardiG</vt:lpstr>
      <vt:lpstr>Paque</vt:lpstr>
      <vt:lpstr>Calcul_Impots!Zone_d_impression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</dc:creator>
  <cp:lastModifiedBy>STANDARD</cp:lastModifiedBy>
  <cp:lastPrinted>2017-02-25T05:06:55Z</cp:lastPrinted>
  <dcterms:created xsi:type="dcterms:W3CDTF">2017-02-24T13:50:59Z</dcterms:created>
  <dcterms:modified xsi:type="dcterms:W3CDTF">2017-03-03T02:12:54Z</dcterms:modified>
</cp:coreProperties>
</file>