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60" windowHeight="10485"/>
  </bookViews>
  <sheets>
    <sheet name="Quzaine" sheetId="6" r:id="rId1"/>
    <sheet name="Base" sheetId="19" state="hidden" r:id="rId2"/>
    <sheet name="DONNEES" sheetId="5" r:id="rId3"/>
  </sheets>
  <functionGroups builtInGroupCount="17"/>
  <definedNames>
    <definedName name="DhtQ">DONNEES!$I$8</definedName>
    <definedName name="DSem1">Quzaine!$A$5</definedName>
    <definedName name="DSem2">Quzaine!$A$17</definedName>
    <definedName name="Fériés">DONNEES!$T$2:$T$15</definedName>
    <definedName name="hdNuit">DONNEES!$F$8</definedName>
    <definedName name="hfNuit">DONNEES!$G$8</definedName>
    <definedName name="HS2Q">DONNEES!$J$8</definedName>
    <definedName name="Idaj1">DONNEES!$L$7</definedName>
    <definedName name="Idaj2">DONNEES!$M$7</definedName>
    <definedName name="kTeF">DONNEES!$G$4</definedName>
    <definedName name="kTeJ">DONNEES!$G$2</definedName>
    <definedName name="kTeN">DONNEES!$G$3</definedName>
    <definedName name="kTeP">DONNEES!$G$5</definedName>
    <definedName name="Qz0">DONNEES!$D$5</definedName>
    <definedName name="TxHB">IF(DONNEES!$B$7="DEA",DONNEES!$J$2,DONNEES!$J$3)</definedName>
    <definedName name="TxIdaj1">DONNEES!$Q$4</definedName>
    <definedName name="TxIdaj2">DONNEES!$Q$5</definedName>
    <definedName name="TxmHS1">DONNEES!$Q$2</definedName>
    <definedName name="TxmHS2">DONNEES!$Q$3</definedName>
  </definedNames>
  <calcPr calcId="145621"/>
</workbook>
</file>

<file path=xl/calcChain.xml><?xml version="1.0" encoding="utf-8"?>
<calcChain xmlns="http://schemas.openxmlformats.org/spreadsheetml/2006/main">
  <c r="F26" i="6" l="1"/>
  <c r="F14" i="6"/>
  <c r="K3" i="5" l="1"/>
  <c r="K2" i="5"/>
  <c r="L3" i="5"/>
  <c r="L2" i="5"/>
  <c r="N3" i="5"/>
  <c r="N2" i="5"/>
  <c r="M3" i="5"/>
  <c r="M2" i="5"/>
  <c r="J8" i="5"/>
  <c r="I8" i="5"/>
  <c r="D5" i="5"/>
  <c r="A1" i="6" s="1"/>
  <c r="A5" i="6" l="1"/>
  <c r="T1" i="5" s="1"/>
  <c r="T3" i="5"/>
  <c r="T9" i="5" l="1"/>
  <c r="T8" i="5"/>
  <c r="T4" i="5"/>
  <c r="T7" i="5"/>
  <c r="T13" i="5"/>
  <c r="T14" i="5"/>
  <c r="T12" i="5"/>
  <c r="T15" i="5"/>
  <c r="T10" i="5"/>
  <c r="T6" i="5"/>
  <c r="T5" i="5"/>
  <c r="T11" i="5"/>
  <c r="T2" i="5"/>
  <c r="G3" i="6"/>
  <c r="A17" i="6"/>
  <c r="A25" i="6" s="1"/>
  <c r="A13" i="6"/>
  <c r="E6" i="6"/>
  <c r="E7" i="6"/>
  <c r="E8" i="6"/>
  <c r="E9" i="6"/>
  <c r="E10" i="6"/>
  <c r="E11" i="6"/>
  <c r="E12" i="6"/>
  <c r="E18" i="6"/>
  <c r="E19" i="6"/>
  <c r="E20" i="6"/>
  <c r="E21" i="6"/>
  <c r="E22" i="6"/>
  <c r="E23" i="6"/>
  <c r="E24" i="6"/>
  <c r="F6" i="6"/>
  <c r="F10" i="6"/>
  <c r="F12" i="6"/>
  <c r="F7" i="6"/>
  <c r="F9" i="6"/>
  <c r="F8" i="6"/>
  <c r="F11" i="6"/>
  <c r="F18" i="6"/>
  <c r="H23" i="6" l="1"/>
  <c r="G23" i="6"/>
  <c r="G22" i="6"/>
  <c r="H22" i="6"/>
  <c r="H9" i="6"/>
  <c r="G9" i="6"/>
  <c r="G24" i="6"/>
  <c r="H24" i="6"/>
  <c r="H21" i="6"/>
  <c r="G21" i="6"/>
  <c r="G12" i="6"/>
  <c r="H12" i="6"/>
  <c r="G8" i="6"/>
  <c r="H8" i="6"/>
  <c r="G20" i="6"/>
  <c r="H20" i="6"/>
  <c r="H11" i="6"/>
  <c r="G11" i="6"/>
  <c r="H7" i="6"/>
  <c r="G7" i="6"/>
  <c r="H19" i="6"/>
  <c r="G19" i="6"/>
  <c r="G10" i="6"/>
  <c r="H10" i="6"/>
  <c r="G6" i="6"/>
  <c r="H6" i="6"/>
  <c r="H13" i="6" s="1"/>
  <c r="G18" i="6"/>
  <c r="H18" i="6"/>
  <c r="F22" i="6"/>
  <c r="F19" i="6"/>
  <c r="F23" i="6"/>
  <c r="F20" i="6"/>
  <c r="F24" i="6"/>
  <c r="F21" i="6"/>
  <c r="G13" i="6" l="1"/>
  <c r="H25" i="6"/>
  <c r="H29" i="6" s="1"/>
  <c r="H34" i="6" s="1"/>
  <c r="G25" i="6"/>
  <c r="F25" i="6"/>
  <c r="F13" i="6"/>
  <c r="E25" i="6"/>
  <c r="E13" i="6"/>
  <c r="E29" i="6" s="1"/>
  <c r="G29" i="6" l="1"/>
  <c r="G34" i="6" s="1"/>
  <c r="F29" i="6"/>
  <c r="C32" i="6" l="1"/>
  <c r="C34" i="6" s="1"/>
  <c r="E32" i="6" l="1"/>
  <c r="E34" i="6" s="1"/>
  <c r="F32" i="6"/>
  <c r="F34" i="6" s="1"/>
</calcChain>
</file>

<file path=xl/sharedStrings.xml><?xml version="1.0" encoding="utf-8"?>
<sst xmlns="http://schemas.openxmlformats.org/spreadsheetml/2006/main" count="80" uniqueCount="58">
  <si>
    <t>Début</t>
  </si>
  <si>
    <t>Fin</t>
  </si>
  <si>
    <t>Amplitude</t>
  </si>
  <si>
    <t>TTE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</si>
  <si>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</si>
  <si>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</si>
  <si>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</si>
  <si>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</si>
  <si>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</si>
  <si>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</si>
  <si>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</si>
  <si>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</si>
  <si>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TOTAL QUATORZAINE</t>
  </si>
  <si>
    <t>DEA</t>
  </si>
  <si>
    <t>AUX</t>
  </si>
  <si>
    <t>P</t>
  </si>
  <si>
    <t>Date d'embauche</t>
  </si>
  <si>
    <t>Qz0</t>
  </si>
  <si>
    <t>Mois de rattachement</t>
  </si>
  <si>
    <t>Coefficient</t>
  </si>
  <si>
    <t>Jour</t>
  </si>
  <si>
    <t>Nuit</t>
  </si>
  <si>
    <t>Férié</t>
  </si>
  <si>
    <t>Perm</t>
  </si>
  <si>
    <t>Horaires Nuit</t>
  </si>
  <si>
    <t>Taux horaires</t>
  </si>
  <si>
    <t>HS 25%</t>
  </si>
  <si>
    <t>HS 50%</t>
  </si>
  <si>
    <t>IDAJ 75%</t>
  </si>
  <si>
    <t>IDAJ 100%</t>
  </si>
  <si>
    <t>DHT base</t>
  </si>
  <si>
    <t>Qz</t>
  </si>
  <si>
    <t>HS 50% au-delà de</t>
  </si>
  <si>
    <t>Amplitude jour sup. à</t>
  </si>
  <si>
    <t>Taux major.</t>
  </si>
  <si>
    <t>HS1</t>
  </si>
  <si>
    <t>HS2</t>
  </si>
  <si>
    <t>IDAJ1</t>
  </si>
  <si>
    <t>IDAJ2</t>
  </si>
  <si>
    <t>Fériés</t>
  </si>
  <si>
    <t>J. An</t>
  </si>
  <si>
    <t>Pâques</t>
  </si>
  <si>
    <t>Lu Pâques</t>
  </si>
  <si>
    <t>F. Trav.</t>
  </si>
  <si>
    <t>Arm. 1945</t>
  </si>
  <si>
    <t>Ascension</t>
  </si>
  <si>
    <t>Pentecôte</t>
  </si>
  <si>
    <t>Lu Pentec.</t>
  </si>
  <si>
    <t>F. Nat.</t>
  </si>
  <si>
    <t>Assomption</t>
  </si>
  <si>
    <t>Toussaint</t>
  </si>
  <si>
    <t>Arm.1918</t>
  </si>
  <si>
    <t>Noël</t>
  </si>
  <si>
    <t>IDAJ 75</t>
  </si>
  <si>
    <t>IDAJ 100</t>
  </si>
  <si>
    <t>Durée hebdo. normale</t>
  </si>
  <si>
    <t>Durée normale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</si>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</sst>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h]&quot;:&quot;mm&quot;:&quot;ss"/>
    <numFmt numFmtId="165" formatCode="#,##0.00&quot; &quot;[$€-40C];[Red]&quot;-&quot;#,##0.00&quot; &quot;[$€-40C]"/>
    <numFmt numFmtId="167" formatCode="&quot;P&quot;;&quot;P&quot;;;&quot;P&quot;"/>
    <numFmt numFmtId="168" formatCode="h:mm"/>
    <numFmt numFmtId="169" formatCode="[h]:mm"/>
    <numFmt numFmtId="170" formatCode="mmmm\ yyyy"/>
  </numFmts>
  <fonts count="33">
    <font>
      <sz val="11"/>
      <color theme="1"/>
      <name val="Liberation Sans"/>
    </font>
    <font>
      <sz val="11"/>
      <color theme="1"/>
      <name val="Calibri"/>
      <family val="2"/>
      <scheme val="minor"/>
    </font>
    <font>
      <sz val="11"/>
      <color rgb="FF008000"/>
      <name val="Liberation Sans"/>
    </font>
    <font>
      <b/>
      <i/>
      <sz val="16"/>
      <color theme="1"/>
      <name val="Liberation Sans"/>
    </font>
    <font>
      <b/>
      <i/>
      <u/>
      <sz val="11"/>
      <color theme="1"/>
      <name val="Liberation Sans"/>
    </font>
    <font>
      <sz val="9"/>
      <color theme="1"/>
      <name val="Liberation Sans"/>
    </font>
    <font>
      <b/>
      <sz val="9"/>
      <color theme="1"/>
      <name val="Liberation Sans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C00000"/>
      <name val="Calibri"/>
      <family val="2"/>
      <scheme val="minor"/>
    </font>
    <font>
      <sz val="9"/>
      <color theme="0"/>
      <name val="Calibri"/>
      <family val="2"/>
      <scheme val="minor"/>
    </font>
    <font>
      <i/>
      <sz val="8"/>
      <color rgb="FFC00000"/>
      <name val="Calibri"/>
      <family val="2"/>
      <scheme val="minor"/>
    </font>
    <font>
      <b/>
      <sz val="9"/>
      <color theme="0" tint="-0.34998626667073579"/>
      <name val="Calibri"/>
      <family val="2"/>
      <scheme val="minor"/>
    </font>
    <font>
      <sz val="9"/>
      <color theme="0" tint="-0.34998626667073579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9"/>
      <color theme="0" tint="-0.499984740745262"/>
      <name val="Calibri"/>
      <family val="2"/>
      <scheme val="minor"/>
    </font>
    <font>
      <sz val="9"/>
      <color rgb="FFC00000"/>
      <name val="Calibri"/>
      <family val="2"/>
      <scheme val="minor"/>
    </font>
    <font>
      <b/>
      <sz val="9"/>
      <color theme="0" tint="-0.499984740745262"/>
      <name val="Liberation Sans"/>
    </font>
    <font>
      <b/>
      <sz val="9"/>
      <color rgb="FFFF0000"/>
      <name val="Liberation Sans"/>
    </font>
  </fonts>
  <fills count="4">
    <fill>
      <patternFill patternType="none"/>
    </fill>
    <fill>
      <patternFill patternType="gray125"/>
    </fill>
    <fill>
      <patternFill patternType="solid">
        <fgColor rgb="FFCCFFCC"/>
        <bgColor rgb="FFCCFFCC"/>
      </patternFill>
    </fill>
    <fill>
      <patternFill patternType="solid">
        <fgColor rgb="FFFFFF99"/>
        <bgColor indexed="64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6">
    <xf numFmtId="0" fontId="0" fillId="0" borderId="0"/>
    <xf numFmtId="0" fontId="2" fillId="2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165" fontId="4" fillId="0" borderId="0"/>
  </cellStyleXfs>
  <cellXfs count="106">
    <xf numFmtId="0" fontId="0" fillId="0" borderId="0" xfId="0"/>
    <xf numFmtId="0" fontId="0" fillId="0" borderId="0" xfId="0" applyBorder="1"/>
    <xf numFmtId="0" fontId="5" fillId="0" borderId="0" xfId="0" applyFont="1"/>
    <xf numFmtId="49" fontId="0" fillId="0" borderId="0" xfId="0" applyNumberFormat="1" applyBorder="1"/>
    <xf numFmtId="4" fontId="0" fillId="0" borderId="0" xfId="0" applyNumberFormat="1" applyBorder="1"/>
    <xf numFmtId="165" fontId="0" fillId="0" borderId="0" xfId="0" applyNumberFormat="1" applyBorder="1"/>
    <xf numFmtId="49" fontId="8" fillId="0" borderId="0" xfId="0" applyNumberFormat="1" applyFont="1" applyBorder="1"/>
    <xf numFmtId="49" fontId="9" fillId="0" borderId="0" xfId="0" applyNumberFormat="1" applyFont="1" applyBorder="1"/>
    <xf numFmtId="0" fontId="10" fillId="0" borderId="0" xfId="0" applyFont="1" applyBorder="1" applyAlignment="1">
      <alignment horizontal="right" indent="1"/>
    </xf>
    <xf numFmtId="14" fontId="7" fillId="0" borderId="6" xfId="0" applyNumberFormat="1" applyFont="1" applyBorder="1" applyAlignment="1">
      <alignment horizontal="center"/>
    </xf>
    <xf numFmtId="14" fontId="11" fillId="0" borderId="6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6" xfId="0" applyFont="1" applyBorder="1" applyAlignment="1">
      <alignment horizontal="center"/>
    </xf>
    <xf numFmtId="165" fontId="1" fillId="0" borderId="6" xfId="0" applyNumberFormat="1" applyFont="1" applyBorder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2" fillId="0" borderId="6" xfId="0" applyFont="1" applyBorder="1" applyAlignment="1">
      <alignment horizontal="center"/>
    </xf>
    <xf numFmtId="2" fontId="7" fillId="0" borderId="6" xfId="0" applyNumberFormat="1" applyFont="1" applyBorder="1"/>
    <xf numFmtId="165" fontId="8" fillId="0" borderId="0" xfId="0" applyNumberFormat="1" applyFont="1" applyBorder="1" applyAlignment="1">
      <alignment horizontal="center"/>
    </xf>
    <xf numFmtId="0" fontId="8" fillId="0" borderId="0" xfId="0" applyFont="1" applyAlignment="1">
      <alignment horizontal="right"/>
    </xf>
    <xf numFmtId="169" fontId="7" fillId="0" borderId="6" xfId="0" applyNumberFormat="1" applyFont="1" applyBorder="1" applyAlignment="1">
      <alignment horizontal="center"/>
    </xf>
    <xf numFmtId="168" fontId="7" fillId="0" borderId="6" xfId="0" applyNumberFormat="1" applyFont="1" applyBorder="1" applyAlignment="1">
      <alignment horizontal="center"/>
    </xf>
    <xf numFmtId="0" fontId="10" fillId="0" borderId="0" xfId="0" applyFont="1" applyAlignment="1">
      <alignment horizontal="right"/>
    </xf>
    <xf numFmtId="14" fontId="7" fillId="3" borderId="0" xfId="0" applyNumberFormat="1" applyFont="1" applyFill="1" applyBorder="1" applyAlignment="1">
      <alignment horizontal="center"/>
    </xf>
    <xf numFmtId="4" fontId="7" fillId="3" borderId="0" xfId="0" applyNumberFormat="1" applyFont="1" applyFill="1" applyBorder="1" applyAlignment="1">
      <alignment horizontal="center"/>
    </xf>
    <xf numFmtId="20" fontId="7" fillId="3" borderId="6" xfId="0" applyNumberFormat="1" applyFont="1" applyFill="1" applyBorder="1" applyAlignment="1">
      <alignment horizontal="center"/>
    </xf>
    <xf numFmtId="2" fontId="7" fillId="3" borderId="6" xfId="0" applyNumberFormat="1" applyFont="1" applyFill="1" applyBorder="1" applyAlignment="1">
      <alignment horizontal="center"/>
    </xf>
    <xf numFmtId="169" fontId="7" fillId="3" borderId="6" xfId="0" applyNumberFormat="1" applyFont="1" applyFill="1" applyBorder="1" applyAlignment="1">
      <alignment horizontal="center"/>
    </xf>
    <xf numFmtId="168" fontId="7" fillId="3" borderId="6" xfId="0" applyNumberFormat="1" applyFont="1" applyFill="1" applyBorder="1" applyAlignment="1">
      <alignment horizontal="center"/>
    </xf>
    <xf numFmtId="2" fontId="7" fillId="3" borderId="6" xfId="0" applyNumberFormat="1" applyFont="1" applyFill="1" applyBorder="1"/>
    <xf numFmtId="0" fontId="7" fillId="3" borderId="6" xfId="0" applyFont="1" applyFill="1" applyBorder="1" applyAlignment="1">
      <alignment horizontal="center"/>
    </xf>
    <xf numFmtId="0" fontId="8" fillId="0" borderId="0" xfId="0" applyFont="1" applyBorder="1" applyAlignment="1" applyProtection="1">
      <alignment horizontal="center"/>
      <protection hidden="1"/>
    </xf>
    <xf numFmtId="0" fontId="8" fillId="0" borderId="0" xfId="0" applyFont="1" applyAlignment="1">
      <alignment horizontal="center"/>
    </xf>
    <xf numFmtId="0" fontId="8" fillId="0" borderId="0" xfId="0" applyFont="1" applyFill="1" applyBorder="1" applyAlignment="1">
      <alignment horizontal="center"/>
    </xf>
    <xf numFmtId="168" fontId="14" fillId="0" borderId="1" xfId="0" applyNumberFormat="1" applyFont="1" applyFill="1" applyBorder="1" applyProtection="1">
      <protection hidden="1"/>
    </xf>
    <xf numFmtId="169" fontId="16" fillId="0" borderId="1" xfId="0" applyNumberFormat="1" applyFont="1" applyFill="1" applyBorder="1" applyProtection="1">
      <protection locked="0"/>
    </xf>
    <xf numFmtId="169" fontId="16" fillId="0" borderId="7" xfId="0" applyNumberFormat="1" applyFont="1" applyFill="1" applyBorder="1" applyProtection="1">
      <protection locked="0"/>
    </xf>
    <xf numFmtId="169" fontId="18" fillId="0" borderId="4" xfId="0" applyNumberFormat="1" applyFont="1" applyFill="1" applyBorder="1" applyAlignment="1" applyProtection="1">
      <alignment horizontal="center"/>
      <protection hidden="1"/>
    </xf>
    <xf numFmtId="0" fontId="21" fillId="0" borderId="0" xfId="0" applyFont="1" applyBorder="1" applyProtection="1">
      <protection hidden="1"/>
    </xf>
    <xf numFmtId="0" fontId="22" fillId="0" borderId="0" xfId="0" applyFont="1" applyBorder="1" applyAlignment="1" applyProtection="1">
      <alignment horizontal="center"/>
      <protection hidden="1"/>
    </xf>
    <xf numFmtId="0" fontId="23" fillId="0" borderId="0" xfId="0" applyFont="1" applyBorder="1" applyProtection="1">
      <protection hidden="1"/>
    </xf>
    <xf numFmtId="170" fontId="22" fillId="0" borderId="0" xfId="0" applyNumberFormat="1" applyFont="1" applyBorder="1" applyAlignment="1" applyProtection="1">
      <alignment horizontal="left" indent="1"/>
      <protection hidden="1"/>
    </xf>
    <xf numFmtId="0" fontId="17" fillId="0" borderId="1" xfId="0" applyFont="1" applyFill="1" applyBorder="1" applyAlignment="1" applyProtection="1">
      <alignment horizontal="center" vertical="center"/>
      <protection hidden="1"/>
    </xf>
    <xf numFmtId="0" fontId="13" fillId="0" borderId="5" xfId="0" applyFont="1" applyFill="1" applyBorder="1" applyAlignment="1" applyProtection="1">
      <alignment horizontal="center"/>
      <protection locked="0"/>
    </xf>
    <xf numFmtId="0" fontId="25" fillId="0" borderId="6" xfId="0" applyFont="1" applyFill="1" applyBorder="1" applyAlignment="1" applyProtection="1">
      <alignment horizontal="center"/>
      <protection hidden="1"/>
    </xf>
    <xf numFmtId="167" fontId="21" fillId="0" borderId="1" xfId="0" applyNumberFormat="1" applyFont="1" applyFill="1" applyBorder="1" applyAlignment="1" applyProtection="1">
      <alignment horizontal="center"/>
      <protection locked="0"/>
    </xf>
    <xf numFmtId="0" fontId="21" fillId="0" borderId="0" xfId="0" applyFont="1" applyFill="1" applyBorder="1" applyProtection="1">
      <protection hidden="1"/>
    </xf>
    <xf numFmtId="0" fontId="17" fillId="0" borderId="3" xfId="0" applyFont="1" applyFill="1" applyBorder="1" applyAlignment="1" applyProtection="1">
      <alignment horizontal="center"/>
      <protection hidden="1"/>
    </xf>
    <xf numFmtId="2" fontId="21" fillId="0" borderId="0" xfId="0" applyNumberFormat="1" applyFont="1" applyBorder="1" applyAlignment="1" applyProtection="1">
      <alignment horizontal="center" vertical="center"/>
      <protection hidden="1"/>
    </xf>
    <xf numFmtId="164" fontId="21" fillId="0" borderId="0" xfId="0" applyNumberFormat="1" applyFont="1" applyFill="1" applyBorder="1" applyAlignment="1" applyProtection="1">
      <alignment horizontal="right"/>
      <protection hidden="1"/>
    </xf>
    <xf numFmtId="0" fontId="21" fillId="0" borderId="0" xfId="0" applyFont="1" applyFill="1" applyBorder="1" applyAlignment="1" applyProtection="1">
      <alignment horizontal="left"/>
      <protection hidden="1"/>
    </xf>
    <xf numFmtId="2" fontId="21" fillId="0" borderId="0" xfId="0" applyNumberFormat="1" applyFont="1" applyFill="1" applyBorder="1" applyAlignment="1" applyProtection="1">
      <alignment horizontal="right"/>
      <protection hidden="1"/>
    </xf>
    <xf numFmtId="0" fontId="17" fillId="0" borderId="0" xfId="0" applyFont="1" applyFill="1" applyBorder="1" applyAlignment="1" applyProtection="1">
      <alignment horizontal="center"/>
      <protection hidden="1"/>
    </xf>
    <xf numFmtId="2" fontId="17" fillId="0" borderId="0" xfId="0" applyNumberFormat="1" applyFont="1" applyFill="1" applyBorder="1" applyAlignment="1" applyProtection="1">
      <alignment horizontal="center"/>
      <protection hidden="1"/>
    </xf>
    <xf numFmtId="164" fontId="15" fillId="0" borderId="0" xfId="0" applyNumberFormat="1" applyFont="1" applyBorder="1" applyProtection="1">
      <protection hidden="1"/>
    </xf>
    <xf numFmtId="20" fontId="10" fillId="0" borderId="1" xfId="0" applyNumberFormat="1" applyFont="1" applyFill="1" applyBorder="1" applyProtection="1">
      <protection locked="0"/>
    </xf>
    <xf numFmtId="0" fontId="19" fillId="0" borderId="1" xfId="0" applyFont="1" applyFill="1" applyBorder="1" applyAlignment="1" applyProtection="1">
      <alignment horizontal="center"/>
      <protection hidden="1"/>
    </xf>
    <xf numFmtId="169" fontId="16" fillId="0" borderId="6" xfId="0" applyNumberFormat="1" applyFont="1" applyFill="1" applyBorder="1" applyAlignment="1" applyProtection="1">
      <alignment horizontal="center"/>
      <protection hidden="1"/>
    </xf>
    <xf numFmtId="164" fontId="21" fillId="0" borderId="0" xfId="0" applyNumberFormat="1" applyFont="1" applyFill="1" applyBorder="1" applyAlignment="1" applyProtection="1">
      <alignment horizontal="center"/>
      <protection hidden="1"/>
    </xf>
    <xf numFmtId="168" fontId="26" fillId="0" borderId="8" xfId="0" applyNumberFormat="1" applyFont="1" applyFill="1" applyBorder="1" applyProtection="1">
      <protection hidden="1"/>
    </xf>
    <xf numFmtId="168" fontId="26" fillId="0" borderId="9" xfId="0" applyNumberFormat="1" applyFont="1" applyFill="1" applyBorder="1" applyProtection="1">
      <protection hidden="1"/>
    </xf>
    <xf numFmtId="168" fontId="26" fillId="0" borderId="10" xfId="0" applyNumberFormat="1" applyFont="1" applyFill="1" applyBorder="1" applyProtection="1">
      <protection hidden="1"/>
    </xf>
    <xf numFmtId="2" fontId="21" fillId="0" borderId="2" xfId="0" applyNumberFormat="1" applyFont="1" applyBorder="1" applyAlignment="1" applyProtection="1">
      <alignment horizontal="center" vertical="center"/>
      <protection hidden="1"/>
    </xf>
    <xf numFmtId="0" fontId="15" fillId="0" borderId="0" xfId="0" applyFont="1" applyBorder="1" applyAlignment="1" applyProtection="1">
      <protection hidden="1"/>
    </xf>
    <xf numFmtId="0" fontId="15" fillId="0" borderId="0" xfId="0" applyFont="1" applyBorder="1" applyProtection="1">
      <protection hidden="1"/>
    </xf>
    <xf numFmtId="9" fontId="17" fillId="0" borderId="0" xfId="0" applyNumberFormat="1" applyFont="1" applyFill="1" applyBorder="1" applyAlignment="1" applyProtection="1">
      <alignment horizontal="center"/>
      <protection hidden="1"/>
    </xf>
    <xf numFmtId="169" fontId="17" fillId="0" borderId="0" xfId="0" applyNumberFormat="1" applyFont="1" applyFill="1" applyBorder="1" applyAlignment="1" applyProtection="1">
      <alignment horizontal="center"/>
      <protection hidden="1"/>
    </xf>
    <xf numFmtId="164" fontId="15" fillId="0" borderId="0" xfId="0" applyNumberFormat="1" applyFont="1" applyFill="1" applyBorder="1" applyAlignment="1" applyProtection="1">
      <alignment horizontal="center" vertical="center"/>
      <protection hidden="1"/>
    </xf>
    <xf numFmtId="169" fontId="29" fillId="0" borderId="6" xfId="0" applyNumberFormat="1" applyFont="1" applyFill="1" applyBorder="1" applyAlignment="1" applyProtection="1">
      <alignment horizontal="center"/>
      <protection hidden="1"/>
    </xf>
    <xf numFmtId="9" fontId="30" fillId="0" borderId="2" xfId="0" applyNumberFormat="1" applyFont="1" applyFill="1" applyBorder="1" applyAlignment="1" applyProtection="1">
      <alignment horizontal="center"/>
      <protection hidden="1"/>
    </xf>
    <xf numFmtId="169" fontId="30" fillId="0" borderId="0" xfId="0" applyNumberFormat="1" applyFont="1" applyFill="1" applyBorder="1" applyAlignment="1" applyProtection="1">
      <alignment horizontal="center"/>
      <protection hidden="1"/>
    </xf>
    <xf numFmtId="0" fontId="27" fillId="0" borderId="6" xfId="0" applyFont="1" applyBorder="1" applyAlignment="1" applyProtection="1">
      <alignment horizontal="center"/>
      <protection hidden="1"/>
    </xf>
    <xf numFmtId="169" fontId="18" fillId="0" borderId="6" xfId="0" applyNumberFormat="1" applyFont="1" applyFill="1" applyBorder="1" applyAlignment="1" applyProtection="1">
      <alignment horizontal="center"/>
      <protection hidden="1"/>
    </xf>
    <xf numFmtId="169" fontId="28" fillId="0" borderId="6" xfId="0" applyNumberFormat="1" applyFont="1" applyFill="1" applyBorder="1" applyAlignment="1" applyProtection="1">
      <alignment horizontal="center"/>
      <protection hidden="1"/>
    </xf>
    <xf numFmtId="164" fontId="10" fillId="0" borderId="11" xfId="0" applyNumberFormat="1" applyFont="1" applyBorder="1" applyAlignment="1" applyProtection="1">
      <alignment horizontal="center"/>
      <protection hidden="1"/>
    </xf>
    <xf numFmtId="164" fontId="10" fillId="0" borderId="12" xfId="0" applyNumberFormat="1" applyFont="1" applyBorder="1" applyAlignment="1" applyProtection="1">
      <alignment horizontal="center"/>
      <protection hidden="1"/>
    </xf>
    <xf numFmtId="164" fontId="10" fillId="0" borderId="13" xfId="0" applyNumberFormat="1" applyFont="1" applyBorder="1" applyAlignment="1" applyProtection="1">
      <alignment horizontal="center"/>
      <protection hidden="1"/>
    </xf>
    <xf numFmtId="164" fontId="22" fillId="0" borderId="6" xfId="0" applyNumberFormat="1" applyFont="1" applyBorder="1" applyAlignment="1" applyProtection="1">
      <alignment horizontal="center"/>
      <protection hidden="1"/>
    </xf>
    <xf numFmtId="2" fontId="22" fillId="0" borderId="6" xfId="0" applyNumberFormat="1" applyFont="1" applyBorder="1" applyAlignment="1" applyProtection="1">
      <alignment horizontal="center" vertical="center"/>
      <protection hidden="1"/>
    </xf>
    <xf numFmtId="164" fontId="22" fillId="0" borderId="6" xfId="0" applyNumberFormat="1" applyFont="1" applyFill="1" applyBorder="1" applyAlignment="1" applyProtection="1">
      <alignment horizontal="center" vertical="center"/>
      <protection hidden="1"/>
    </xf>
    <xf numFmtId="169" fontId="7" fillId="0" borderId="6" xfId="0" applyNumberFormat="1" applyFont="1" applyBorder="1" applyAlignment="1" applyProtection="1">
      <alignment horizontal="center"/>
      <protection hidden="1"/>
    </xf>
    <xf numFmtId="169" fontId="16" fillId="0" borderId="6" xfId="0" applyNumberFormat="1" applyFont="1" applyBorder="1" applyAlignment="1" applyProtection="1">
      <alignment horizontal="center"/>
      <protection hidden="1"/>
    </xf>
    <xf numFmtId="2" fontId="6" fillId="0" borderId="6" xfId="0" applyNumberFormat="1" applyFont="1" applyBorder="1" applyAlignment="1">
      <alignment horizontal="center"/>
    </xf>
    <xf numFmtId="2" fontId="32" fillId="0" borderId="6" xfId="0" applyNumberFormat="1" applyFont="1" applyBorder="1" applyAlignment="1">
      <alignment horizontal="center"/>
    </xf>
    <xf numFmtId="2" fontId="31" fillId="0" borderId="6" xfId="0" applyNumberFormat="1" applyFont="1" applyBorder="1" applyAlignment="1">
      <alignment horizontal="center"/>
    </xf>
    <xf numFmtId="0" fontId="11" fillId="0" borderId="14" xfId="0" applyFont="1" applyFill="1" applyBorder="1" applyAlignment="1" applyProtection="1">
      <alignment horizontal="center"/>
      <protection locked="0"/>
    </xf>
    <xf numFmtId="0" fontId="11" fillId="0" borderId="15" xfId="0" applyFont="1" applyFill="1" applyBorder="1" applyAlignment="1" applyProtection="1">
      <alignment horizontal="center"/>
      <protection locked="0"/>
    </xf>
    <xf numFmtId="0" fontId="11" fillId="0" borderId="16" xfId="0" applyFont="1" applyFill="1" applyBorder="1" applyAlignment="1" applyProtection="1">
      <alignment horizontal="center"/>
      <protection locked="0"/>
    </xf>
    <xf numFmtId="0" fontId="20" fillId="0" borderId="8" xfId="0" applyFont="1" applyFill="1" applyBorder="1" applyAlignment="1" applyProtection="1">
      <alignment horizontal="center"/>
      <protection locked="0"/>
    </xf>
    <xf numFmtId="0" fontId="21" fillId="0" borderId="17" xfId="0" applyFont="1" applyBorder="1" applyProtection="1">
      <protection hidden="1"/>
    </xf>
    <xf numFmtId="0" fontId="21" fillId="0" borderId="12" xfId="0" applyFont="1" applyBorder="1" applyProtection="1">
      <protection hidden="1"/>
    </xf>
    <xf numFmtId="0" fontId="8" fillId="0" borderId="17" xfId="0" applyFont="1" applyBorder="1" applyAlignment="1" applyProtection="1">
      <alignment horizontal="center"/>
      <protection hidden="1"/>
    </xf>
    <xf numFmtId="170" fontId="22" fillId="0" borderId="12" xfId="0" applyNumberFormat="1" applyFont="1" applyBorder="1" applyAlignment="1" applyProtection="1">
      <alignment horizontal="left" indent="1"/>
      <protection hidden="1"/>
    </xf>
    <xf numFmtId="14" fontId="24" fillId="0" borderId="17" xfId="0" applyNumberFormat="1" applyFont="1" applyBorder="1" applyAlignment="1" applyProtection="1">
      <alignment horizontal="center"/>
      <protection hidden="1"/>
    </xf>
    <xf numFmtId="0" fontId="19" fillId="0" borderId="18" xfId="0" applyFont="1" applyBorder="1" applyProtection="1">
      <protection hidden="1"/>
    </xf>
    <xf numFmtId="168" fontId="26" fillId="0" borderId="12" xfId="0" applyNumberFormat="1" applyFont="1" applyFill="1" applyBorder="1" applyProtection="1">
      <protection hidden="1"/>
    </xf>
    <xf numFmtId="0" fontId="21" fillId="0" borderId="12" xfId="0" applyFont="1" applyFill="1" applyBorder="1" applyAlignment="1" applyProtection="1">
      <alignment horizontal="left"/>
      <protection hidden="1"/>
    </xf>
    <xf numFmtId="0" fontId="15" fillId="0" borderId="17" xfId="0" applyFont="1" applyBorder="1" applyAlignment="1" applyProtection="1">
      <protection hidden="1"/>
    </xf>
    <xf numFmtId="164" fontId="21" fillId="0" borderId="12" xfId="0" applyNumberFormat="1" applyFont="1" applyBorder="1" applyProtection="1">
      <protection hidden="1"/>
    </xf>
    <xf numFmtId="0" fontId="5" fillId="0" borderId="17" xfId="0" applyFont="1" applyBorder="1"/>
    <xf numFmtId="0" fontId="5" fillId="0" borderId="0" xfId="0" applyFont="1" applyBorder="1"/>
    <xf numFmtId="0" fontId="5" fillId="0" borderId="12" xfId="0" applyFont="1" applyBorder="1"/>
    <xf numFmtId="0" fontId="5" fillId="0" borderId="19" xfId="0" applyFont="1" applyBorder="1"/>
    <xf numFmtId="0" fontId="5" fillId="0" borderId="20" xfId="0" applyFont="1" applyBorder="1"/>
    <xf numFmtId="0" fontId="5" fillId="0" borderId="13" xfId="0" applyFont="1" applyBorder="1"/>
  </cellXfs>
  <cellStyles count="6">
    <cellStyle name="Excel_CondFormat_1_1_1" xfId="1"/>
    <cellStyle name="Heading" xfId="2"/>
    <cellStyle name="Heading1" xfId="3"/>
    <cellStyle name="Normal" xfId="0" builtinId="0" customBuiltin="1"/>
    <cellStyle name="Result" xfId="4"/>
    <cellStyle name="Result2" xfId="5"/>
  </cellStyles>
  <dxfs count="0"/>
  <tableStyles count="0" defaultTableStyle="TableStyleMedium2" defaultPivotStyle="PivotStyleLight16"/>
  <colors>
    <mruColors>
      <color rgb="FFEB8A5F"/>
      <color rgb="FFFBF2E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19050</xdr:colOff>
          <xdr:row>0</xdr:row>
          <xdr:rowOff>9525</xdr:rowOff>
        </xdr:from>
        <xdr:to>
          <xdr:col>7</xdr:col>
          <xdr:colOff>438150</xdr:colOff>
          <xdr:row>1</xdr:row>
          <xdr:rowOff>0</xdr:rowOff>
        </xdr:to>
        <xdr:sp macro="" textlink="">
          <xdr:nvSpPr>
            <xdr:cNvPr id="2049" name="Spin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390525</xdr:colOff>
          <xdr:row>1</xdr:row>
          <xdr:rowOff>142875</xdr:rowOff>
        </xdr:from>
        <xdr:to>
          <xdr:col>8</xdr:col>
          <xdr:colOff>0</xdr:colOff>
          <xdr:row>3</xdr:row>
          <xdr:rowOff>19050</xdr:rowOff>
        </xdr:to>
        <xdr:sp macro="" textlink="">
          <xdr:nvSpPr>
            <xdr:cNvPr id="2050" name="SpinButton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absolute">
    <xdr:from>
      <xdr:col>8</xdr:col>
      <xdr:colOff>457200</xdr:colOff>
      <xdr:row>0</xdr:row>
      <xdr:rowOff>95250</xdr:rowOff>
    </xdr:from>
    <xdr:to>
      <xdr:col>9</xdr:col>
      <xdr:colOff>533400</xdr:colOff>
      <xdr:row>2</xdr:row>
      <xdr:rowOff>19050</xdr:rowOff>
    </xdr:to>
    <xdr:sp macro="[0]!Valider" textlink="">
      <xdr:nvSpPr>
        <xdr:cNvPr id="2" name="Valider"/>
        <xdr:cNvSpPr/>
      </xdr:nvSpPr>
      <xdr:spPr>
        <a:xfrm>
          <a:off x="5486400" y="95250"/>
          <a:ext cx="771525" cy="323850"/>
        </a:xfrm>
        <a:prstGeom prst="roundRect">
          <a:avLst/>
        </a:prstGeom>
        <a:gradFill>
          <a:gsLst>
            <a:gs pos="0">
              <a:srgbClr val="C00000"/>
            </a:gs>
            <a:gs pos="50000">
              <a:srgbClr val="EB8A5F"/>
            </a:gs>
            <a:gs pos="100000">
              <a:srgbClr val="FBF2E1"/>
            </a:gs>
          </a:gsLst>
          <a:lin ang="5400000" scaled="0"/>
        </a:gradFill>
        <a:ln w="15875">
          <a:solidFill>
            <a:srgbClr val="C00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contourW="12700">
          <a:bevelT w="165100" prst="coolSlant"/>
          <a:contourClr>
            <a:srgbClr val="C000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/>
            <a:t>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H36"/>
  <sheetViews>
    <sheetView tabSelected="1" zoomScaleNormal="100" zoomScaleSheetLayoutView="100" workbookViewId="0">
      <pane ySplit="3" topLeftCell="A4" activePane="bottomLeft" state="frozen"/>
      <selection pane="bottomLeft" activeCell="J14" sqref="J14"/>
    </sheetView>
  </sheetViews>
  <sheetFormatPr baseColWidth="10" defaultColWidth="9.125" defaultRowHeight="12"/>
  <cols>
    <col min="1" max="2" width="9.125" style="2"/>
    <col min="3" max="3" width="9.125" style="2" customWidth="1"/>
    <col min="4" max="4" width="2.125" style="2" customWidth="1"/>
    <col min="5" max="16384" width="9.125" style="2"/>
  </cols>
  <sheetData>
    <row r="1" spans="1:8" ht="20.100000000000001" customHeight="1">
      <c r="A1" s="86" t="str">
        <f>IFERROR("Quatorzaine du lundi "&amp;TEXT(Qz0+H1*14,"jj/mm/aaaa")&amp;" au dimanche "&amp;TEXT(Qz0+(H1+1)*14-1,"jj/mm/aaaa"),"")</f>
        <v>Quatorzaine du lundi 26/12/2016 au dimanche 08/01/2017</v>
      </c>
      <c r="B1" s="87"/>
      <c r="C1" s="87"/>
      <c r="D1" s="87"/>
      <c r="E1" s="87"/>
      <c r="F1" s="87"/>
      <c r="G1" s="88"/>
      <c r="H1" s="89">
        <v>1</v>
      </c>
    </row>
    <row r="2" spans="1:8">
      <c r="A2" s="90"/>
      <c r="B2" s="39"/>
      <c r="C2" s="39"/>
      <c r="D2" s="39"/>
      <c r="E2" s="39"/>
      <c r="F2" s="39"/>
      <c r="G2" s="39"/>
      <c r="H2" s="91"/>
    </row>
    <row r="3" spans="1:8" ht="12.75">
      <c r="A3" s="92"/>
      <c r="B3" s="40"/>
      <c r="C3" s="39"/>
      <c r="D3" s="41">
        <v>1</v>
      </c>
      <c r="E3" s="32" t="s">
        <v>18</v>
      </c>
      <c r="F3" s="32"/>
      <c r="G3" s="42">
        <f>IFERROR(EOMONTH(A5,D3),"")</f>
        <v>42766</v>
      </c>
      <c r="H3" s="93"/>
    </row>
    <row r="4" spans="1:8">
      <c r="A4" s="90"/>
      <c r="B4" s="39"/>
      <c r="C4" s="39"/>
      <c r="D4" s="39"/>
      <c r="E4" s="39"/>
      <c r="F4" s="39"/>
      <c r="G4" s="39"/>
      <c r="H4" s="91"/>
    </row>
    <row r="5" spans="1:8">
      <c r="A5" s="94">
        <f>IFERROR(Qz0+H1*14,"")</f>
        <v>42730</v>
      </c>
      <c r="B5" s="43" t="s">
        <v>0</v>
      </c>
      <c r="C5" s="43" t="s">
        <v>1</v>
      </c>
      <c r="D5" s="43" t="s">
        <v>15</v>
      </c>
      <c r="E5" s="43" t="s">
        <v>2</v>
      </c>
      <c r="F5" s="44" t="s">
        <v>3</v>
      </c>
      <c r="G5" s="45" t="s">
        <v>53</v>
      </c>
      <c r="H5" s="45" t="s">
        <v>54</v>
      </c>
    </row>
    <row r="6" spans="1:8" ht="15">
      <c r="A6" s="95" t="s">
        <v>4</v>
      </c>
      <c r="B6" s="56">
        <v>0.34027777777777773</v>
      </c>
      <c r="C6" s="56">
        <v>0.8125</v>
      </c>
      <c r="D6" s="46"/>
      <c r="E6" s="35">
        <f>MOD(C6-B6,1)</f>
        <v>0.47222222222222227</v>
      </c>
      <c r="F6" s="36">
        <f ca="1">CTTE(ROW(1:1))</f>
        <v>0.42500000000000004</v>
      </c>
      <c r="G6" s="60" t="str">
        <f>IF(E6&gt;0.5,MIN(1/24,E6-0.5),"")</f>
        <v/>
      </c>
      <c r="H6" s="96" t="str">
        <f>IF(E6&gt;13/24,E6-13/24,"")</f>
        <v/>
      </c>
    </row>
    <row r="7" spans="1:8" ht="15">
      <c r="A7" s="95" t="s">
        <v>5</v>
      </c>
      <c r="B7" s="56">
        <v>0.1875</v>
      </c>
      <c r="C7" s="56">
        <v>0.33333333333333331</v>
      </c>
      <c r="D7" s="46"/>
      <c r="E7" s="35">
        <f t="shared" ref="E7:E12" si="0">MOD(C7-B7,1)</f>
        <v>0.14583333333333331</v>
      </c>
      <c r="F7" s="36">
        <f ca="1">CTTE(ROW(2:2))</f>
        <v>0.10937499999999999</v>
      </c>
      <c r="G7" s="61" t="str">
        <f t="shared" ref="G7:G12" si="1">IF(E7&gt;0.5,MIN(1/24,E7-0.5),"")</f>
        <v/>
      </c>
      <c r="H7" s="96" t="str">
        <f t="shared" ref="H7:H12" si="2">IF(E7&gt;13/24,E7-13/24,"")</f>
        <v/>
      </c>
    </row>
    <row r="8" spans="1:8" ht="15">
      <c r="A8" s="95" t="s">
        <v>6</v>
      </c>
      <c r="B8" s="56">
        <v>0.24305555555555555</v>
      </c>
      <c r="C8" s="56">
        <v>0.68055555555555547</v>
      </c>
      <c r="D8" s="46"/>
      <c r="E8" s="35">
        <f t="shared" si="0"/>
        <v>0.43749999999999989</v>
      </c>
      <c r="F8" s="36">
        <f ca="1">CTTE(ROW(3:3))</f>
        <v>0.38020833333333326</v>
      </c>
      <c r="G8" s="61" t="str">
        <f t="shared" si="1"/>
        <v/>
      </c>
      <c r="H8" s="96" t="str">
        <f t="shared" si="2"/>
        <v/>
      </c>
    </row>
    <row r="9" spans="1:8" ht="15">
      <c r="A9" s="95" t="s">
        <v>7</v>
      </c>
      <c r="B9" s="56">
        <v>0.25</v>
      </c>
      <c r="C9" s="56">
        <v>0.87847222222222221</v>
      </c>
      <c r="D9" s="46"/>
      <c r="E9" s="35">
        <f t="shared" si="0"/>
        <v>0.62847222222222221</v>
      </c>
      <c r="F9" s="36">
        <f ca="1">CTTE(ROW(4:4))</f>
        <v>0.5463541666666667</v>
      </c>
      <c r="G9" s="61">
        <f t="shared" si="1"/>
        <v>4.1666666666666664E-2</v>
      </c>
      <c r="H9" s="96">
        <f t="shared" si="2"/>
        <v>8.680555555555558E-2</v>
      </c>
    </row>
    <row r="10" spans="1:8" ht="15">
      <c r="A10" s="95" t="s">
        <v>8</v>
      </c>
      <c r="B10" s="56">
        <v>0.35069444444444442</v>
      </c>
      <c r="C10" s="56">
        <v>0.20833333333333334</v>
      </c>
      <c r="D10" s="46"/>
      <c r="E10" s="35">
        <f t="shared" si="0"/>
        <v>0.85763888888888895</v>
      </c>
      <c r="F10" s="36">
        <f ca="1">CTTE(ROW(5:5))</f>
        <v>0.71562499999999996</v>
      </c>
      <c r="G10" s="61">
        <f t="shared" si="1"/>
        <v>4.1666666666666664E-2</v>
      </c>
      <c r="H10" s="96">
        <f t="shared" si="2"/>
        <v>0.31597222222222232</v>
      </c>
    </row>
    <row r="11" spans="1:8" ht="15">
      <c r="A11" s="95" t="s">
        <v>9</v>
      </c>
      <c r="B11" s="56">
        <v>0.66666666666666663</v>
      </c>
      <c r="C11" s="56">
        <v>0.5</v>
      </c>
      <c r="D11" s="46"/>
      <c r="E11" s="35">
        <f t="shared" si="0"/>
        <v>0.83333333333333337</v>
      </c>
      <c r="F11" s="36">
        <f ca="1">CTTE(ROW(6:6))</f>
        <v>0.65000000000000013</v>
      </c>
      <c r="G11" s="61">
        <f t="shared" si="1"/>
        <v>4.1666666666666664E-2</v>
      </c>
      <c r="H11" s="96">
        <f t="shared" si="2"/>
        <v>0.29166666666666674</v>
      </c>
    </row>
    <row r="12" spans="1:8" ht="15">
      <c r="A12" s="95" t="s">
        <v>10</v>
      </c>
      <c r="B12" s="56">
        <v>0.91666666666666663</v>
      </c>
      <c r="C12" s="56">
        <v>0.375</v>
      </c>
      <c r="D12" s="46"/>
      <c r="E12" s="35">
        <f t="shared" si="0"/>
        <v>0.45833333333333337</v>
      </c>
      <c r="F12" s="37">
        <f ca="1">CTTE(ROW(7:7))</f>
        <v>0.35000000000000009</v>
      </c>
      <c r="G12" s="62" t="str">
        <f t="shared" si="1"/>
        <v/>
      </c>
      <c r="H12" s="96" t="str">
        <f t="shared" si="2"/>
        <v/>
      </c>
    </row>
    <row r="13" spans="1:8" ht="15">
      <c r="A13" s="94">
        <f>IFERROR(A5+6,"")</f>
        <v>42736</v>
      </c>
      <c r="B13" s="47"/>
      <c r="C13" s="57" t="s">
        <v>11</v>
      </c>
      <c r="D13" s="48"/>
      <c r="E13" s="38">
        <f>SUM(E6:E12)</f>
        <v>3.8333333333333335</v>
      </c>
      <c r="F13" s="58">
        <f ca="1">SUM(F6:F12)</f>
        <v>3.1765625000000006</v>
      </c>
      <c r="G13" s="69">
        <f>SUM(G6:G12)</f>
        <v>0.125</v>
      </c>
      <c r="H13" s="69">
        <f>SUM(H6:H12)</f>
        <v>0.69444444444444464</v>
      </c>
    </row>
    <row r="14" spans="1:8" ht="12.75">
      <c r="A14" s="90"/>
      <c r="B14" s="47"/>
      <c r="C14" s="70" t="s">
        <v>55</v>
      </c>
      <c r="D14" s="70"/>
      <c r="E14" s="70"/>
      <c r="F14" s="71">
        <f>DONNEES!$I$7</f>
        <v>1.625</v>
      </c>
      <c r="G14" s="49"/>
      <c r="H14" s="76"/>
    </row>
    <row r="15" spans="1:8">
      <c r="A15" s="90"/>
      <c r="B15" s="47"/>
      <c r="C15" s="53"/>
      <c r="D15" s="53"/>
      <c r="E15" s="54"/>
      <c r="F15" s="50"/>
      <c r="G15" s="51"/>
      <c r="H15" s="97"/>
    </row>
    <row r="16" spans="1:8">
      <c r="A16" s="90"/>
      <c r="B16" s="47"/>
      <c r="C16" s="53"/>
      <c r="D16" s="53"/>
      <c r="E16" s="54"/>
      <c r="F16" s="52"/>
      <c r="G16" s="51"/>
      <c r="H16" s="97"/>
    </row>
    <row r="17" spans="1:8">
      <c r="A17" s="94">
        <f>IFERROR(A5+7,"")</f>
        <v>42737</v>
      </c>
      <c r="B17" s="43" t="s">
        <v>0</v>
      </c>
      <c r="C17" s="43" t="s">
        <v>1</v>
      </c>
      <c r="D17" s="43" t="s">
        <v>15</v>
      </c>
      <c r="E17" s="43" t="s">
        <v>2</v>
      </c>
      <c r="F17" s="44" t="s">
        <v>3</v>
      </c>
      <c r="G17" s="45" t="s">
        <v>53</v>
      </c>
      <c r="H17" s="45" t="s">
        <v>54</v>
      </c>
    </row>
    <row r="18" spans="1:8" ht="15">
      <c r="A18" s="95" t="s">
        <v>4</v>
      </c>
      <c r="B18" s="56">
        <v>2.0833333333333332E-2</v>
      </c>
      <c r="C18" s="56">
        <v>0</v>
      </c>
      <c r="D18" s="46"/>
      <c r="E18" s="35">
        <f t="shared" ref="E18:E24" si="3">MOD(C18-B18,1)</f>
        <v>0.97916666666666663</v>
      </c>
      <c r="F18" s="36">
        <f ca="1">CTTE(ROW(8:8))</f>
        <v>0.80937499999999996</v>
      </c>
      <c r="G18" s="60">
        <f>IF(E18&gt;0.5,MIN(1/24,E18-0.5),"")</f>
        <v>4.1666666666666664E-2</v>
      </c>
      <c r="H18" s="96">
        <f>IF(E18&gt;13/24,E18-13/24,"")</f>
        <v>0.4375</v>
      </c>
    </row>
    <row r="19" spans="1:8" ht="15">
      <c r="A19" s="95" t="s">
        <v>5</v>
      </c>
      <c r="B19" s="56">
        <v>0.97916666666666663</v>
      </c>
      <c r="C19" s="56">
        <v>0.9375</v>
      </c>
      <c r="D19" s="46"/>
      <c r="E19" s="35">
        <f t="shared" si="3"/>
        <v>0.95833333333333337</v>
      </c>
      <c r="F19" s="36">
        <f ca="1">CTTE(ROW(9:9))</f>
        <v>0.79374999999999996</v>
      </c>
      <c r="G19" s="61">
        <f t="shared" ref="G19:G24" si="4">IF(E19&gt;0.5,MIN(1/24,E19-0.5),"")</f>
        <v>4.1666666666666664E-2</v>
      </c>
      <c r="H19" s="96">
        <f t="shared" ref="H19:H24" si="5">IF(E19&gt;13/24,E19-13/24,"")</f>
        <v>0.41666666666666674</v>
      </c>
    </row>
    <row r="20" spans="1:8" ht="15">
      <c r="A20" s="95" t="s">
        <v>6</v>
      </c>
      <c r="B20" s="56">
        <v>0.875</v>
      </c>
      <c r="C20" s="56">
        <v>0.85416666666666663</v>
      </c>
      <c r="D20" s="46" t="s">
        <v>57</v>
      </c>
      <c r="E20" s="35">
        <f t="shared" si="3"/>
        <v>0.97916666666666663</v>
      </c>
      <c r="F20" s="36">
        <f ca="1">CTTE(ROW(10:10))</f>
        <v>0.73437499999999989</v>
      </c>
      <c r="G20" s="61">
        <f t="shared" si="4"/>
        <v>4.1666666666666664E-2</v>
      </c>
      <c r="H20" s="96">
        <f t="shared" si="5"/>
        <v>0.4375</v>
      </c>
    </row>
    <row r="21" spans="1:8" ht="15">
      <c r="A21" s="95" t="s">
        <v>7</v>
      </c>
      <c r="B21" s="56">
        <v>0.79166666666666663</v>
      </c>
      <c r="C21" s="56">
        <v>0.75</v>
      </c>
      <c r="D21" s="46"/>
      <c r="E21" s="35">
        <f t="shared" si="3"/>
        <v>0.95833333333333337</v>
      </c>
      <c r="F21" s="36">
        <f ca="1">CTTE(ROW(11:11))</f>
        <v>0.78750000000000009</v>
      </c>
      <c r="G21" s="61">
        <f t="shared" si="4"/>
        <v>4.1666666666666664E-2</v>
      </c>
      <c r="H21" s="96">
        <f t="shared" si="5"/>
        <v>0.41666666666666674</v>
      </c>
    </row>
    <row r="22" spans="1:8" ht="15">
      <c r="A22" s="95" t="s">
        <v>8</v>
      </c>
      <c r="B22" s="56"/>
      <c r="C22" s="56"/>
      <c r="D22" s="46"/>
      <c r="E22" s="35">
        <f t="shared" si="3"/>
        <v>0</v>
      </c>
      <c r="F22" s="36">
        <f ca="1">CTTE(ROW(12:12))</f>
        <v>0</v>
      </c>
      <c r="G22" s="61" t="str">
        <f t="shared" si="4"/>
        <v/>
      </c>
      <c r="H22" s="96" t="str">
        <f t="shared" si="5"/>
        <v/>
      </c>
    </row>
    <row r="23" spans="1:8" ht="15">
      <c r="A23" s="95" t="s">
        <v>9</v>
      </c>
      <c r="B23" s="56"/>
      <c r="C23" s="56"/>
      <c r="D23" s="46"/>
      <c r="E23" s="35">
        <f t="shared" si="3"/>
        <v>0</v>
      </c>
      <c r="F23" s="36">
        <f ca="1">CTTE(ROW(13:13))</f>
        <v>0</v>
      </c>
      <c r="G23" s="61" t="str">
        <f t="shared" si="4"/>
        <v/>
      </c>
      <c r="H23" s="96" t="str">
        <f t="shared" si="5"/>
        <v/>
      </c>
    </row>
    <row r="24" spans="1:8" ht="15">
      <c r="A24" s="95" t="s">
        <v>10</v>
      </c>
      <c r="B24" s="56"/>
      <c r="C24" s="56"/>
      <c r="D24" s="46"/>
      <c r="E24" s="35">
        <f t="shared" si="3"/>
        <v>0</v>
      </c>
      <c r="F24" s="37">
        <f ca="1">CTTE(ROW(14:14))</f>
        <v>0</v>
      </c>
      <c r="G24" s="62" t="str">
        <f t="shared" si="4"/>
        <v/>
      </c>
      <c r="H24" s="96" t="str">
        <f t="shared" si="5"/>
        <v/>
      </c>
    </row>
    <row r="25" spans="1:8" ht="15">
      <c r="A25" s="94">
        <f>IFERROR(A17+6,"")</f>
        <v>42743</v>
      </c>
      <c r="B25" s="47"/>
      <c r="C25" s="57" t="s">
        <v>11</v>
      </c>
      <c r="D25" s="48"/>
      <c r="E25" s="38">
        <f>SUM(E18:E24)</f>
        <v>3.875</v>
      </c>
      <c r="F25" s="58">
        <f ca="1">SUM(F18:F24)</f>
        <v>3.125</v>
      </c>
      <c r="G25" s="69">
        <f t="shared" ref="G25:H25" si="6">SUM(G18:G24)</f>
        <v>0.16666666666666666</v>
      </c>
      <c r="H25" s="69">
        <f t="shared" si="6"/>
        <v>1.7083333333333335</v>
      </c>
    </row>
    <row r="26" spans="1:8" ht="12.75">
      <c r="A26" s="90"/>
      <c r="B26" s="39"/>
      <c r="C26" s="70" t="s">
        <v>55</v>
      </c>
      <c r="D26" s="70"/>
      <c r="E26" s="70"/>
      <c r="F26" s="71">
        <f>DONNEES!$I$7</f>
        <v>1.625</v>
      </c>
      <c r="G26" s="63"/>
      <c r="H26" s="75"/>
    </row>
    <row r="27" spans="1:8" ht="12.75">
      <c r="A27" s="90"/>
      <c r="B27" s="39"/>
      <c r="C27" s="66"/>
      <c r="D27" s="66"/>
      <c r="E27" s="67"/>
      <c r="F27" s="59"/>
      <c r="G27" s="49"/>
      <c r="H27" s="76"/>
    </row>
    <row r="28" spans="1:8" ht="12.75">
      <c r="A28" s="90"/>
      <c r="B28" s="39"/>
      <c r="C28" s="66"/>
      <c r="D28" s="66"/>
      <c r="E28" s="67"/>
      <c r="F28" s="59"/>
      <c r="G28" s="49"/>
      <c r="H28" s="77"/>
    </row>
    <row r="29" spans="1:8" ht="15">
      <c r="A29" s="72" t="s">
        <v>12</v>
      </c>
      <c r="B29" s="72"/>
      <c r="C29" s="72"/>
      <c r="D29" s="72"/>
      <c r="E29" s="73">
        <f>E13+E25</f>
        <v>7.7083333333333339</v>
      </c>
      <c r="F29" s="58">
        <f t="shared" ref="F29:H29" ca="1" si="7">F13+F25</f>
        <v>6.3015625000000011</v>
      </c>
      <c r="G29" s="74">
        <f t="shared" si="7"/>
        <v>0.29166666666666663</v>
      </c>
      <c r="H29" s="74">
        <f t="shared" si="7"/>
        <v>2.4027777777777781</v>
      </c>
    </row>
    <row r="30" spans="1:8">
      <c r="A30" s="98"/>
      <c r="B30" s="64"/>
      <c r="C30" s="55"/>
      <c r="D30" s="55"/>
      <c r="E30" s="65"/>
      <c r="F30" s="68"/>
      <c r="G30" s="49"/>
      <c r="H30" s="99"/>
    </row>
    <row r="31" spans="1:8">
      <c r="A31" s="98"/>
      <c r="B31" s="55"/>
      <c r="C31" s="78" t="s">
        <v>56</v>
      </c>
      <c r="D31" s="78"/>
      <c r="E31" s="79" t="s">
        <v>26</v>
      </c>
      <c r="F31" s="80" t="s">
        <v>27</v>
      </c>
      <c r="G31" s="49"/>
      <c r="H31" s="99"/>
    </row>
    <row r="32" spans="1:8" ht="15">
      <c r="A32" s="90"/>
      <c r="B32" s="39"/>
      <c r="C32" s="81">
        <f ca="1">MIN(F29,DhtQ)</f>
        <v>3.25</v>
      </c>
      <c r="D32" s="81"/>
      <c r="E32" s="82">
        <f ca="1">IF(F29&gt;C32,MIN(F29-C32,HS2Q),"")</f>
        <v>0.66666666666666663</v>
      </c>
      <c r="F32" s="58">
        <f ca="1">IF(F29&gt;C32+HS2Q,F29-C32-HS2Q,"")</f>
        <v>2.3848958333333345</v>
      </c>
      <c r="G32" s="39"/>
      <c r="H32" s="91"/>
    </row>
    <row r="33" spans="1:8">
      <c r="A33" s="100"/>
      <c r="B33" s="101"/>
      <c r="C33" s="101"/>
      <c r="D33" s="101"/>
      <c r="E33" s="101"/>
      <c r="F33" s="101"/>
      <c r="G33" s="101"/>
      <c r="H33" s="102"/>
    </row>
    <row r="34" spans="1:8">
      <c r="A34" s="100"/>
      <c r="B34" s="101"/>
      <c r="C34" s="83">
        <f ca="1">C32*24*TxHB</f>
        <v>783.11999999999989</v>
      </c>
      <c r="D34" s="83"/>
      <c r="E34" s="84">
        <f ca="1">E32*24*TxHB*(1+TxmHS1)</f>
        <v>200.79999999999998</v>
      </c>
      <c r="F34" s="84">
        <f ca="1">F32*24*TxHB*(1+TxmHS2)</f>
        <v>861.99675000000025</v>
      </c>
      <c r="G34" s="85">
        <f>G29*24*TxIdaj1</f>
        <v>12.249999999999998</v>
      </c>
      <c r="H34" s="85">
        <f>H29*24*TxIdaj2</f>
        <v>115.33333333333334</v>
      </c>
    </row>
    <row r="35" spans="1:8">
      <c r="A35" s="100"/>
      <c r="B35" s="101"/>
      <c r="C35" s="101"/>
      <c r="D35" s="101"/>
      <c r="E35" s="101"/>
      <c r="F35" s="101"/>
      <c r="G35" s="101"/>
      <c r="H35" s="102"/>
    </row>
    <row r="36" spans="1:8">
      <c r="A36" s="103"/>
      <c r="B36" s="104"/>
      <c r="C36" s="104"/>
      <c r="D36" s="104"/>
      <c r="E36" s="104"/>
      <c r="F36" s="104"/>
      <c r="G36" s="104"/>
      <c r="H36" s="105"/>
    </row>
  </sheetData>
  <mergeCells count="9">
    <mergeCell ref="C31:D31"/>
    <mergeCell ref="C32:D32"/>
    <mergeCell ref="C34:D34"/>
    <mergeCell ref="A1:G1"/>
    <mergeCell ref="E3:F3"/>
    <mergeCell ref="G3:H3"/>
    <mergeCell ref="A29:D29"/>
    <mergeCell ref="C14:E14"/>
    <mergeCell ref="C26:E26"/>
  </mergeCells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SpinButton1">
          <controlPr defaultSize="0" print="0" autoLine="0" linkedCell="$H$1" r:id="rId5">
            <anchor>
              <from>
                <xdr:col>7</xdr:col>
                <xdr:colOff>19050</xdr:colOff>
                <xdr:row>0</xdr:row>
                <xdr:rowOff>9525</xdr:rowOff>
              </from>
              <to>
                <xdr:col>7</xdr:col>
                <xdr:colOff>438150</xdr:colOff>
                <xdr:row>1</xdr:row>
                <xdr:rowOff>0</xdr:rowOff>
              </to>
            </anchor>
          </controlPr>
        </control>
      </mc:Choice>
      <mc:Fallback>
        <control shapeId="2049" r:id="rId4" name="SpinButton1"/>
      </mc:Fallback>
    </mc:AlternateContent>
    <mc:AlternateContent xmlns:mc="http://schemas.openxmlformats.org/markup-compatibility/2006">
      <mc:Choice Requires="x14">
        <control shapeId="2050" r:id="rId6" name="SpinButton2">
          <controlPr defaultSize="0" print="0" autoLine="0" linkedCell="$D$3" r:id="rId7">
            <anchor>
              <from>
                <xdr:col>7</xdr:col>
                <xdr:colOff>390525</xdr:colOff>
                <xdr:row>1</xdr:row>
                <xdr:rowOff>142875</xdr:rowOff>
              </from>
              <to>
                <xdr:col>8</xdr:col>
                <xdr:colOff>0</xdr:colOff>
                <xdr:row>3</xdr:row>
                <xdr:rowOff>19050</xdr:rowOff>
              </to>
            </anchor>
          </controlPr>
        </control>
      </mc:Choice>
      <mc:Fallback>
        <control shapeId="2050" r:id="rId6" name="Spin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zoomScale="80" zoomScaleNormal="80" zoomScaleSheetLayoutView="100" workbookViewId="0">
      <selection activeCell="D10" sqref="D10"/>
    </sheetView>
  </sheetViews>
  <sheetFormatPr baseColWidth="10" defaultColWidth="9" defaultRowHeight="14.25"/>
  <sheetData/>
  <pageMargins left="0" right="0" top="0" bottom="0" header="0" footer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T15"/>
  <sheetViews>
    <sheetView workbookViewId="0">
      <selection activeCell="C17" sqref="C17"/>
    </sheetView>
  </sheetViews>
  <sheetFormatPr baseColWidth="10" defaultColWidth="9" defaultRowHeight="14.25"/>
  <cols>
    <col min="1" max="1" width="13.625" customWidth="1"/>
    <col min="2" max="9" width="10.625" customWidth="1"/>
    <col min="20" max="20" width="9.625" bestFit="1" customWidth="1"/>
  </cols>
  <sheetData>
    <row r="1" spans="1:20" ht="15">
      <c r="F1" s="33" t="s">
        <v>19</v>
      </c>
      <c r="G1" s="33"/>
      <c r="I1" s="33" t="s">
        <v>25</v>
      </c>
      <c r="J1" s="33"/>
      <c r="K1" s="15" t="s">
        <v>26</v>
      </c>
      <c r="L1" s="15" t="s">
        <v>27</v>
      </c>
      <c r="M1" s="15" t="s">
        <v>28</v>
      </c>
      <c r="N1" s="15" t="s">
        <v>29</v>
      </c>
      <c r="Q1" s="15" t="s">
        <v>34</v>
      </c>
      <c r="S1" s="15" t="s">
        <v>39</v>
      </c>
      <c r="T1" s="16">
        <f>YEAR(Quzaine!A5)</f>
        <v>2016</v>
      </c>
    </row>
    <row r="2" spans="1:20" ht="15">
      <c r="F2" s="12" t="s">
        <v>20</v>
      </c>
      <c r="G2" s="27">
        <v>0.9</v>
      </c>
      <c r="I2" s="17" t="s">
        <v>13</v>
      </c>
      <c r="J2" s="30">
        <v>10.039999999999999</v>
      </c>
      <c r="K2" s="18">
        <f>J2*(1+TxmHS1)</f>
        <v>12.549999999999999</v>
      </c>
      <c r="L2" s="18">
        <f>J2*(1+TxmHS2)</f>
        <v>15.059999999999999</v>
      </c>
      <c r="M2" s="18">
        <f>J2*TxIdaj1</f>
        <v>17.57</v>
      </c>
      <c r="N2" s="18">
        <f>J2*TxIdaj2</f>
        <v>20.079999999999998</v>
      </c>
      <c r="P2" s="23" t="s">
        <v>35</v>
      </c>
      <c r="Q2" s="31">
        <v>0.25</v>
      </c>
      <c r="S2" s="23" t="s">
        <v>40</v>
      </c>
      <c r="T2" s="9">
        <f>DATE(T1,1,1)</f>
        <v>42370</v>
      </c>
    </row>
    <row r="3" spans="1:20" ht="15">
      <c r="A3" s="1"/>
      <c r="B3" s="1"/>
      <c r="C3" s="1"/>
      <c r="D3" s="1"/>
      <c r="E3" s="1"/>
      <c r="F3" s="12" t="s">
        <v>21</v>
      </c>
      <c r="G3" s="27">
        <v>0.75</v>
      </c>
      <c r="H3" s="1"/>
      <c r="I3" s="17" t="s">
        <v>14</v>
      </c>
      <c r="J3" s="30">
        <v>9.86</v>
      </c>
      <c r="K3" s="18">
        <f>J3*(1+TxmHS1)</f>
        <v>12.324999999999999</v>
      </c>
      <c r="L3" s="18">
        <f>J3*(1+TxmHS2)</f>
        <v>14.79</v>
      </c>
      <c r="M3" s="18">
        <f>J3*TxIdaj1</f>
        <v>17.254999999999999</v>
      </c>
      <c r="N3" s="18">
        <f>J3*TxIdaj2</f>
        <v>19.72</v>
      </c>
      <c r="P3" s="23" t="s">
        <v>36</v>
      </c>
      <c r="Q3" s="31">
        <v>0.5</v>
      </c>
      <c r="S3" s="23" t="s">
        <v>41</v>
      </c>
      <c r="T3" s="9">
        <f ca="1">JPAQUES(T1)</f>
        <v>42456</v>
      </c>
    </row>
    <row r="4" spans="1:20" ht="15">
      <c r="A4" s="3"/>
      <c r="B4" s="4"/>
      <c r="C4" s="1"/>
      <c r="D4" s="1"/>
      <c r="E4" s="1"/>
      <c r="F4" s="12" t="s">
        <v>22</v>
      </c>
      <c r="G4" s="27">
        <v>0.75</v>
      </c>
      <c r="H4" s="1"/>
      <c r="I4" s="1"/>
      <c r="P4" s="23" t="s">
        <v>37</v>
      </c>
      <c r="Q4" s="31">
        <v>1.75</v>
      </c>
      <c r="S4" s="23" t="s">
        <v>42</v>
      </c>
      <c r="T4" s="9">
        <f ca="1">T3+1</f>
        <v>42457</v>
      </c>
    </row>
    <row r="5" spans="1:20" ht="15">
      <c r="A5" s="6" t="s">
        <v>16</v>
      </c>
      <c r="B5" s="24">
        <v>42719</v>
      </c>
      <c r="C5" s="8" t="s">
        <v>17</v>
      </c>
      <c r="D5" s="10">
        <f>IF(B5&lt;&gt;"",B5-MOD(WEEKDAY(B5)+5,7),"")</f>
        <v>42716</v>
      </c>
      <c r="E5" s="5"/>
      <c r="F5" s="13" t="s">
        <v>23</v>
      </c>
      <c r="G5" s="27">
        <v>0.75</v>
      </c>
      <c r="H5" s="5"/>
      <c r="I5" s="5"/>
      <c r="P5" s="23" t="s">
        <v>38</v>
      </c>
      <c r="Q5" s="31">
        <v>2</v>
      </c>
      <c r="S5" s="23" t="s">
        <v>43</v>
      </c>
      <c r="T5" s="9">
        <f>DATE(T1,5,1)</f>
        <v>42491</v>
      </c>
    </row>
    <row r="6" spans="1:20" ht="15">
      <c r="A6" s="3"/>
      <c r="B6" s="4"/>
      <c r="C6" s="1"/>
      <c r="D6" s="1"/>
      <c r="E6" s="5"/>
      <c r="F6" s="5"/>
      <c r="G6" s="5"/>
      <c r="H6" s="5"/>
      <c r="I6" s="19" t="s">
        <v>30</v>
      </c>
      <c r="J6" s="14" t="s">
        <v>32</v>
      </c>
      <c r="L6" s="33" t="s">
        <v>33</v>
      </c>
      <c r="M6" s="33"/>
      <c r="S6" s="23" t="s">
        <v>44</v>
      </c>
      <c r="T6" s="9">
        <f>DATE(T1,5,8)</f>
        <v>42498</v>
      </c>
    </row>
    <row r="7" spans="1:20" ht="15">
      <c r="A7" s="7"/>
      <c r="B7" s="25" t="s">
        <v>13</v>
      </c>
      <c r="C7" s="1"/>
      <c r="D7" s="1"/>
      <c r="E7" s="1"/>
      <c r="F7" s="34" t="s">
        <v>24</v>
      </c>
      <c r="G7" s="34"/>
      <c r="H7" s="1"/>
      <c r="I7" s="28">
        <v>1.625</v>
      </c>
      <c r="J7" s="29">
        <v>0.33333333333333331</v>
      </c>
      <c r="L7" s="26">
        <v>0.5</v>
      </c>
      <c r="M7" s="26">
        <v>0.54166666666666663</v>
      </c>
      <c r="S7" s="23" t="s">
        <v>45</v>
      </c>
      <c r="T7" s="9">
        <f ca="1">T3+39</f>
        <v>42495</v>
      </c>
    </row>
    <row r="8" spans="1:20" ht="15">
      <c r="F8" s="26">
        <v>0.83333333333333337</v>
      </c>
      <c r="G8" s="26">
        <v>0.33333333333333331</v>
      </c>
      <c r="H8" s="20" t="s">
        <v>31</v>
      </c>
      <c r="I8" s="21">
        <f>I7*2</f>
        <v>3.25</v>
      </c>
      <c r="J8" s="22">
        <f>J7*2</f>
        <v>0.66666666666666663</v>
      </c>
      <c r="L8" s="11" t="s">
        <v>28</v>
      </c>
      <c r="M8" s="11" t="s">
        <v>29</v>
      </c>
      <c r="S8" s="23" t="s">
        <v>46</v>
      </c>
      <c r="T8" s="9">
        <f ca="1">T3+49</f>
        <v>42505</v>
      </c>
    </row>
    <row r="9" spans="1:20" ht="15">
      <c r="S9" s="23" t="s">
        <v>47</v>
      </c>
      <c r="T9" s="9">
        <f ca="1">T3+50</f>
        <v>42506</v>
      </c>
    </row>
    <row r="10" spans="1:20" ht="15">
      <c r="G10" s="1"/>
      <c r="H10" s="1"/>
      <c r="I10" s="1"/>
      <c r="J10" s="1"/>
      <c r="K10" s="1"/>
      <c r="L10" s="1"/>
      <c r="M10" s="1"/>
      <c r="N10" s="1"/>
      <c r="O10" s="1"/>
      <c r="S10" s="23" t="s">
        <v>48</v>
      </c>
      <c r="T10" s="9">
        <f>DATE(T1,7,14)</f>
        <v>42565</v>
      </c>
    </row>
    <row r="11" spans="1:20" ht="15">
      <c r="G11" s="3"/>
      <c r="H11" s="4"/>
      <c r="I11" s="1"/>
      <c r="J11" s="1"/>
      <c r="K11" s="1"/>
      <c r="L11" s="1"/>
      <c r="M11" s="1"/>
      <c r="N11" s="1"/>
      <c r="O11" s="1"/>
      <c r="S11" s="23" t="s">
        <v>49</v>
      </c>
      <c r="T11" s="9">
        <f>DATE(T1,8,15)</f>
        <v>42597</v>
      </c>
    </row>
    <row r="12" spans="1:20" ht="15">
      <c r="G12" s="3"/>
      <c r="H12" s="4"/>
      <c r="I12" s="1"/>
      <c r="J12" s="1"/>
      <c r="K12" s="5"/>
      <c r="L12" s="5"/>
      <c r="M12" s="5"/>
      <c r="N12" s="5"/>
      <c r="O12" s="5"/>
      <c r="S12" s="23" t="s">
        <v>50</v>
      </c>
      <c r="T12" s="9">
        <f>DATE(T1,11,1)</f>
        <v>42675</v>
      </c>
    </row>
    <row r="13" spans="1:20" ht="15">
      <c r="G13" s="3"/>
      <c r="H13" s="4"/>
      <c r="I13" s="1"/>
      <c r="J13" s="1"/>
      <c r="K13" s="5"/>
      <c r="L13" s="5"/>
      <c r="M13" s="5"/>
      <c r="N13" s="5"/>
      <c r="O13" s="5"/>
      <c r="S13" s="23" t="s">
        <v>51</v>
      </c>
      <c r="T13" s="9">
        <f>DATE(T1,11,11)</f>
        <v>42685</v>
      </c>
    </row>
    <row r="14" spans="1:20" ht="15">
      <c r="G14" s="3"/>
      <c r="H14" s="4"/>
      <c r="J14" s="1"/>
      <c r="K14" s="1"/>
      <c r="L14" s="1"/>
      <c r="M14" s="1"/>
      <c r="N14" s="1"/>
      <c r="O14" s="1"/>
      <c r="S14" s="23" t="s">
        <v>52</v>
      </c>
      <c r="T14" s="9">
        <f>DATE(T1,12,25)</f>
        <v>42729</v>
      </c>
    </row>
    <row r="15" spans="1:20" ht="15">
      <c r="S15" s="23" t="s">
        <v>40</v>
      </c>
      <c r="T15" s="9">
        <f>DATE(T1+1,1,1)</f>
        <v>42736</v>
      </c>
    </row>
  </sheetData>
  <mergeCells count="4">
    <mergeCell ref="F1:G1"/>
    <mergeCell ref="F7:G7"/>
    <mergeCell ref="I1:J1"/>
    <mergeCell ref="L6:M6"/>
  </mergeCells>
  <dataValidations count="1">
    <dataValidation type="list" allowBlank="1" showInputMessage="1" showErrorMessage="1" sqref="B7">
      <formula1>"DEA,AUX"</formula1>
    </dataValidation>
  </dataValidations>
  <pageMargins left="0" right="0" top="0.39370078740157477" bottom="0.39370078740157477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233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Quzaine</vt:lpstr>
      <vt:lpstr>Base</vt:lpstr>
      <vt:lpstr>DONNEES</vt:lpstr>
      <vt:lpstr>DhtQ</vt:lpstr>
      <vt:lpstr>DSem1</vt:lpstr>
      <vt:lpstr>DSem2</vt:lpstr>
      <vt:lpstr>Fériés</vt:lpstr>
      <vt:lpstr>hdNuit</vt:lpstr>
      <vt:lpstr>hfNuit</vt:lpstr>
      <vt:lpstr>HS2Q</vt:lpstr>
      <vt:lpstr>Idaj1</vt:lpstr>
      <vt:lpstr>Idaj2</vt:lpstr>
      <vt:lpstr>kTeF</vt:lpstr>
      <vt:lpstr>kTeJ</vt:lpstr>
      <vt:lpstr>kTeN</vt:lpstr>
      <vt:lpstr>kTeP</vt:lpstr>
      <vt:lpstr>Qz0</vt:lpstr>
      <vt:lpstr>TxIdaj1</vt:lpstr>
      <vt:lpstr>TxIdaj2</vt:lpstr>
      <vt:lpstr>TxmHS1</vt:lpstr>
      <vt:lpstr>TxmHS2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Auteur</dc:creator>
  <cp:lastModifiedBy> </cp:lastModifiedBy>
  <cp:revision>39</cp:revision>
  <dcterms:created xsi:type="dcterms:W3CDTF">2015-11-21T14:41:01Z</dcterms:created>
  <dcterms:modified xsi:type="dcterms:W3CDTF">2017-01-02T13:47:23Z</dcterms:modified>
</cp:coreProperties>
</file>