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20730" windowHeight="11760" tabRatio="681"/>
  </bookViews>
  <sheets>
    <sheet name="Tresorerie" sheetId="1" r:id="rId1"/>
    <sheet name="Synthese" sheetId="5" r:id="rId2"/>
    <sheet name="Seg CA" sheetId="4" r:id="rId3"/>
    <sheet name="Seg Depenses" sheetId="6" r:id="rId4"/>
    <sheet name="Cashburn" sheetId="11" r:id="rId5"/>
    <sheet name="Parametres" sheetId="2" r:id="rId6"/>
    <sheet name="Feuil1" sheetId="12" r:id="rId7"/>
  </sheets>
  <definedNames>
    <definedName name="ANNEEDEBUT">Parametres!$B$2</definedName>
    <definedName name="arial">Tresorerie!$1:$1048576</definedName>
    <definedName name="Charge_fixe">Parametres!$A$61</definedName>
    <definedName name="Charge_fixe_annulable">Parametres!$A$62</definedName>
    <definedName name="Charge_variable">Parametres!$A$63</definedName>
    <definedName name="Delai_reactivite">Parametres!$B$5</definedName>
    <definedName name="_xlnm.Print_Titles" localSheetId="0">Tresorerie!$A:$D,Tresorerie!$1:$5</definedName>
    <definedName name="MOISDEBUT">Parametres!$B$3</definedName>
    <definedName name="Nature_autres_depenses">Parametres!$A$48:$A$58</definedName>
    <definedName name="Nature_autres_encaissements">Parametres!$A$19:$A$25</definedName>
    <definedName name="Nature_CA">Parametres!$A$8:$A$16</definedName>
    <definedName name="Nature_depenses_CA">Parametres!$A$36:$A$45</definedName>
    <definedName name="Probabilite_encaissement">Parametres!$A$28:$A$33</definedName>
    <definedName name="Salaire_net">Parametres!$A$44</definedName>
    <definedName name="TVA_ACHAT">Tresorerie!$D$132</definedName>
    <definedName name="TVA_INVESTS">Tresorerie!$D$133</definedName>
    <definedName name="TVA_VENTES">Tresorerie!$D$131</definedName>
    <definedName name="Variabilisation_sans_variable">Parametres!$A$61:$A$62</definedName>
    <definedName name="Variabilisation_variable">Parametres!$A$61:$A$63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1" l="1"/>
  <c r="E2" i="1"/>
  <c r="E14" i="1"/>
  <c r="E31" i="1"/>
  <c r="E13" i="1"/>
  <c r="E41" i="1"/>
  <c r="E58" i="1"/>
  <c r="E68" i="1"/>
  <c r="E78" i="1"/>
  <c r="E91" i="1"/>
  <c r="E109" i="1"/>
  <c r="E116" i="1"/>
  <c r="E39" i="1"/>
  <c r="E130" i="1"/>
  <c r="E128" i="1"/>
  <c r="H1" i="1"/>
  <c r="H2" i="1"/>
  <c r="G1" i="1"/>
  <c r="G2" i="1"/>
  <c r="G66" i="1"/>
  <c r="G58" i="1"/>
  <c r="G76" i="1"/>
  <c r="G68" i="1"/>
  <c r="G78" i="1"/>
  <c r="G91" i="1"/>
  <c r="G109" i="1"/>
  <c r="G133" i="1"/>
  <c r="I1" i="1"/>
  <c r="I2" i="1"/>
  <c r="H109" i="1"/>
  <c r="F5" i="1"/>
  <c r="F1" i="1"/>
  <c r="F2" i="1"/>
  <c r="F14" i="1"/>
  <c r="F31" i="1"/>
  <c r="F13" i="1"/>
  <c r="F41" i="1"/>
  <c r="F66" i="1"/>
  <c r="F58" i="1"/>
  <c r="F76" i="1"/>
  <c r="F68" i="1"/>
  <c r="F78" i="1"/>
  <c r="F91" i="1"/>
  <c r="F109" i="1"/>
  <c r="F116" i="1"/>
  <c r="F39" i="1"/>
  <c r="F128" i="1"/>
  <c r="G5" i="1"/>
  <c r="H133" i="1"/>
  <c r="J1" i="1"/>
  <c r="J2" i="1"/>
  <c r="I58" i="1"/>
  <c r="I68" i="1"/>
  <c r="I78" i="1"/>
  <c r="I91" i="1"/>
  <c r="I109" i="1"/>
  <c r="I133" i="1"/>
  <c r="K1" i="1"/>
  <c r="K2" i="1"/>
  <c r="J58" i="1"/>
  <c r="J68" i="1"/>
  <c r="J78" i="1"/>
  <c r="J91" i="1"/>
  <c r="J109" i="1"/>
  <c r="J133" i="1"/>
  <c r="L1" i="1"/>
  <c r="L2" i="1"/>
  <c r="M1" i="1"/>
  <c r="M2" i="1"/>
  <c r="N1" i="1"/>
  <c r="N2" i="1"/>
  <c r="O1" i="1"/>
  <c r="O2" i="1"/>
  <c r="P1" i="1"/>
  <c r="P2" i="1"/>
  <c r="Q1" i="1"/>
  <c r="Q2" i="1"/>
  <c r="R1" i="1"/>
  <c r="R2" i="1"/>
  <c r="S1" i="1"/>
  <c r="S2" i="1"/>
  <c r="T1" i="1"/>
  <c r="T2" i="1"/>
  <c r="U1" i="1"/>
  <c r="U2" i="1"/>
  <c r="V1" i="1"/>
  <c r="V2" i="1"/>
  <c r="W1" i="1"/>
  <c r="W2" i="1"/>
  <c r="X1" i="1"/>
  <c r="X2" i="1"/>
  <c r="Y1" i="1"/>
  <c r="Y2" i="1"/>
  <c r="Z1" i="1"/>
  <c r="Z2" i="1"/>
  <c r="AA1" i="1"/>
  <c r="AA2" i="1"/>
  <c r="AB1" i="1"/>
  <c r="AB2" i="1"/>
  <c r="F130" i="1"/>
  <c r="G130" i="1"/>
  <c r="D111" i="1"/>
  <c r="D110" i="1"/>
  <c r="D112" i="1"/>
  <c r="D113" i="1"/>
  <c r="D114" i="1"/>
  <c r="D115" i="1"/>
  <c r="AB109" i="1"/>
  <c r="Y18" i="5"/>
  <c r="L116" i="1"/>
  <c r="I19" i="5"/>
  <c r="M116" i="1"/>
  <c r="J19" i="5"/>
  <c r="N116" i="1"/>
  <c r="K19" i="5"/>
  <c r="O116" i="1"/>
  <c r="L19" i="5"/>
  <c r="P116" i="1"/>
  <c r="M19" i="5"/>
  <c r="Q116" i="1"/>
  <c r="N19" i="5"/>
  <c r="R116" i="1"/>
  <c r="O19" i="5"/>
  <c r="S116" i="1"/>
  <c r="P19" i="5"/>
  <c r="T116" i="1"/>
  <c r="Q19" i="5"/>
  <c r="U116" i="1"/>
  <c r="R19" i="5"/>
  <c r="V116" i="1"/>
  <c r="S19" i="5"/>
  <c r="W116" i="1"/>
  <c r="T19" i="5"/>
  <c r="X116" i="1"/>
  <c r="U19" i="5"/>
  <c r="Y116" i="1"/>
  <c r="V19" i="5"/>
  <c r="Z116" i="1"/>
  <c r="W19" i="5"/>
  <c r="AA116" i="1"/>
  <c r="X19" i="5"/>
  <c r="AB116" i="1"/>
  <c r="Y19" i="5"/>
  <c r="K116" i="1"/>
  <c r="H19" i="5"/>
  <c r="D18" i="5"/>
  <c r="E18" i="5"/>
  <c r="F18" i="5"/>
  <c r="G18" i="5"/>
  <c r="G116" i="1"/>
  <c r="D19" i="5"/>
  <c r="H116" i="1"/>
  <c r="E19" i="5"/>
  <c r="I116" i="1"/>
  <c r="F19" i="5"/>
  <c r="J116" i="1"/>
  <c r="G19" i="5"/>
  <c r="B17" i="5"/>
  <c r="B18" i="5"/>
  <c r="B19" i="5"/>
  <c r="C19" i="5"/>
  <c r="C18" i="5"/>
  <c r="A17" i="5"/>
  <c r="D74" i="1"/>
  <c r="D69" i="1"/>
  <c r="D70" i="1"/>
  <c r="D71" i="1"/>
  <c r="D72" i="1"/>
  <c r="D73" i="1"/>
  <c r="D75" i="1"/>
  <c r="Z77" i="1"/>
  <c r="W77" i="1"/>
  <c r="T77" i="1"/>
  <c r="Q77" i="1"/>
  <c r="N77" i="1"/>
  <c r="K77" i="1"/>
  <c r="D87" i="1"/>
  <c r="D86" i="1"/>
  <c r="D64" i="1"/>
  <c r="D105" i="1"/>
  <c r="D104" i="1"/>
  <c r="D103" i="1"/>
  <c r="D102" i="1"/>
  <c r="D85" i="1"/>
  <c r="D54" i="1"/>
  <c r="D53" i="1"/>
  <c r="D52" i="1"/>
  <c r="D51" i="1"/>
  <c r="D50" i="1"/>
  <c r="D49" i="1"/>
  <c r="D29" i="1"/>
  <c r="D28" i="1"/>
  <c r="D27" i="1"/>
  <c r="D26" i="1"/>
  <c r="D25" i="1"/>
  <c r="D24" i="1"/>
  <c r="D23" i="1"/>
  <c r="AB22" i="1"/>
  <c r="AA22" i="1"/>
  <c r="Z22" i="1"/>
  <c r="Y22" i="1"/>
  <c r="V22" i="1"/>
  <c r="W22" i="1"/>
  <c r="S22" i="1"/>
  <c r="T22" i="1"/>
  <c r="U22" i="1"/>
  <c r="R22" i="1"/>
  <c r="Q22" i="1"/>
  <c r="P22" i="1"/>
  <c r="O22" i="1"/>
  <c r="N22" i="1"/>
  <c r="M22" i="1"/>
  <c r="Y21" i="1"/>
  <c r="AB21" i="1"/>
  <c r="AA21" i="1"/>
  <c r="Z21" i="1"/>
  <c r="S21" i="1"/>
  <c r="T21" i="1"/>
  <c r="U21" i="1"/>
  <c r="V21" i="1"/>
  <c r="W21" i="1"/>
  <c r="R21" i="1"/>
  <c r="O21" i="1"/>
  <c r="N21" i="1"/>
  <c r="M21" i="1"/>
  <c r="J21" i="1"/>
  <c r="I21" i="1"/>
  <c r="D22" i="1"/>
  <c r="A5" i="5"/>
  <c r="F9" i="5"/>
  <c r="F10" i="5"/>
  <c r="F11" i="5"/>
  <c r="F12" i="5"/>
  <c r="I4" i="1"/>
  <c r="F1" i="5"/>
  <c r="G9" i="5"/>
  <c r="G10" i="5"/>
  <c r="G11" i="5"/>
  <c r="G12" i="5"/>
  <c r="J4" i="1"/>
  <c r="G1" i="5"/>
  <c r="K4" i="1"/>
  <c r="H1" i="5"/>
  <c r="L4" i="1"/>
  <c r="I1" i="5"/>
  <c r="M4" i="1"/>
  <c r="J1" i="5"/>
  <c r="N4" i="1"/>
  <c r="K1" i="5"/>
  <c r="O4" i="1"/>
  <c r="L1" i="5"/>
  <c r="P4" i="1"/>
  <c r="M1" i="5"/>
  <c r="Q4" i="1"/>
  <c r="N1" i="5"/>
  <c r="R4" i="1"/>
  <c r="O1" i="5"/>
  <c r="S4" i="1"/>
  <c r="P1" i="5"/>
  <c r="T4" i="1"/>
  <c r="Q1" i="5"/>
  <c r="U4" i="1"/>
  <c r="R1" i="5"/>
  <c r="V4" i="1"/>
  <c r="S1" i="5"/>
  <c r="W4" i="1"/>
  <c r="T1" i="5"/>
  <c r="X4" i="1"/>
  <c r="U1" i="5"/>
  <c r="Y4" i="1"/>
  <c r="V1" i="5"/>
  <c r="Z4" i="1"/>
  <c r="W1" i="5"/>
  <c r="AA4" i="1"/>
  <c r="X1" i="5"/>
  <c r="AB4" i="1"/>
  <c r="Y1" i="5"/>
  <c r="H4" i="1"/>
  <c r="E1" i="5"/>
  <c r="D9" i="5"/>
  <c r="D10" i="5"/>
  <c r="D11" i="5"/>
  <c r="D12" i="5"/>
  <c r="G4" i="1"/>
  <c r="D1" i="5"/>
  <c r="D13" i="5"/>
  <c r="C2" i="5"/>
  <c r="C8" i="5"/>
  <c r="C9" i="5"/>
  <c r="C10" i="5"/>
  <c r="C11" i="5"/>
  <c r="C12" i="5"/>
  <c r="C7" i="5"/>
  <c r="F4" i="1"/>
  <c r="C1" i="5"/>
  <c r="C13" i="5"/>
  <c r="C14" i="5"/>
  <c r="C17" i="5"/>
  <c r="C20" i="5"/>
  <c r="C23" i="5"/>
  <c r="B2" i="5"/>
  <c r="B8" i="5"/>
  <c r="B9" i="5"/>
  <c r="B10" i="5"/>
  <c r="B11" i="5"/>
  <c r="B12" i="5"/>
  <c r="B7" i="5"/>
  <c r="E4" i="1"/>
  <c r="B1" i="5"/>
  <c r="B13" i="5"/>
  <c r="B14" i="5"/>
  <c r="B20" i="5"/>
  <c r="B23" i="5"/>
  <c r="B21" i="5"/>
  <c r="C21" i="5"/>
  <c r="B15" i="5"/>
  <c r="C15" i="5"/>
  <c r="E131" i="1"/>
  <c r="E132" i="1"/>
  <c r="E133" i="1"/>
  <c r="F134" i="1"/>
  <c r="F131" i="1"/>
  <c r="C41" i="1"/>
  <c r="C58" i="1"/>
  <c r="C68" i="1"/>
  <c r="C78" i="1"/>
  <c r="C91" i="1"/>
  <c r="C109" i="1"/>
  <c r="C116" i="1"/>
  <c r="F132" i="1"/>
  <c r="F133" i="1"/>
  <c r="G134" i="1"/>
  <c r="A3" i="5"/>
  <c r="C3" i="5"/>
  <c r="A4" i="5"/>
  <c r="B3" i="5"/>
  <c r="B4" i="5"/>
  <c r="C4" i="5"/>
  <c r="B5" i="5"/>
  <c r="C5" i="5"/>
  <c r="C6" i="5"/>
  <c r="B6" i="5"/>
  <c r="A8" i="5"/>
  <c r="A9" i="5"/>
  <c r="A10" i="5"/>
  <c r="A11" i="5"/>
  <c r="A12" i="5"/>
  <c r="A18" i="5"/>
  <c r="A19" i="5"/>
  <c r="A2" i="5"/>
  <c r="D48" i="1"/>
  <c r="D101" i="1"/>
  <c r="D100" i="1"/>
  <c r="D47" i="1"/>
  <c r="D21" i="1"/>
  <c r="D30" i="1"/>
  <c r="D35" i="1"/>
  <c r="D36" i="1"/>
  <c r="D37" i="1"/>
  <c r="D46" i="1"/>
  <c r="D55" i="1"/>
  <c r="D62" i="1"/>
  <c r="D63" i="1"/>
  <c r="D65" i="1"/>
  <c r="D84" i="1"/>
  <c r="D88" i="1"/>
  <c r="D97" i="1"/>
  <c r="D98" i="1"/>
  <c r="D99" i="1"/>
  <c r="D106" i="1"/>
  <c r="D92" i="1"/>
  <c r="D93" i="1"/>
  <c r="D94" i="1"/>
  <c r="D95" i="1"/>
  <c r="D96" i="1"/>
  <c r="D15" i="1"/>
  <c r="D16" i="1"/>
  <c r="D17" i="1"/>
  <c r="D18" i="1"/>
  <c r="D19" i="1"/>
  <c r="D20" i="1"/>
  <c r="D32" i="1"/>
  <c r="D33" i="1"/>
  <c r="D34" i="1"/>
  <c r="D42" i="1"/>
  <c r="D43" i="1"/>
  <c r="D44" i="1"/>
  <c r="D45" i="1"/>
  <c r="D59" i="1"/>
  <c r="D60" i="1"/>
  <c r="D61" i="1"/>
  <c r="D79" i="1"/>
  <c r="D80" i="1"/>
  <c r="D81" i="1"/>
  <c r="D82" i="1"/>
  <c r="D83" i="1"/>
  <c r="G18" i="1"/>
  <c r="G17" i="1"/>
  <c r="F10" i="1"/>
  <c r="E10" i="1"/>
  <c r="F11" i="1"/>
  <c r="E11" i="1"/>
  <c r="C3" i="1"/>
  <c r="Q3" i="1"/>
  <c r="R3" i="1"/>
  <c r="S3" i="1"/>
  <c r="T3" i="1"/>
  <c r="U3" i="1"/>
  <c r="V3" i="1"/>
  <c r="W3" i="1"/>
  <c r="X3" i="1"/>
  <c r="Y3" i="1"/>
  <c r="Z3" i="1"/>
  <c r="AA3" i="1"/>
  <c r="AB3" i="1"/>
  <c r="E3" i="1"/>
  <c r="F3" i="1"/>
  <c r="G3" i="1"/>
  <c r="H3" i="1"/>
  <c r="I3" i="1"/>
  <c r="J3" i="1"/>
  <c r="K3" i="1"/>
  <c r="L3" i="1"/>
  <c r="M3" i="1"/>
  <c r="N3" i="1"/>
  <c r="O3" i="1"/>
  <c r="P3" i="1"/>
  <c r="AB14" i="1"/>
  <c r="AB131" i="1"/>
  <c r="AB133" i="1"/>
  <c r="AB41" i="1"/>
  <c r="AB58" i="1"/>
  <c r="AB68" i="1"/>
  <c r="AB78" i="1"/>
  <c r="AB91" i="1"/>
  <c r="AB39" i="1"/>
  <c r="Y2" i="5"/>
  <c r="Y3" i="5"/>
  <c r="Y4" i="5"/>
  <c r="Y5" i="5"/>
  <c r="Y6" i="5"/>
  <c r="X3" i="5"/>
  <c r="X4" i="5"/>
  <c r="X5" i="5"/>
  <c r="W3" i="5"/>
  <c r="W4" i="5"/>
  <c r="W5" i="5"/>
  <c r="V3" i="5"/>
  <c r="V4" i="5"/>
  <c r="V5" i="5"/>
  <c r="U3" i="5"/>
  <c r="U4" i="5"/>
  <c r="U5" i="5"/>
  <c r="T3" i="5"/>
  <c r="T4" i="5"/>
  <c r="T5" i="5"/>
  <c r="S3" i="5"/>
  <c r="S4" i="5"/>
  <c r="S5" i="5"/>
  <c r="R3" i="5"/>
  <c r="R4" i="5"/>
  <c r="R5" i="5"/>
  <c r="Q3" i="5"/>
  <c r="Q4" i="5"/>
  <c r="Q5" i="5"/>
  <c r="P3" i="5"/>
  <c r="P4" i="5"/>
  <c r="P5" i="5"/>
  <c r="O3" i="5"/>
  <c r="O4" i="5"/>
  <c r="O5" i="5"/>
  <c r="N3" i="5"/>
  <c r="N4" i="5"/>
  <c r="N5" i="5"/>
  <c r="M3" i="5"/>
  <c r="M4" i="5"/>
  <c r="M5" i="5"/>
  <c r="L3" i="5"/>
  <c r="L4" i="5"/>
  <c r="L5" i="5"/>
  <c r="K3" i="5"/>
  <c r="K4" i="5"/>
  <c r="K5" i="5"/>
  <c r="J3" i="5"/>
  <c r="J4" i="5"/>
  <c r="J5" i="5"/>
  <c r="I3" i="5"/>
  <c r="I4" i="5"/>
  <c r="I5" i="5"/>
  <c r="H3" i="5"/>
  <c r="H4" i="5"/>
  <c r="H5" i="5"/>
  <c r="G3" i="5"/>
  <c r="G4" i="5"/>
  <c r="G5" i="5"/>
  <c r="F3" i="5"/>
  <c r="F4" i="5"/>
  <c r="F5" i="5"/>
  <c r="E3" i="5"/>
  <c r="E4" i="5"/>
  <c r="E5" i="5"/>
  <c r="D3" i="5"/>
  <c r="D4" i="5"/>
  <c r="D5" i="5"/>
  <c r="Y8" i="5"/>
  <c r="Y9" i="5"/>
  <c r="Y10" i="5"/>
  <c r="Y11" i="5"/>
  <c r="Y12" i="5"/>
  <c r="Y7" i="5"/>
  <c r="H57" i="1"/>
  <c r="K57" i="1"/>
  <c r="K67" i="1"/>
  <c r="K90" i="1"/>
  <c r="K108" i="1"/>
  <c r="N57" i="1"/>
  <c r="N67" i="1"/>
  <c r="N90" i="1"/>
  <c r="N108" i="1"/>
  <c r="Q57" i="1"/>
  <c r="Q67" i="1"/>
  <c r="Q90" i="1"/>
  <c r="Q108" i="1"/>
  <c r="T57" i="1"/>
  <c r="T67" i="1"/>
  <c r="T90" i="1"/>
  <c r="T108" i="1"/>
  <c r="W57" i="1"/>
  <c r="W67" i="1"/>
  <c r="W90" i="1"/>
  <c r="W108" i="1"/>
  <c r="Z57" i="1"/>
  <c r="Z67" i="1"/>
  <c r="Z90" i="1"/>
  <c r="Z108" i="1"/>
  <c r="Y31" i="1"/>
  <c r="Z31" i="1"/>
  <c r="AA31" i="1"/>
  <c r="AB31" i="1"/>
  <c r="AB13" i="1"/>
  <c r="Y17" i="5"/>
  <c r="Y20" i="5"/>
  <c r="X17" i="5"/>
  <c r="W17" i="5"/>
  <c r="V17" i="5"/>
  <c r="G14" i="1"/>
  <c r="G31" i="1"/>
  <c r="G13" i="1"/>
  <c r="G41" i="1"/>
  <c r="G39" i="1"/>
  <c r="G128" i="1"/>
  <c r="G10" i="1"/>
  <c r="G11" i="1"/>
  <c r="D17" i="5"/>
  <c r="D20" i="5"/>
  <c r="D21" i="5"/>
  <c r="H31" i="1"/>
  <c r="E17" i="5"/>
  <c r="E20" i="5"/>
  <c r="E21" i="5"/>
  <c r="I31" i="1"/>
  <c r="F17" i="5"/>
  <c r="F20" i="5"/>
  <c r="F21" i="5"/>
  <c r="J31" i="1"/>
  <c r="G17" i="5"/>
  <c r="G20" i="5"/>
  <c r="G21" i="5"/>
  <c r="K31" i="1"/>
  <c r="H17" i="5"/>
  <c r="K109" i="1"/>
  <c r="H18" i="5"/>
  <c r="H20" i="5"/>
  <c r="H21" i="5"/>
  <c r="L31" i="1"/>
  <c r="I17" i="5"/>
  <c r="L109" i="1"/>
  <c r="I18" i="5"/>
  <c r="I20" i="5"/>
  <c r="I21" i="5"/>
  <c r="M31" i="1"/>
  <c r="J17" i="5"/>
  <c r="M109" i="1"/>
  <c r="J18" i="5"/>
  <c r="J20" i="5"/>
  <c r="J21" i="5"/>
  <c r="N31" i="1"/>
  <c r="K17" i="5"/>
  <c r="N109" i="1"/>
  <c r="K18" i="5"/>
  <c r="K20" i="5"/>
  <c r="K21" i="5"/>
  <c r="O31" i="1"/>
  <c r="L17" i="5"/>
  <c r="O109" i="1"/>
  <c r="L18" i="5"/>
  <c r="L20" i="5"/>
  <c r="L21" i="5"/>
  <c r="P31" i="1"/>
  <c r="M17" i="5"/>
  <c r="P109" i="1"/>
  <c r="M18" i="5"/>
  <c r="M20" i="5"/>
  <c r="M21" i="5"/>
  <c r="Q31" i="1"/>
  <c r="N17" i="5"/>
  <c r="Q109" i="1"/>
  <c r="N18" i="5"/>
  <c r="N20" i="5"/>
  <c r="N21" i="5"/>
  <c r="R31" i="1"/>
  <c r="O17" i="5"/>
  <c r="R109" i="1"/>
  <c r="O18" i="5"/>
  <c r="O20" i="5"/>
  <c r="O21" i="5"/>
  <c r="S31" i="1"/>
  <c r="P17" i="5"/>
  <c r="S109" i="1"/>
  <c r="P18" i="5"/>
  <c r="P20" i="5"/>
  <c r="P21" i="5"/>
  <c r="T31" i="1"/>
  <c r="Q17" i="5"/>
  <c r="T109" i="1"/>
  <c r="Q18" i="5"/>
  <c r="Q20" i="5"/>
  <c r="Q21" i="5"/>
  <c r="U31" i="1"/>
  <c r="R17" i="5"/>
  <c r="U109" i="1"/>
  <c r="R18" i="5"/>
  <c r="R20" i="5"/>
  <c r="R21" i="5"/>
  <c r="V31" i="1"/>
  <c r="S17" i="5"/>
  <c r="V109" i="1"/>
  <c r="S18" i="5"/>
  <c r="S20" i="5"/>
  <c r="S21" i="5"/>
  <c r="W31" i="1"/>
  <c r="T17" i="5"/>
  <c r="W109" i="1"/>
  <c r="T18" i="5"/>
  <c r="T20" i="5"/>
  <c r="T21" i="5"/>
  <c r="X31" i="1"/>
  <c r="U17" i="5"/>
  <c r="X109" i="1"/>
  <c r="U18" i="5"/>
  <c r="U20" i="5"/>
  <c r="U21" i="5"/>
  <c r="Y109" i="1"/>
  <c r="V18" i="5"/>
  <c r="V20" i="5"/>
  <c r="V21" i="5"/>
  <c r="Z109" i="1"/>
  <c r="W18" i="5"/>
  <c r="W20" i="5"/>
  <c r="W21" i="5"/>
  <c r="AA109" i="1"/>
  <c r="X18" i="5"/>
  <c r="X20" i="5"/>
  <c r="X21" i="5"/>
  <c r="Y21" i="5"/>
  <c r="D2" i="5"/>
  <c r="D8" i="5"/>
  <c r="D7" i="5"/>
  <c r="D14" i="5"/>
  <c r="D23" i="5"/>
  <c r="H5" i="1"/>
  <c r="H14" i="1"/>
  <c r="H13" i="1"/>
  <c r="H41" i="1"/>
  <c r="H67" i="1"/>
  <c r="H58" i="1"/>
  <c r="H77" i="1"/>
  <c r="H68" i="1"/>
  <c r="H90" i="1"/>
  <c r="H78" i="1"/>
  <c r="H108" i="1"/>
  <c r="H91" i="1"/>
  <c r="H39" i="1"/>
  <c r="G131" i="1"/>
  <c r="G132" i="1"/>
  <c r="H134" i="1"/>
  <c r="H128" i="1"/>
  <c r="I5" i="1"/>
  <c r="I14" i="1"/>
  <c r="F2" i="5"/>
  <c r="I41" i="1"/>
  <c r="F8" i="5"/>
  <c r="F7" i="5"/>
  <c r="H131" i="1"/>
  <c r="H132" i="1"/>
  <c r="I134" i="1"/>
  <c r="F13" i="5"/>
  <c r="F14" i="5"/>
  <c r="F23" i="5"/>
  <c r="I13" i="1"/>
  <c r="I39" i="1"/>
  <c r="I128" i="1"/>
  <c r="J5" i="1"/>
  <c r="J14" i="1"/>
  <c r="G2" i="5"/>
  <c r="J41" i="1"/>
  <c r="G8" i="5"/>
  <c r="G7" i="5"/>
  <c r="I131" i="1"/>
  <c r="I132" i="1"/>
  <c r="J134" i="1"/>
  <c r="G13" i="5"/>
  <c r="G14" i="5"/>
  <c r="G23" i="5"/>
  <c r="J13" i="1"/>
  <c r="J39" i="1"/>
  <c r="J128" i="1"/>
  <c r="K5" i="1"/>
  <c r="K14" i="1"/>
  <c r="H2" i="5"/>
  <c r="K41" i="1"/>
  <c r="H8" i="5"/>
  <c r="K58" i="1"/>
  <c r="H9" i="5"/>
  <c r="K68" i="1"/>
  <c r="H10" i="5"/>
  <c r="K78" i="1"/>
  <c r="H11" i="5"/>
  <c r="K91" i="1"/>
  <c r="H12" i="5"/>
  <c r="H7" i="5"/>
  <c r="J131" i="1"/>
  <c r="J132" i="1"/>
  <c r="K134" i="1"/>
  <c r="H13" i="5"/>
  <c r="H14" i="5"/>
  <c r="H23" i="5"/>
  <c r="K13" i="1"/>
  <c r="K39" i="1"/>
  <c r="K128" i="1"/>
  <c r="L5" i="1"/>
  <c r="L14" i="1"/>
  <c r="I2" i="5"/>
  <c r="L41" i="1"/>
  <c r="I8" i="5"/>
  <c r="L58" i="1"/>
  <c r="I9" i="5"/>
  <c r="L68" i="1"/>
  <c r="I10" i="5"/>
  <c r="L78" i="1"/>
  <c r="I11" i="5"/>
  <c r="L91" i="1"/>
  <c r="I12" i="5"/>
  <c r="I7" i="5"/>
  <c r="K131" i="1"/>
  <c r="K132" i="1"/>
  <c r="K133" i="1"/>
  <c r="L134" i="1"/>
  <c r="I13" i="5"/>
  <c r="I14" i="5"/>
  <c r="I23" i="5"/>
  <c r="L13" i="1"/>
  <c r="L39" i="1"/>
  <c r="L128" i="1"/>
  <c r="M5" i="1"/>
  <c r="M14" i="1"/>
  <c r="J2" i="5"/>
  <c r="M41" i="1"/>
  <c r="J8" i="5"/>
  <c r="M58" i="1"/>
  <c r="J9" i="5"/>
  <c r="M68" i="1"/>
  <c r="J10" i="5"/>
  <c r="M78" i="1"/>
  <c r="J11" i="5"/>
  <c r="M91" i="1"/>
  <c r="J12" i="5"/>
  <c r="J7" i="5"/>
  <c r="L131" i="1"/>
  <c r="L132" i="1"/>
  <c r="L133" i="1"/>
  <c r="M134" i="1"/>
  <c r="J13" i="5"/>
  <c r="J14" i="5"/>
  <c r="J23" i="5"/>
  <c r="M13" i="1"/>
  <c r="M39" i="1"/>
  <c r="M128" i="1"/>
  <c r="N5" i="1"/>
  <c r="N14" i="1"/>
  <c r="K2" i="5"/>
  <c r="N41" i="1"/>
  <c r="K8" i="5"/>
  <c r="N58" i="1"/>
  <c r="K9" i="5"/>
  <c r="N68" i="1"/>
  <c r="K10" i="5"/>
  <c r="N78" i="1"/>
  <c r="K11" i="5"/>
  <c r="N91" i="1"/>
  <c r="K12" i="5"/>
  <c r="K7" i="5"/>
  <c r="M131" i="1"/>
  <c r="M132" i="1"/>
  <c r="M133" i="1"/>
  <c r="N134" i="1"/>
  <c r="K13" i="5"/>
  <c r="K14" i="5"/>
  <c r="K23" i="5"/>
  <c r="N13" i="1"/>
  <c r="N39" i="1"/>
  <c r="N128" i="1"/>
  <c r="O5" i="1"/>
  <c r="O14" i="1"/>
  <c r="L2" i="5"/>
  <c r="O41" i="1"/>
  <c r="L8" i="5"/>
  <c r="O58" i="1"/>
  <c r="L9" i="5"/>
  <c r="O68" i="1"/>
  <c r="L10" i="5"/>
  <c r="O78" i="1"/>
  <c r="L11" i="5"/>
  <c r="O91" i="1"/>
  <c r="L12" i="5"/>
  <c r="L7" i="5"/>
  <c r="N131" i="1"/>
  <c r="N132" i="1"/>
  <c r="N133" i="1"/>
  <c r="O134" i="1"/>
  <c r="L13" i="5"/>
  <c r="L14" i="5"/>
  <c r="L23" i="5"/>
  <c r="O13" i="1"/>
  <c r="O39" i="1"/>
  <c r="O128" i="1"/>
  <c r="P5" i="1"/>
  <c r="P14" i="1"/>
  <c r="M2" i="5"/>
  <c r="P41" i="1"/>
  <c r="M8" i="5"/>
  <c r="P58" i="1"/>
  <c r="M9" i="5"/>
  <c r="P68" i="1"/>
  <c r="M10" i="5"/>
  <c r="P78" i="1"/>
  <c r="M11" i="5"/>
  <c r="P91" i="1"/>
  <c r="M12" i="5"/>
  <c r="M7" i="5"/>
  <c r="O131" i="1"/>
  <c r="O132" i="1"/>
  <c r="O133" i="1"/>
  <c r="P134" i="1"/>
  <c r="M13" i="5"/>
  <c r="M14" i="5"/>
  <c r="M23" i="5"/>
  <c r="P13" i="1"/>
  <c r="P39" i="1"/>
  <c r="P128" i="1"/>
  <c r="Q5" i="1"/>
  <c r="Q14" i="1"/>
  <c r="N2" i="5"/>
  <c r="Q41" i="1"/>
  <c r="N8" i="5"/>
  <c r="Q58" i="1"/>
  <c r="N9" i="5"/>
  <c r="Q68" i="1"/>
  <c r="N10" i="5"/>
  <c r="Q78" i="1"/>
  <c r="N11" i="5"/>
  <c r="Q91" i="1"/>
  <c r="N12" i="5"/>
  <c r="N7" i="5"/>
  <c r="P131" i="1"/>
  <c r="P132" i="1"/>
  <c r="P133" i="1"/>
  <c r="Q134" i="1"/>
  <c r="N13" i="5"/>
  <c r="N14" i="5"/>
  <c r="N23" i="5"/>
  <c r="Q13" i="1"/>
  <c r="Q39" i="1"/>
  <c r="Q128" i="1"/>
  <c r="R5" i="1"/>
  <c r="R14" i="1"/>
  <c r="O2" i="5"/>
  <c r="R41" i="1"/>
  <c r="O8" i="5"/>
  <c r="R58" i="1"/>
  <c r="O9" i="5"/>
  <c r="R68" i="1"/>
  <c r="O10" i="5"/>
  <c r="R78" i="1"/>
  <c r="O11" i="5"/>
  <c r="R91" i="1"/>
  <c r="O12" i="5"/>
  <c r="O7" i="5"/>
  <c r="Q131" i="1"/>
  <c r="Q132" i="1"/>
  <c r="Q133" i="1"/>
  <c r="R134" i="1"/>
  <c r="O13" i="5"/>
  <c r="O14" i="5"/>
  <c r="O23" i="5"/>
  <c r="R13" i="1"/>
  <c r="R39" i="1"/>
  <c r="R128" i="1"/>
  <c r="S5" i="1"/>
  <c r="S14" i="1"/>
  <c r="P2" i="5"/>
  <c r="S41" i="1"/>
  <c r="P8" i="5"/>
  <c r="S58" i="1"/>
  <c r="P9" i="5"/>
  <c r="S68" i="1"/>
  <c r="P10" i="5"/>
  <c r="S78" i="1"/>
  <c r="P11" i="5"/>
  <c r="S91" i="1"/>
  <c r="P12" i="5"/>
  <c r="P7" i="5"/>
  <c r="R131" i="1"/>
  <c r="R132" i="1"/>
  <c r="R133" i="1"/>
  <c r="S134" i="1"/>
  <c r="P13" i="5"/>
  <c r="P14" i="5"/>
  <c r="P23" i="5"/>
  <c r="S13" i="1"/>
  <c r="S39" i="1"/>
  <c r="S128" i="1"/>
  <c r="T5" i="1"/>
  <c r="T14" i="1"/>
  <c r="Q2" i="5"/>
  <c r="T41" i="1"/>
  <c r="Q8" i="5"/>
  <c r="T58" i="1"/>
  <c r="Q9" i="5"/>
  <c r="T68" i="1"/>
  <c r="Q10" i="5"/>
  <c r="T78" i="1"/>
  <c r="Q11" i="5"/>
  <c r="T91" i="1"/>
  <c r="Q12" i="5"/>
  <c r="Q7" i="5"/>
  <c r="S131" i="1"/>
  <c r="S132" i="1"/>
  <c r="S133" i="1"/>
  <c r="T134" i="1"/>
  <c r="Q13" i="5"/>
  <c r="Q14" i="5"/>
  <c r="Q23" i="5"/>
  <c r="T13" i="1"/>
  <c r="T39" i="1"/>
  <c r="T128" i="1"/>
  <c r="U5" i="1"/>
  <c r="U14" i="1"/>
  <c r="R2" i="5"/>
  <c r="U41" i="1"/>
  <c r="R8" i="5"/>
  <c r="U58" i="1"/>
  <c r="R9" i="5"/>
  <c r="U68" i="1"/>
  <c r="R10" i="5"/>
  <c r="U78" i="1"/>
  <c r="R11" i="5"/>
  <c r="U91" i="1"/>
  <c r="R12" i="5"/>
  <c r="R7" i="5"/>
  <c r="T131" i="1"/>
  <c r="T132" i="1"/>
  <c r="T133" i="1"/>
  <c r="U134" i="1"/>
  <c r="R13" i="5"/>
  <c r="R14" i="5"/>
  <c r="R23" i="5"/>
  <c r="U13" i="1"/>
  <c r="U39" i="1"/>
  <c r="U128" i="1"/>
  <c r="V5" i="1"/>
  <c r="V14" i="1"/>
  <c r="S2" i="5"/>
  <c r="V41" i="1"/>
  <c r="S8" i="5"/>
  <c r="V58" i="1"/>
  <c r="S9" i="5"/>
  <c r="V68" i="1"/>
  <c r="S10" i="5"/>
  <c r="V78" i="1"/>
  <c r="S11" i="5"/>
  <c r="V91" i="1"/>
  <c r="S12" i="5"/>
  <c r="S7" i="5"/>
  <c r="U131" i="1"/>
  <c r="U132" i="1"/>
  <c r="U133" i="1"/>
  <c r="V134" i="1"/>
  <c r="S13" i="5"/>
  <c r="S14" i="5"/>
  <c r="S23" i="5"/>
  <c r="V13" i="1"/>
  <c r="V39" i="1"/>
  <c r="V128" i="1"/>
  <c r="W5" i="1"/>
  <c r="W14" i="1"/>
  <c r="T2" i="5"/>
  <c r="W41" i="1"/>
  <c r="T8" i="5"/>
  <c r="W58" i="1"/>
  <c r="T9" i="5"/>
  <c r="W68" i="1"/>
  <c r="T10" i="5"/>
  <c r="W78" i="1"/>
  <c r="T11" i="5"/>
  <c r="W91" i="1"/>
  <c r="T12" i="5"/>
  <c r="T7" i="5"/>
  <c r="V131" i="1"/>
  <c r="V132" i="1"/>
  <c r="V133" i="1"/>
  <c r="W134" i="1"/>
  <c r="T13" i="5"/>
  <c r="T14" i="5"/>
  <c r="T23" i="5"/>
  <c r="W13" i="1"/>
  <c r="W39" i="1"/>
  <c r="W128" i="1"/>
  <c r="X5" i="1"/>
  <c r="X14" i="1"/>
  <c r="U2" i="5"/>
  <c r="X41" i="1"/>
  <c r="U8" i="5"/>
  <c r="X58" i="1"/>
  <c r="U9" i="5"/>
  <c r="X68" i="1"/>
  <c r="U10" i="5"/>
  <c r="X78" i="1"/>
  <c r="U11" i="5"/>
  <c r="X91" i="1"/>
  <c r="U12" i="5"/>
  <c r="U7" i="5"/>
  <c r="W131" i="1"/>
  <c r="W132" i="1"/>
  <c r="W133" i="1"/>
  <c r="X134" i="1"/>
  <c r="U13" i="5"/>
  <c r="U14" i="5"/>
  <c r="U23" i="5"/>
  <c r="X13" i="1"/>
  <c r="X39" i="1"/>
  <c r="X128" i="1"/>
  <c r="Y5" i="1"/>
  <c r="Y14" i="1"/>
  <c r="V2" i="5"/>
  <c r="Y41" i="1"/>
  <c r="V8" i="5"/>
  <c r="Y58" i="1"/>
  <c r="V9" i="5"/>
  <c r="Y68" i="1"/>
  <c r="V10" i="5"/>
  <c r="Y78" i="1"/>
  <c r="V11" i="5"/>
  <c r="Y91" i="1"/>
  <c r="V12" i="5"/>
  <c r="V7" i="5"/>
  <c r="X131" i="1"/>
  <c r="X132" i="1"/>
  <c r="X133" i="1"/>
  <c r="Y134" i="1"/>
  <c r="V13" i="5"/>
  <c r="V14" i="5"/>
  <c r="V23" i="5"/>
  <c r="Y13" i="1"/>
  <c r="Y39" i="1"/>
  <c r="Y128" i="1"/>
  <c r="Z5" i="1"/>
  <c r="Z14" i="1"/>
  <c r="W2" i="5"/>
  <c r="Z41" i="1"/>
  <c r="W8" i="5"/>
  <c r="Z58" i="1"/>
  <c r="W9" i="5"/>
  <c r="Z68" i="1"/>
  <c r="W10" i="5"/>
  <c r="Z78" i="1"/>
  <c r="W11" i="5"/>
  <c r="Z91" i="1"/>
  <c r="W12" i="5"/>
  <c r="W7" i="5"/>
  <c r="Y131" i="1"/>
  <c r="Y132" i="1"/>
  <c r="Y133" i="1"/>
  <c r="Z134" i="1"/>
  <c r="W13" i="5"/>
  <c r="W14" i="5"/>
  <c r="W23" i="5"/>
  <c r="Z13" i="1"/>
  <c r="Z39" i="1"/>
  <c r="Z128" i="1"/>
  <c r="AA5" i="1"/>
  <c r="AA14" i="1"/>
  <c r="X2" i="5"/>
  <c r="AA41" i="1"/>
  <c r="X8" i="5"/>
  <c r="AA58" i="1"/>
  <c r="X9" i="5"/>
  <c r="AA68" i="1"/>
  <c r="X10" i="5"/>
  <c r="AA78" i="1"/>
  <c r="X11" i="5"/>
  <c r="AA91" i="1"/>
  <c r="X12" i="5"/>
  <c r="X7" i="5"/>
  <c r="Z131" i="1"/>
  <c r="Z132" i="1"/>
  <c r="Z133" i="1"/>
  <c r="AA134" i="1"/>
  <c r="X13" i="5"/>
  <c r="X14" i="5"/>
  <c r="X23" i="5"/>
  <c r="AA13" i="1"/>
  <c r="AA39" i="1"/>
  <c r="AA128" i="1"/>
  <c r="AB5" i="1"/>
  <c r="AA131" i="1"/>
  <c r="AA132" i="1"/>
  <c r="AA133" i="1"/>
  <c r="AB134" i="1"/>
  <c r="Y13" i="5"/>
  <c r="Y14" i="5"/>
  <c r="Y23" i="5"/>
  <c r="E2" i="5"/>
  <c r="E8" i="5"/>
  <c r="E9" i="5"/>
  <c r="E10" i="5"/>
  <c r="E11" i="5"/>
  <c r="E12" i="5"/>
  <c r="E7" i="5"/>
  <c r="E13" i="5"/>
  <c r="E14" i="5"/>
  <c r="E23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AB132" i="1"/>
  <c r="H10" i="1"/>
  <c r="H11" i="1"/>
  <c r="I10" i="1"/>
  <c r="I11" i="1"/>
  <c r="J10" i="1"/>
  <c r="J11" i="1"/>
  <c r="K10" i="1"/>
  <c r="K11" i="1"/>
  <c r="L10" i="1"/>
  <c r="L11" i="1"/>
  <c r="M10" i="1"/>
  <c r="M11" i="1"/>
  <c r="N10" i="1"/>
  <c r="N11" i="1"/>
  <c r="O10" i="1"/>
  <c r="O11" i="1"/>
  <c r="P10" i="1"/>
  <c r="P11" i="1"/>
  <c r="Q10" i="1"/>
  <c r="Q11" i="1"/>
  <c r="R10" i="1"/>
  <c r="R11" i="1"/>
  <c r="S10" i="1"/>
  <c r="S11" i="1"/>
  <c r="T10" i="1"/>
  <c r="T11" i="1"/>
  <c r="U10" i="1"/>
  <c r="U11" i="1"/>
  <c r="V10" i="1"/>
  <c r="V11" i="1"/>
  <c r="W10" i="1"/>
  <c r="W11" i="1"/>
  <c r="X10" i="1"/>
  <c r="X11" i="1"/>
  <c r="Y10" i="1"/>
  <c r="Y11" i="1"/>
  <c r="Z10" i="1"/>
  <c r="Z11" i="1"/>
  <c r="AA10" i="1"/>
  <c r="AA11" i="1"/>
  <c r="AB128" i="1"/>
  <c r="AB10" i="1"/>
  <c r="AB11" i="1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X6" i="5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</calcChain>
</file>

<file path=xl/comments1.xml><?xml version="1.0" encoding="utf-8"?>
<comments xmlns="http://schemas.openxmlformats.org/spreadsheetml/2006/main">
  <authors>
    <author>Rémi BERTHON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Indiquer le solde bancaire de démarrage</t>
        </r>
      </text>
    </comment>
    <comment ref="C15" authorId="0">
      <text>
        <r>
          <rPr>
            <b/>
            <sz val="9"/>
            <color indexed="81"/>
            <rFont val="Tahoma"/>
            <charset val="1"/>
          </rPr>
          <t>Rémi BERTHON:</t>
        </r>
        <r>
          <rPr>
            <sz val="9"/>
            <color indexed="81"/>
            <rFont val="Tahoma"/>
            <charset val="1"/>
          </rPr>
          <t xml:space="preserve">
1 ligne différente pour chaque statut différent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Penser à rentrer les plan d'amortissement de tous les apports à rembourser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Charges de toute nature (intrants, commerciale, marketing, logistique, …) directement affectées à la réalisation du chiffre d'affaires.</t>
        </r>
      </text>
    </comment>
    <comment ref="D57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Indiquer le % qui vous semble le plus pertinent (75% pour des salaires nets classiques en France, plus bas pour des salaires faibles ou très élévés)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Charges de toute nature affectées au développement de nouveaux produits, innovation, R&amp;D</t>
        </r>
      </text>
    </comment>
    <comment ref="D67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Indiquer le % qui vous semble le plus pertinent (75% pour des salaires nets classiques en France, plus bas pour des salaires faibles ou très élévés)</t>
        </r>
      </text>
    </comment>
    <comment ref="A68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Charges de toute nature affectées au développement commercial de l'entreprise mais non directement liées au chiffre d'affaires (charges sur CA)</t>
        </r>
      </text>
    </comment>
    <comment ref="D77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Indiquer le % qui vous semble le plus pertinent (75% pour des salaires nets classiques en France, plus bas pour des salaires faibles ou très élévés)</t>
        </r>
      </text>
    </comment>
    <comment ref="A78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Charges de toute nature liées à la communication et au marketing sans être directement liées à la réalisation du CA</t>
        </r>
      </text>
    </comment>
    <comment ref="D90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Indiquer le % qui vous semble le plus pertinent (75% pour des salaires nets classiques en France, plus bas pour des salaires faibles ou très élévés)</t>
        </r>
      </text>
    </comment>
    <comment ref="A91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Toutes les charges qui ne se retrouveraient pas dans une catégorie précédente</t>
        </r>
      </text>
    </comment>
    <comment ref="D108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Indiquer le % qui vous semble le plus pertinent (75% pour des salaires nets classiques en France, plus bas pour des salaires faibles ou très élévés)</t>
        </r>
      </text>
    </comment>
    <comment ref="A116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Indiquer directement les échéanciers de remboursement en distinguant capital et intérêts</t>
        </r>
      </text>
    </comment>
    <comment ref="B117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Taux : à compléter</t>
        </r>
      </text>
    </comment>
    <comment ref="C117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du prêt (en mois) : à compléter</t>
        </r>
      </text>
    </comment>
    <comment ref="B118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Date de début de l'échéancier : à compléter</t>
        </r>
      </text>
    </comment>
    <comment ref="C118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de la franchise initiale (en mois) : à compléter</t>
        </r>
      </text>
    </comment>
    <comment ref="B119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Taux : à compléter</t>
        </r>
      </text>
    </comment>
    <comment ref="C119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du prêt (en mois) : à compléter</t>
        </r>
      </text>
    </comment>
    <comment ref="B120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Date de début de l'échéancier : à compléter</t>
        </r>
      </text>
    </comment>
    <comment ref="C120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de la franchise initiale (en mois) : à compléter</t>
        </r>
      </text>
    </comment>
    <comment ref="B121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Taux : à compléter</t>
        </r>
      </text>
    </comment>
    <comment ref="C121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du prêt (en mois) : à compléter</t>
        </r>
      </text>
    </comment>
    <comment ref="B122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Date de début de l'échéancier : à compléter</t>
        </r>
      </text>
    </comment>
    <comment ref="C122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de la franchise initiale (en mois) : à compléter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Taux : à compléter</t>
        </r>
      </text>
    </comment>
    <comment ref="C123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du prêt (en mois) : à compléter</t>
        </r>
      </text>
    </comment>
    <comment ref="B124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Date de début de l'échéancier : à compléter</t>
        </r>
      </text>
    </comment>
    <comment ref="C124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de la franchise initiale (en mois) : à compléter</t>
        </r>
      </text>
    </comment>
    <comment ref="B125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Taux : à compléter</t>
        </r>
      </text>
    </comment>
    <comment ref="C125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du prêt (en mois) : à compléter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Date de début de l'échéancier : à compléter</t>
        </r>
      </text>
    </comment>
    <comment ref="C126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Durée de la franchise initiale (en mois) : à compléter</t>
        </r>
      </text>
    </comment>
    <comment ref="A135" authorId="0">
      <text>
        <r>
          <rPr>
            <b/>
            <sz val="9"/>
            <color indexed="81"/>
            <rFont val="Tahoma"/>
            <family val="2"/>
          </rPr>
          <t>Rémi BERTHON:</t>
        </r>
        <r>
          <rPr>
            <sz val="9"/>
            <color indexed="81"/>
            <rFont val="Tahoma"/>
            <family val="2"/>
          </rPr>
          <t xml:space="preserve">
Remplir la TVA à payer lorsqu'elle est connue</t>
        </r>
      </text>
    </comment>
  </commentList>
</comments>
</file>

<file path=xl/sharedStrings.xml><?xml version="1.0" encoding="utf-8"?>
<sst xmlns="http://schemas.openxmlformats.org/spreadsheetml/2006/main" count="406" uniqueCount="220">
  <si>
    <t>TOTAL DES ENCAISSEMENTS</t>
  </si>
  <si>
    <t>TOTAL DES DECAISSEMENTS</t>
  </si>
  <si>
    <t>Légende :</t>
  </si>
  <si>
    <t>Probabilité</t>
  </si>
  <si>
    <t>Aucun doute</t>
  </si>
  <si>
    <t>Pourcentage</t>
  </si>
  <si>
    <t>On y croit</t>
  </si>
  <si>
    <t>On espère</t>
  </si>
  <si>
    <t>Fixe mais annulable</t>
  </si>
  <si>
    <t>Charge fixe</t>
  </si>
  <si>
    <t>Charge variable</t>
  </si>
  <si>
    <t>Encaissé</t>
  </si>
  <si>
    <t>Confirmé</t>
  </si>
  <si>
    <t>Nature</t>
  </si>
  <si>
    <t>Autre encaissement 1</t>
  </si>
  <si>
    <t>Autre encaissement 4</t>
  </si>
  <si>
    <t>Autre encaissement 5</t>
  </si>
  <si>
    <t>Fonds propres</t>
  </si>
  <si>
    <t>Compte courant</t>
  </si>
  <si>
    <t>Emprunt bancaire</t>
  </si>
  <si>
    <t>Avance remboursable</t>
  </si>
  <si>
    <t>Subvention</t>
  </si>
  <si>
    <t>C'est perdu</t>
  </si>
  <si>
    <t>Remboursement frais</t>
  </si>
  <si>
    <t>Nature autres encaissements</t>
  </si>
  <si>
    <t>Nature chiffre d'affaires</t>
  </si>
  <si>
    <t>Honoraires</t>
  </si>
  <si>
    <t>Petit matériel</t>
  </si>
  <si>
    <t>Produits divers</t>
  </si>
  <si>
    <t>Nature autres dépenses</t>
  </si>
  <si>
    <t>Nature dépenses sur CA</t>
  </si>
  <si>
    <t>CHARGES SUR CA TTC</t>
  </si>
  <si>
    <t>Variabilisation</t>
  </si>
  <si>
    <t>Achat marchandises</t>
  </si>
  <si>
    <t>Achat composants</t>
  </si>
  <si>
    <t>Achat prestations</t>
  </si>
  <si>
    <t>Achat consommables</t>
  </si>
  <si>
    <t>Achat divers</t>
  </si>
  <si>
    <t>Délai réactivité</t>
  </si>
  <si>
    <t>CHARGES BIZDEV TTC</t>
  </si>
  <si>
    <t>Prestation de service</t>
  </si>
  <si>
    <t>Fluides, Energies</t>
  </si>
  <si>
    <t>Transports/Déplacements</t>
  </si>
  <si>
    <t>CHARGES COMMUNICATION TTC</t>
  </si>
  <si>
    <t>CHARGES FONCTIONNEMENT TTC</t>
  </si>
  <si>
    <t>Salaire net</t>
  </si>
  <si>
    <t>INVESTISSEMENTS TTC</t>
  </si>
  <si>
    <t>Investissement 1</t>
  </si>
  <si>
    <t>Investissement 2</t>
  </si>
  <si>
    <t>Investissement 3</t>
  </si>
  <si>
    <t>Investissement 4</t>
  </si>
  <si>
    <t>Investissement 5</t>
  </si>
  <si>
    <t>Capital prêt 1</t>
  </si>
  <si>
    <t>Intérêts prêt 1</t>
  </si>
  <si>
    <t>Capital prêt 2</t>
  </si>
  <si>
    <t>Intérêts prêt 2</t>
  </si>
  <si>
    <t>Capital prêt 3</t>
  </si>
  <si>
    <t>Intérêts prêt 3</t>
  </si>
  <si>
    <t>Capital prêt 4</t>
  </si>
  <si>
    <t>Intérêts prêt 4</t>
  </si>
  <si>
    <t>Capital prêt 5</t>
  </si>
  <si>
    <t>Intérêts prêt 5</t>
  </si>
  <si>
    <t>Estimation TVA à payer</t>
  </si>
  <si>
    <t>BUDGET DE TVA</t>
  </si>
  <si>
    <t>Divers</t>
  </si>
  <si>
    <t>Loyer et charges locatives</t>
  </si>
  <si>
    <t>Délai de réactivité:</t>
  </si>
  <si>
    <t>Charges sociales estimées</t>
  </si>
  <si>
    <t>Charges sociales réelles payées</t>
  </si>
  <si>
    <t>Plan de trésorerie analytique</t>
  </si>
  <si>
    <t>Libellé variabilisation charges</t>
  </si>
  <si>
    <t>ENCAISSEMENTS ET DECAISSEMENTS EN TTC</t>
  </si>
  <si>
    <t>Durée amortissement</t>
  </si>
  <si>
    <t>taux</t>
  </si>
  <si>
    <t>durée (en mois)</t>
  </si>
  <si>
    <t>date démarrage</t>
  </si>
  <si>
    <t>franchise (en mois)</t>
  </si>
  <si>
    <t>CHARGES DEVELOPPEMENT PRODUITS TTC</t>
  </si>
  <si>
    <t>Stage, salaire détaxé, interim</t>
  </si>
  <si>
    <t>Numéro mois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</si>
  <si>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</si>
  <si>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</si>
  <si>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</si>
  <si>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</si>
  <si>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</si>
  <si>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</si>
  <si>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</si>
  <si>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</si>
  <si>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</si>
  <si>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</si>
  <si>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</si>
  <si>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</si>
  <si>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</si>
  <si>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 vert d'eau, les libellés et les paramètres à compléter</t>
  </si>
  <si>
    <t>Banque, Assurance, Frais</t>
  </si>
  <si>
    <t>Libellé proba encaissements</t>
  </si>
  <si>
    <t>de l'année en cours</t>
  </si>
  <si>
    <t>des 6 prochains mois</t>
  </si>
  <si>
    <t>des 12 prochains mois</t>
  </si>
  <si>
    <t>je veux tout voir</t>
  </si>
  <si>
    <t>Visualisation trésorerie</t>
  </si>
  <si>
    <t>Estimation TVA collectée sur ventes</t>
  </si>
  <si>
    <t>Estimation TVA déductible sur achats</t>
  </si>
  <si>
    <t>Estimation TVA déductible sur investissements</t>
  </si>
  <si>
    <t>Démarrage tableau</t>
  </si>
  <si>
    <t>Année</t>
  </si>
  <si>
    <t xml:space="preserve">au  </t>
  </si>
  <si>
    <t>Compte en banque 1</t>
  </si>
  <si>
    <t>Compte en banque 2</t>
  </si>
  <si>
    <t>Compte en banque 3</t>
  </si>
  <si>
    <t>Total banques</t>
  </si>
  <si>
    <t>Solde fin de mois</t>
  </si>
  <si>
    <t>SOLDE FIN DE MOIS</t>
  </si>
  <si>
    <t>SOLDE TRESORERIE DEBUT DE MOIS</t>
  </si>
  <si>
    <t>SOLDE TRESORERIE FIN DE MOIS</t>
  </si>
  <si>
    <t>Solde banque(s) fin de mois à décaisser (-) / à encaisser(+)</t>
  </si>
  <si>
    <t>En vert les chiffres réels à renseigner avec les factures reçues</t>
  </si>
  <si>
    <t>En gris, les prévisions budgétaires à renseigner</t>
  </si>
  <si>
    <t>En bleu clair, les soldes intermédiaires calculés automatiquement.</t>
  </si>
  <si>
    <t>Année de démarrage du tableau de trésorerie</t>
  </si>
  <si>
    <t>Mois de démarrage du tableau de trésorerie</t>
  </si>
  <si>
    <t>Délai entre une prise de décision budgétaire et son impact réel en trésoreroe</t>
  </si>
  <si>
    <t>Quasi-fonds propres</t>
  </si>
  <si>
    <t>Segmentation des autres encaissements (non modifiable)</t>
  </si>
  <si>
    <t>Segmentation du chiffre d'affaires (liste modifiable)</t>
  </si>
  <si>
    <t>Probabilité des encaissements futurs d'un item donné (modifiable)</t>
  </si>
  <si>
    <t>Segmentation des décaissements directement liés au chiffre d'affaires</t>
  </si>
  <si>
    <t>non modifiable</t>
  </si>
  <si>
    <t>Segmentation des décaissements non directement liés au chiffre d'affaires</t>
  </si>
  <si>
    <t>Variabilisation et annulation possible des charges prévues</t>
  </si>
  <si>
    <t>Invariable et non annulable</t>
  </si>
  <si>
    <t>Indexé sur les encaissements de CA du mois</t>
  </si>
  <si>
    <t>Invariable mais annulable à l'issue du "Délai de réactivité" (modifiable)</t>
  </si>
  <si>
    <t>Valeurs</t>
  </si>
  <si>
    <t>Taxes &amp; Impôts divers</t>
  </si>
  <si>
    <t>Taxes et impôts divers</t>
  </si>
  <si>
    <t>En bleu foncé, les soldes principaux calculés automatiquement</t>
  </si>
  <si>
    <t>Optica Hyères</t>
  </si>
  <si>
    <t>Roy Opticien</t>
  </si>
  <si>
    <t>J. Tondeur</t>
  </si>
  <si>
    <t>Inconnu</t>
  </si>
  <si>
    <t>Romans des lunettes</t>
  </si>
  <si>
    <t>Apport en CC Waoup</t>
  </si>
  <si>
    <t>Prêt amorçage BPI</t>
  </si>
  <si>
    <t>Allianz</t>
  </si>
  <si>
    <t>One&amp;One site web</t>
  </si>
  <si>
    <t>Mailchimp</t>
  </si>
  <si>
    <t>Orange téléphone</t>
  </si>
  <si>
    <t>Atelier Jacques Denis Montage montures</t>
  </si>
  <si>
    <t>Déplacements divers</t>
  </si>
  <si>
    <t>Frédéric Juppet plein temps</t>
  </si>
  <si>
    <t>Damien Briatte plein temps</t>
  </si>
  <si>
    <t>La Poste</t>
  </si>
  <si>
    <t>Germain Moreau PI</t>
  </si>
  <si>
    <t>Alpha Compta</t>
  </si>
  <si>
    <t>Oredi plateforme</t>
  </si>
  <si>
    <t>Eyes road EDI</t>
  </si>
  <si>
    <t>Clean world nettoyage</t>
  </si>
  <si>
    <t>GS_ONE</t>
  </si>
  <si>
    <t>Lowcal</t>
  </si>
  <si>
    <t>Divel Italia</t>
  </si>
  <si>
    <t>BV2M Conseil stratégique</t>
  </si>
  <si>
    <t>Plastimod</t>
  </si>
  <si>
    <t>Optic 2R</t>
  </si>
  <si>
    <t>Divel France</t>
  </si>
  <si>
    <t>Axial</t>
  </si>
  <si>
    <t>Studio carré photos</t>
  </si>
  <si>
    <t>Optovision conseil</t>
  </si>
  <si>
    <t>ATS packaging</t>
  </si>
  <si>
    <t>Waoup</t>
  </si>
  <si>
    <t>Dépenses antécréation Wenf</t>
  </si>
  <si>
    <t>Commissions COL</t>
  </si>
  <si>
    <t>Achat leads</t>
  </si>
  <si>
    <t>TVA à décaisser (+) ou crédit à payer(-) (réel)</t>
  </si>
  <si>
    <t>EMPRUNTS</t>
  </si>
  <si>
    <t>TVA</t>
  </si>
  <si>
    <t>DECAISSEMENTS EXPLOITATION TTC</t>
  </si>
  <si>
    <t>CASH BURN EXPLOITATION</t>
  </si>
  <si>
    <t>APPORTS EN TRESORERIE</t>
  </si>
  <si>
    <t>Autres</t>
  </si>
  <si>
    <t>CASH BURN HORS EXPLOITATION</t>
  </si>
  <si>
    <t>CASH BURN EXPLOITATION CUMULE</t>
  </si>
  <si>
    <t>TRESORERIE</t>
  </si>
  <si>
    <t>CASH BURN HORS EXPLOITATION CUMULE</t>
  </si>
  <si>
    <t>Big Deal</t>
  </si>
  <si>
    <t>Ventes prévisionnelles montures acétates</t>
  </si>
  <si>
    <t>Ventes prévisionnelles montures injectées</t>
  </si>
  <si>
    <t>Big Deal 1 - Partenariat enseigne</t>
  </si>
  <si>
    <t>Big Deal 2 - Partenariat export</t>
  </si>
  <si>
    <t>Acétate</t>
  </si>
  <si>
    <t>Injectés</t>
  </si>
  <si>
    <t>Export acétate</t>
  </si>
  <si>
    <t>Export injecté</t>
  </si>
  <si>
    <t>Shop</t>
  </si>
  <si>
    <t>Web monture</t>
  </si>
  <si>
    <t>Web verres</t>
  </si>
  <si>
    <t>Web verre</t>
  </si>
  <si>
    <t>Fournisseur Montures Injectées</t>
  </si>
  <si>
    <t>Fournisseurs Verres : Prestations et Achat/Revente</t>
  </si>
  <si>
    <t>Achat détourage verres</t>
  </si>
  <si>
    <t>Rémunération Centrale d'Achat calculé sur 50% des ventes Acétate</t>
  </si>
  <si>
    <t>Commissions agents commerciaux 0,2 calculées sur 50% des ventes optiques FR</t>
  </si>
  <si>
    <t>Fournisseurs Montures Acétate</t>
  </si>
  <si>
    <t>Opticien</t>
  </si>
  <si>
    <t>Community manager</t>
  </si>
  <si>
    <t>Directeur commercial</t>
  </si>
  <si>
    <t>ADV</t>
  </si>
  <si>
    <t>Stagiaire</t>
  </si>
  <si>
    <t>Locaux et charges</t>
  </si>
  <si>
    <t>Assurances</t>
  </si>
  <si>
    <t>Honoraires &amp; Frais de brevet</t>
  </si>
  <si>
    <t>Matériel informatique</t>
  </si>
  <si>
    <t>Frais de déplacement</t>
  </si>
  <si>
    <t>Design technique</t>
  </si>
  <si>
    <t>Communication</t>
  </si>
  <si>
    <t>Salon &amp; événementiel</t>
  </si>
  <si>
    <t>Commissions commerciales</t>
  </si>
  <si>
    <t>Nouvelle ligne</t>
  </si>
  <si>
    <t>CHIFFRE D'AFFAIRES TTC</t>
  </si>
  <si>
    <t>Double clic pour insertion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</si>
</sst>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5" formatCode="#,##0\ &quot;€&quot;;\-#,##0\ &quot;€&quot;"/>
    <numFmt numFmtId="6" formatCode="#,##0\ &quot;€&quot;;[Red]\-#,##0\ &quot;€&quot;"/>
    <numFmt numFmtId="164" formatCode="[$-40C]General"/>
    <numFmt numFmtId="165" formatCode="#,##0\ &quot;€&quot;"/>
    <numFmt numFmtId="166" formatCode="#,##0.00\ &quot;€&quot;"/>
    <numFmt numFmtId="167" formatCode="dd/mm/yy;@"/>
    <numFmt numFmtId="168" formatCode="[$-40C]mmm\-yy;@"/>
  </numFmts>
  <fonts count="27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</font>
    <font>
      <b/>
      <u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0"/>
      <name val="Arial"/>
      <family val="2"/>
    </font>
    <font>
      <i/>
      <sz val="10"/>
      <color rgb="FF000000"/>
      <name val="Arial"/>
      <family val="2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u/>
      <sz val="10"/>
      <color rgb="FF0070C0"/>
      <name val="Arial"/>
      <family val="2"/>
    </font>
    <font>
      <i/>
      <sz val="10"/>
      <name val="Arial"/>
      <family val="2"/>
    </font>
    <font>
      <b/>
      <sz val="14"/>
      <color theme="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5">
    <xf numFmtId="0" fontId="0" fillId="0" borderId="0"/>
    <xf numFmtId="164" fontId="1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63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6" fontId="2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6" fillId="0" borderId="4" xfId="2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9" fontId="4" fillId="0" borderId="1" xfId="1" applyNumberFormat="1" applyFont="1" applyFill="1" applyBorder="1" applyAlignment="1">
      <alignment horizontal="center" vertical="center"/>
    </xf>
    <xf numFmtId="9" fontId="2" fillId="2" borderId="3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9" fontId="9" fillId="0" borderId="0" xfId="0" applyNumberFormat="1" applyFont="1" applyAlignment="1">
      <alignment horizontal="center" vertical="center"/>
    </xf>
    <xf numFmtId="0" fontId="10" fillId="3" borderId="6" xfId="2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164" fontId="4" fillId="4" borderId="2" xfId="1" applyFont="1" applyFill="1" applyBorder="1" applyAlignment="1">
      <alignment vertical="center"/>
    </xf>
    <xf numFmtId="164" fontId="4" fillId="4" borderId="12" xfId="1" applyFont="1" applyFill="1" applyBorder="1" applyAlignment="1">
      <alignment horizontal="center" vertical="center"/>
    </xf>
    <xf numFmtId="165" fontId="12" fillId="4" borderId="1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14" xfId="1" applyNumberFormat="1" applyFont="1" applyFill="1" applyBorder="1" applyAlignment="1">
      <alignment horizontal="center" vertical="center"/>
    </xf>
    <xf numFmtId="9" fontId="4" fillId="0" borderId="15" xfId="1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vertical="center"/>
    </xf>
    <xf numFmtId="0" fontId="3" fillId="7" borderId="12" xfId="0" applyFont="1" applyFill="1" applyBorder="1" applyAlignment="1">
      <alignment horizontal="center" vertical="center"/>
    </xf>
    <xf numFmtId="9" fontId="3" fillId="7" borderId="12" xfId="0" applyNumberFormat="1" applyFont="1" applyFill="1" applyBorder="1" applyAlignment="1">
      <alignment horizontal="center" vertical="center"/>
    </xf>
    <xf numFmtId="9" fontId="3" fillId="7" borderId="10" xfId="0" applyNumberFormat="1" applyFont="1" applyFill="1" applyBorder="1" applyAlignment="1">
      <alignment horizontal="center" vertical="center"/>
    </xf>
    <xf numFmtId="6" fontId="3" fillId="7" borderId="10" xfId="0" applyNumberFormat="1" applyFont="1" applyFill="1" applyBorder="1" applyAlignment="1">
      <alignment horizontal="center" vertical="center"/>
    </xf>
    <xf numFmtId="6" fontId="3" fillId="7" borderId="1" xfId="0" applyNumberFormat="1" applyFont="1" applyFill="1" applyBorder="1" applyAlignment="1">
      <alignment horizontal="center" vertical="center"/>
    </xf>
    <xf numFmtId="165" fontId="12" fillId="7" borderId="1" xfId="0" applyNumberFormat="1" applyFont="1" applyFill="1" applyBorder="1" applyAlignment="1">
      <alignment horizontal="center" vertical="center"/>
    </xf>
    <xf numFmtId="0" fontId="10" fillId="7" borderId="8" xfId="2" applyFont="1" applyFill="1" applyBorder="1" applyAlignment="1">
      <alignment vertical="center"/>
    </xf>
    <xf numFmtId="0" fontId="6" fillId="0" borderId="5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7" borderId="9" xfId="2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vertical="center"/>
    </xf>
    <xf numFmtId="0" fontId="17" fillId="2" borderId="9" xfId="0" applyFont="1" applyFill="1" applyBorder="1" applyAlignment="1">
      <alignment horizontal="center" vertical="center"/>
    </xf>
    <xf numFmtId="0" fontId="10" fillId="6" borderId="6" xfId="2" applyFont="1" applyFill="1" applyBorder="1" applyAlignment="1">
      <alignment vertical="center"/>
    </xf>
    <xf numFmtId="0" fontId="6" fillId="6" borderId="7" xfId="2" applyFont="1" applyFill="1" applyBorder="1" applyAlignment="1">
      <alignment horizontal="center" vertical="center"/>
    </xf>
    <xf numFmtId="164" fontId="4" fillId="0" borderId="2" xfId="1" applyFont="1" applyFill="1" applyBorder="1" applyAlignment="1">
      <alignment vertical="center"/>
    </xf>
    <xf numFmtId="164" fontId="4" fillId="0" borderId="12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8" borderId="6" xfId="2" applyFont="1" applyFill="1" applyBorder="1" applyAlignment="1">
      <alignment vertical="center"/>
    </xf>
    <xf numFmtId="0" fontId="6" fillId="8" borderId="7" xfId="2" applyFont="1" applyFill="1" applyBorder="1" applyAlignment="1">
      <alignment horizontal="center" vertical="center"/>
    </xf>
    <xf numFmtId="0" fontId="12" fillId="8" borderId="1" xfId="0" applyFont="1" applyFill="1" applyBorder="1" applyAlignment="1" applyProtection="1">
      <alignment horizontal="center" vertical="center"/>
      <protection locked="0"/>
    </xf>
    <xf numFmtId="0" fontId="12" fillId="8" borderId="1" xfId="0" applyFont="1" applyFill="1" applyBorder="1" applyAlignment="1" applyProtection="1">
      <alignment vertical="center"/>
      <protection locked="0"/>
    </xf>
    <xf numFmtId="0" fontId="12" fillId="8" borderId="1" xfId="0" applyFont="1" applyFill="1" applyBorder="1" applyAlignment="1" applyProtection="1">
      <alignment horizontal="left" vertical="center"/>
      <protection locked="0"/>
    </xf>
    <xf numFmtId="9" fontId="12" fillId="8" borderId="1" xfId="0" applyNumberFormat="1" applyFont="1" applyFill="1" applyBorder="1" applyAlignment="1" applyProtection="1">
      <alignment horizontal="center" vertical="center"/>
      <protection locked="0"/>
    </xf>
    <xf numFmtId="164" fontId="4" fillId="8" borderId="1" xfId="1" applyFont="1" applyFill="1" applyBorder="1" applyAlignment="1" applyProtection="1">
      <alignment vertical="center"/>
      <protection locked="0"/>
    </xf>
    <xf numFmtId="164" fontId="4" fillId="8" borderId="1" xfId="1" applyFont="1" applyFill="1" applyBorder="1" applyAlignment="1" applyProtection="1">
      <alignment horizontal="center" vertical="center"/>
      <protection locked="0"/>
    </xf>
    <xf numFmtId="165" fontId="12" fillId="3" borderId="1" xfId="0" applyNumberFormat="1" applyFont="1" applyFill="1" applyBorder="1" applyAlignment="1" applyProtection="1">
      <alignment horizontal="center" vertical="center"/>
      <protection locked="0"/>
    </xf>
    <xf numFmtId="165" fontId="12" fillId="3" borderId="10" xfId="0" applyNumberFormat="1" applyFont="1" applyFill="1" applyBorder="1" applyAlignment="1" applyProtection="1">
      <alignment horizontal="center" vertical="center"/>
      <protection locked="0"/>
    </xf>
    <xf numFmtId="9" fontId="4" fillId="8" borderId="1" xfId="1" applyNumberFormat="1" applyFont="1" applyFill="1" applyBorder="1" applyAlignment="1" applyProtection="1">
      <alignment horizontal="center" vertical="center"/>
      <protection locked="0"/>
    </xf>
    <xf numFmtId="164" fontId="18" fillId="8" borderId="1" xfId="1" applyFont="1" applyFill="1" applyBorder="1" applyAlignment="1" applyProtection="1">
      <alignment vertical="center"/>
      <protection locked="0"/>
    </xf>
    <xf numFmtId="164" fontId="18" fillId="8" borderId="1" xfId="1" applyFont="1" applyFill="1" applyBorder="1" applyAlignment="1" applyProtection="1">
      <alignment horizontal="center" vertical="center"/>
      <protection locked="0"/>
    </xf>
    <xf numFmtId="164" fontId="18" fillId="8" borderId="14" xfId="1" applyFont="1" applyFill="1" applyBorder="1" applyAlignment="1" applyProtection="1">
      <alignment vertical="center"/>
      <protection locked="0"/>
    </xf>
    <xf numFmtId="10" fontId="18" fillId="8" borderId="14" xfId="1" applyNumberFormat="1" applyFont="1" applyFill="1" applyBorder="1" applyAlignment="1" applyProtection="1">
      <alignment horizontal="center" vertical="center"/>
      <protection locked="0"/>
    </xf>
    <xf numFmtId="1" fontId="18" fillId="8" borderId="14" xfId="1" applyNumberFormat="1" applyFont="1" applyFill="1" applyBorder="1" applyAlignment="1" applyProtection="1">
      <alignment horizontal="center" vertical="center"/>
      <protection locked="0"/>
    </xf>
    <xf numFmtId="164" fontId="18" fillId="8" borderId="15" xfId="1" applyFont="1" applyFill="1" applyBorder="1" applyAlignment="1" applyProtection="1">
      <alignment vertical="center"/>
      <protection locked="0"/>
    </xf>
    <xf numFmtId="167" fontId="18" fillId="8" borderId="15" xfId="1" applyNumberFormat="1" applyFont="1" applyFill="1" applyBorder="1" applyAlignment="1" applyProtection="1">
      <alignment horizontal="center" vertical="center"/>
      <protection locked="0"/>
    </xf>
    <xf numFmtId="1" fontId="18" fillId="8" borderId="15" xfId="1" applyNumberFormat="1" applyFont="1" applyFill="1" applyBorder="1" applyAlignment="1" applyProtection="1">
      <alignment horizontal="center" vertical="center"/>
      <protection locked="0"/>
    </xf>
    <xf numFmtId="165" fontId="12" fillId="3" borderId="14" xfId="0" applyNumberFormat="1" applyFont="1" applyFill="1" applyBorder="1" applyAlignment="1" applyProtection="1">
      <alignment horizontal="center" vertical="center"/>
      <protection locked="0"/>
    </xf>
    <xf numFmtId="165" fontId="12" fillId="3" borderId="15" xfId="0" applyNumberFormat="1" applyFont="1" applyFill="1" applyBorder="1" applyAlignment="1" applyProtection="1">
      <alignment horizontal="center" vertical="center"/>
      <protection locked="0"/>
    </xf>
    <xf numFmtId="9" fontId="10" fillId="8" borderId="1" xfId="0" applyNumberFormat="1" applyFont="1" applyFill="1" applyBorder="1" applyAlignment="1" applyProtection="1">
      <alignment horizontal="center" vertical="center"/>
      <protection locked="0"/>
    </xf>
    <xf numFmtId="165" fontId="12" fillId="3" borderId="1" xfId="0" applyNumberFormat="1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164" fontId="22" fillId="0" borderId="2" xfId="1" applyFont="1" applyFill="1" applyBorder="1" applyAlignment="1" applyProtection="1">
      <alignment vertical="center"/>
    </xf>
    <xf numFmtId="164" fontId="4" fillId="0" borderId="12" xfId="1" applyFont="1" applyFill="1" applyBorder="1" applyAlignment="1" applyProtection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9" fontId="12" fillId="0" borderId="13" xfId="0" applyNumberFormat="1" applyFont="1" applyBorder="1" applyAlignment="1">
      <alignment horizontal="center" vertical="center"/>
    </xf>
    <xf numFmtId="6" fontId="12" fillId="7" borderId="13" xfId="0" applyNumberFormat="1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left" vertical="center"/>
    </xf>
    <xf numFmtId="0" fontId="20" fillId="0" borderId="0" xfId="0" applyFont="1" applyBorder="1" applyAlignment="1">
      <alignment vertical="center"/>
    </xf>
    <xf numFmtId="9" fontId="20" fillId="0" borderId="0" xfId="0" applyNumberFormat="1" applyFont="1" applyBorder="1" applyAlignment="1">
      <alignment horizontal="center" vertical="center"/>
    </xf>
    <xf numFmtId="0" fontId="21" fillId="2" borderId="13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14" fontId="12" fillId="0" borderId="0" xfId="0" applyNumberFormat="1" applyFont="1" applyBorder="1" applyAlignment="1">
      <alignment horizontal="left" vertical="center"/>
    </xf>
    <xf numFmtId="5" fontId="9" fillId="0" borderId="0" xfId="0" applyNumberFormat="1" applyFont="1" applyFill="1" applyAlignment="1">
      <alignment vertical="center"/>
    </xf>
    <xf numFmtId="5" fontId="3" fillId="7" borderId="8" xfId="0" applyNumberFormat="1" applyFont="1" applyFill="1" applyBorder="1" applyAlignment="1">
      <alignment horizontal="left" vertical="center"/>
    </xf>
    <xf numFmtId="5" fontId="3" fillId="7" borderId="11" xfId="0" applyNumberFormat="1" applyFont="1" applyFill="1" applyBorder="1" applyAlignment="1">
      <alignment horizontal="center" vertical="center"/>
    </xf>
    <xf numFmtId="5" fontId="3" fillId="7" borderId="9" xfId="0" applyNumberFormat="1" applyFont="1" applyFill="1" applyBorder="1" applyAlignment="1">
      <alignment horizontal="center" vertical="center"/>
    </xf>
    <xf numFmtId="5" fontId="3" fillId="7" borderId="1" xfId="0" applyNumberFormat="1" applyFont="1" applyFill="1" applyBorder="1" applyAlignment="1">
      <alignment horizontal="center" vertical="center"/>
    </xf>
    <xf numFmtId="5" fontId="10" fillId="8" borderId="2" xfId="0" applyNumberFormat="1" applyFont="1" applyFill="1" applyBorder="1" applyAlignment="1" applyProtection="1">
      <alignment horizontal="left" vertical="center"/>
      <protection locked="0"/>
    </xf>
    <xf numFmtId="5" fontId="10" fillId="8" borderId="8" xfId="0" applyNumberFormat="1" applyFont="1" applyFill="1" applyBorder="1" applyAlignment="1" applyProtection="1">
      <alignment horizontal="left" vertical="center"/>
      <protection locked="0"/>
    </xf>
    <xf numFmtId="5" fontId="10" fillId="3" borderId="1" xfId="0" applyNumberFormat="1" applyFont="1" applyFill="1" applyBorder="1" applyAlignment="1">
      <alignment horizontal="center" vertical="center"/>
    </xf>
    <xf numFmtId="5" fontId="23" fillId="4" borderId="12" xfId="0" applyNumberFormat="1" applyFont="1" applyFill="1" applyBorder="1" applyAlignment="1">
      <alignment horizontal="left" vertical="center"/>
    </xf>
    <xf numFmtId="5" fontId="10" fillId="4" borderId="12" xfId="0" applyNumberFormat="1" applyFont="1" applyFill="1" applyBorder="1" applyAlignment="1">
      <alignment horizontal="center" vertical="center"/>
    </xf>
    <xf numFmtId="5" fontId="10" fillId="4" borderId="10" xfId="0" applyNumberFormat="1" applyFont="1" applyFill="1" applyBorder="1" applyAlignment="1">
      <alignment horizontal="center" vertical="center"/>
    </xf>
    <xf numFmtId="5" fontId="23" fillId="4" borderId="11" xfId="0" applyNumberFormat="1" applyFont="1" applyFill="1" applyBorder="1" applyAlignment="1">
      <alignment horizontal="left" vertical="center"/>
    </xf>
    <xf numFmtId="5" fontId="10" fillId="4" borderId="11" xfId="0" applyNumberFormat="1" applyFont="1" applyFill="1" applyBorder="1" applyAlignment="1">
      <alignment horizontal="center" vertical="center"/>
    </xf>
    <xf numFmtId="5" fontId="10" fillId="4" borderId="9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6" fontId="3" fillId="0" borderId="12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0" fillId="7" borderId="2" xfId="0" applyFont="1" applyFill="1" applyBorder="1" applyAlignment="1">
      <alignment vertical="center"/>
    </xf>
    <xf numFmtId="0" fontId="10" fillId="7" borderId="12" xfId="0" applyFont="1" applyFill="1" applyBorder="1" applyAlignment="1">
      <alignment horizontal="center" vertical="center"/>
    </xf>
    <xf numFmtId="9" fontId="10" fillId="7" borderId="12" xfId="0" applyNumberFormat="1" applyFont="1" applyFill="1" applyBorder="1" applyAlignment="1">
      <alignment horizontal="center" vertical="center"/>
    </xf>
    <xf numFmtId="9" fontId="10" fillId="7" borderId="10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 applyProtection="1">
      <alignment vertical="center"/>
    </xf>
    <xf numFmtId="0" fontId="12" fillId="9" borderId="1" xfId="0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horizontal="left" vertical="center"/>
    </xf>
    <xf numFmtId="9" fontId="12" fillId="0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64" fontId="18" fillId="0" borderId="12" xfId="1" applyFont="1" applyFill="1" applyBorder="1" applyAlignment="1" applyProtection="1">
      <alignment horizontal="center" vertical="center"/>
    </xf>
    <xf numFmtId="6" fontId="10" fillId="7" borderId="10" xfId="0" applyNumberFormat="1" applyFont="1" applyFill="1" applyBorder="1" applyAlignment="1">
      <alignment horizontal="center" vertical="center"/>
    </xf>
    <xf numFmtId="6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center" vertical="center"/>
    </xf>
    <xf numFmtId="9" fontId="10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9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168" fontId="3" fillId="0" borderId="16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6" fontId="0" fillId="0" borderId="1" xfId="0" applyNumberFormat="1" applyBorder="1" applyAlignment="1">
      <alignment horizontal="center" vertical="center"/>
    </xf>
    <xf numFmtId="0" fontId="0" fillId="0" borderId="14" xfId="0" applyBorder="1" applyAlignment="1">
      <alignment vertical="center"/>
    </xf>
    <xf numFmtId="6" fontId="0" fillId="0" borderId="14" xfId="0" applyNumberFormat="1" applyBorder="1" applyAlignment="1">
      <alignment horizontal="center" vertical="center"/>
    </xf>
    <xf numFmtId="0" fontId="0" fillId="0" borderId="17" xfId="0" applyBorder="1" applyAlignment="1">
      <alignment vertical="center"/>
    </xf>
    <xf numFmtId="6" fontId="0" fillId="0" borderId="17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6" fontId="0" fillId="0" borderId="15" xfId="0" applyNumberForma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6" fontId="25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16" xfId="0" applyFont="1" applyBorder="1" applyAlignment="1">
      <alignment vertical="center"/>
    </xf>
    <xf numFmtId="6" fontId="25" fillId="0" borderId="16" xfId="0" applyNumberFormat="1" applyFont="1" applyBorder="1" applyAlignment="1">
      <alignment horizontal="center" vertical="center"/>
    </xf>
    <xf numFmtId="0" fontId="25" fillId="2" borderId="1" xfId="0" applyFont="1" applyFill="1" applyBorder="1" applyAlignment="1">
      <alignment vertical="center"/>
    </xf>
    <xf numFmtId="168" fontId="26" fillId="2" borderId="1" xfId="0" applyNumberFormat="1" applyFont="1" applyFill="1" applyBorder="1" applyAlignment="1">
      <alignment horizontal="center" vertical="center"/>
    </xf>
    <xf numFmtId="166" fontId="0" fillId="7" borderId="1" xfId="0" applyNumberFormat="1" applyFill="1" applyBorder="1" applyAlignment="1">
      <alignment vertical="center"/>
    </xf>
    <xf numFmtId="165" fontId="0" fillId="7" borderId="1" xfId="0" applyNumberFormat="1" applyFill="1" applyBorder="1" applyAlignment="1">
      <alignment horizontal="center" vertical="center"/>
    </xf>
    <xf numFmtId="6" fontId="0" fillId="0" borderId="1" xfId="0" applyNumberFormat="1" applyBorder="1" applyAlignment="1">
      <alignment horizontal="left" vertical="center"/>
    </xf>
    <xf numFmtId="165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left" vertical="center"/>
    </xf>
    <xf numFmtId="165" fontId="2" fillId="2" borderId="2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165" fontId="2" fillId="2" borderId="2" xfId="0" applyNumberFormat="1" applyFont="1" applyFill="1" applyBorder="1" applyAlignment="1">
      <alignment vertical="center"/>
    </xf>
    <xf numFmtId="165" fontId="2" fillId="2" borderId="2" xfId="0" applyNumberFormat="1" applyFont="1" applyFill="1" applyBorder="1" applyAlignment="1">
      <alignment horizontal="right" vertical="center"/>
    </xf>
    <xf numFmtId="165" fontId="9" fillId="2" borderId="0" xfId="0" applyNumberFormat="1" applyFont="1" applyFill="1" applyAlignment="1">
      <alignment horizontal="center" vertical="center"/>
    </xf>
    <xf numFmtId="165" fontId="2" fillId="2" borderId="10" xfId="0" applyNumberFormat="1" applyFont="1" applyFill="1" applyBorder="1" applyAlignment="1">
      <alignment horizontal="center" vertical="center"/>
    </xf>
    <xf numFmtId="165" fontId="1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left" vertical="center"/>
    </xf>
    <xf numFmtId="165" fontId="2" fillId="2" borderId="10" xfId="0" applyNumberFormat="1" applyFont="1" applyFill="1" applyBorder="1" applyAlignment="1">
      <alignment horizontal="left" vertical="center"/>
    </xf>
  </cellXfs>
  <cellStyles count="45">
    <cellStyle name="Excel Built-in Normal" xfId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Normal" xfId="0" builtinId="0"/>
    <cellStyle name="Normal 2" xfId="2"/>
  </cellStyles>
  <dxfs count="3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Medium4"/>
  <colors>
    <mruColors>
      <color rgb="FFD8EEC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1.xml"/><Relationship Id="rId7" Type="http://schemas.openxmlformats.org/officeDocument/2006/relationships/worksheet" Target="worksheets/sheet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11" Type="http://schemas.openxmlformats.org/officeDocument/2006/relationships/calcChain" Target="calcChain.xml"/><Relationship Id="rId5" Type="http://schemas.openxmlformats.org/officeDocument/2006/relationships/chartsheet" Target="chartsheets/sheet3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2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Segmentation du Chiffre</a:t>
            </a:r>
            <a:r>
              <a:rPr lang="fr-FR" sz="1800" b="1" baseline="0"/>
              <a:t> d'affaires</a:t>
            </a:r>
            <a:endParaRPr lang="fr-FR" sz="1800" b="1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percentStacked"/>
        <c:varyColors val="0"/>
        <c:ser>
          <c:idx val="1"/>
          <c:order val="1"/>
          <c:tx>
            <c:strRef>
              <c:f>Synthese!$A$3</c:f>
              <c:strCache>
                <c:ptCount val="1"/>
                <c:pt idx="0">
                  <c:v>Acétate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Synthese!$B$3:$Y$3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4468.8</c:v>
                </c:pt>
                <c:pt idx="2">
                  <c:v>19003.2</c:v>
                </c:pt>
                <c:pt idx="3">
                  <c:v>6420</c:v>
                </c:pt>
                <c:pt idx="4">
                  <c:v>8025</c:v>
                </c:pt>
                <c:pt idx="5">
                  <c:v>8025</c:v>
                </c:pt>
                <c:pt idx="6">
                  <c:v>6420</c:v>
                </c:pt>
                <c:pt idx="7">
                  <c:v>0</c:v>
                </c:pt>
                <c:pt idx="8">
                  <c:v>11235</c:v>
                </c:pt>
                <c:pt idx="9">
                  <c:v>8025</c:v>
                </c:pt>
                <c:pt idx="10">
                  <c:v>8025</c:v>
                </c:pt>
                <c:pt idx="11">
                  <c:v>6420</c:v>
                </c:pt>
                <c:pt idx="12">
                  <c:v>6420</c:v>
                </c:pt>
                <c:pt idx="13">
                  <c:v>9630</c:v>
                </c:pt>
                <c:pt idx="14">
                  <c:v>9630</c:v>
                </c:pt>
                <c:pt idx="15">
                  <c:v>9630</c:v>
                </c:pt>
                <c:pt idx="16">
                  <c:v>9630</c:v>
                </c:pt>
                <c:pt idx="17">
                  <c:v>9630</c:v>
                </c:pt>
                <c:pt idx="18">
                  <c:v>9630</c:v>
                </c:pt>
                <c:pt idx="19">
                  <c:v>0</c:v>
                </c:pt>
                <c:pt idx="20">
                  <c:v>19260</c:v>
                </c:pt>
                <c:pt idx="21">
                  <c:v>9630</c:v>
                </c:pt>
                <c:pt idx="22">
                  <c:v>9630</c:v>
                </c:pt>
                <c:pt idx="23">
                  <c:v>9630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33F-4DCC-8AD8-A7B8EF8B83AD}"/>
            </c:ext>
          </c:extLst>
        </c:ser>
        <c:ser>
          <c:idx val="2"/>
          <c:order val="2"/>
          <c:tx>
            <c:strRef>
              <c:f>Synthese!$A$4</c:f>
              <c:strCache>
                <c:ptCount val="1"/>
                <c:pt idx="0">
                  <c:v>Injectés</c:v>
                </c:pt>
              </c:strCache>
            </c:strRef>
          </c:tx>
          <c:spPr>
            <a:pattFill prst="narVert">
              <a:fgClr>
                <a:schemeClr val="accent4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Synthese!$B$4:$Y$4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6960</c:v>
                </c:pt>
                <c:pt idx="9">
                  <c:v>4350</c:v>
                </c:pt>
                <c:pt idx="10">
                  <c:v>4350</c:v>
                </c:pt>
                <c:pt idx="11">
                  <c:v>3480</c:v>
                </c:pt>
                <c:pt idx="12">
                  <c:v>3480</c:v>
                </c:pt>
                <c:pt idx="13">
                  <c:v>5220</c:v>
                </c:pt>
                <c:pt idx="14">
                  <c:v>5220</c:v>
                </c:pt>
                <c:pt idx="15">
                  <c:v>5220</c:v>
                </c:pt>
                <c:pt idx="16">
                  <c:v>5220</c:v>
                </c:pt>
                <c:pt idx="17">
                  <c:v>5220</c:v>
                </c:pt>
                <c:pt idx="18">
                  <c:v>5220</c:v>
                </c:pt>
                <c:pt idx="19">
                  <c:v>0</c:v>
                </c:pt>
                <c:pt idx="20">
                  <c:v>12180</c:v>
                </c:pt>
                <c:pt idx="21">
                  <c:v>10440</c:v>
                </c:pt>
                <c:pt idx="22">
                  <c:v>10440</c:v>
                </c:pt>
                <c:pt idx="23">
                  <c:v>10440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33F-4DCC-8AD8-A7B8EF8B83AD}"/>
            </c:ext>
          </c:extLst>
        </c:ser>
        <c:ser>
          <c:idx val="3"/>
          <c:order val="3"/>
          <c:tx>
            <c:strRef>
              <c:f>Synthese!$A$5</c:f>
              <c:strCache>
                <c:ptCount val="1"/>
                <c:pt idx="0">
                  <c:v>Big Deal</c:v>
                </c:pt>
              </c:strCache>
            </c:strRef>
          </c:tx>
          <c:spPr>
            <a:pattFill prst="dkUpDiag">
              <a:fgClr>
                <a:schemeClr val="accent3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Synthese!$B$5:$Y$5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8000</c:v>
                </c:pt>
                <c:pt idx="9">
                  <c:v>0</c:v>
                </c:pt>
                <c:pt idx="10">
                  <c:v>8000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8000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8000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33F-4DCC-8AD8-A7B8EF8B83AD}"/>
            </c:ext>
          </c:extLst>
        </c:ser>
        <c:ser>
          <c:idx val="4"/>
          <c:order val="4"/>
          <c:tx>
            <c:strRef>
              <c:f>Synthese!$A$6</c:f>
              <c:strCache>
                <c:ptCount val="1"/>
                <c:pt idx="0">
                  <c:v>Autres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Synthese!$B$6:$Y$6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9375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16125</c:v>
                </c:pt>
                <c:pt idx="9">
                  <c:v>0</c:v>
                </c:pt>
                <c:pt idx="10">
                  <c:v>1256.5</c:v>
                </c:pt>
                <c:pt idx="11">
                  <c:v>4899.1666666666661</c:v>
                </c:pt>
                <c:pt idx="12">
                  <c:v>2193.3333333333339</c:v>
                </c:pt>
                <c:pt idx="13">
                  <c:v>2193.3333333333321</c:v>
                </c:pt>
                <c:pt idx="14">
                  <c:v>45002.916666666664</c:v>
                </c:pt>
                <c:pt idx="15">
                  <c:v>20902.916666666664</c:v>
                </c:pt>
                <c:pt idx="16">
                  <c:v>2862.5</c:v>
                </c:pt>
                <c:pt idx="17">
                  <c:v>2862.5</c:v>
                </c:pt>
                <c:pt idx="18">
                  <c:v>2007.5</c:v>
                </c:pt>
                <c:pt idx="19">
                  <c:v>1672.9166666666667</c:v>
                </c:pt>
                <c:pt idx="20">
                  <c:v>86676.666666666672</c:v>
                </c:pt>
                <c:pt idx="21">
                  <c:v>1672.9166666666679</c:v>
                </c:pt>
                <c:pt idx="22">
                  <c:v>1338.3333333333321</c:v>
                </c:pt>
                <c:pt idx="23">
                  <c:v>1003.75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33F-4DCC-8AD8-A7B8EF8B8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88420736"/>
        <c:axId val="88418560"/>
      </c:barChart>
      <c:lineChart>
        <c:grouping val="standard"/>
        <c:varyColors val="0"/>
        <c:ser>
          <c:idx val="0"/>
          <c:order val="0"/>
          <c:tx>
            <c:strRef>
              <c:f>Synthese!$A$2</c:f>
              <c:strCache>
                <c:ptCount val="1"/>
                <c:pt idx="0">
                  <c:v>CHIFFRE D'AFFAIRES TTC</c:v>
                </c:pt>
              </c:strCache>
            </c:strRef>
          </c:tx>
          <c:spPr>
            <a:ln w="3810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38100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Synthese!$B$2:$Y$2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4468.8</c:v>
                </c:pt>
                <c:pt idx="2">
                  <c:v>19003.2</c:v>
                </c:pt>
                <c:pt idx="3">
                  <c:v>6420</c:v>
                </c:pt>
                <c:pt idx="4">
                  <c:v>17400</c:v>
                </c:pt>
                <c:pt idx="5">
                  <c:v>8025</c:v>
                </c:pt>
                <c:pt idx="6">
                  <c:v>6420</c:v>
                </c:pt>
                <c:pt idx="7">
                  <c:v>0</c:v>
                </c:pt>
                <c:pt idx="8">
                  <c:v>42320</c:v>
                </c:pt>
                <c:pt idx="9">
                  <c:v>12375</c:v>
                </c:pt>
                <c:pt idx="10">
                  <c:v>21631.5</c:v>
                </c:pt>
                <c:pt idx="11">
                  <c:v>14799.166666666666</c:v>
                </c:pt>
                <c:pt idx="12">
                  <c:v>12093.333333333334</c:v>
                </c:pt>
                <c:pt idx="13">
                  <c:v>17043.333333333332</c:v>
                </c:pt>
                <c:pt idx="14">
                  <c:v>59852.916666666664</c:v>
                </c:pt>
                <c:pt idx="15">
                  <c:v>43752.916666666664</c:v>
                </c:pt>
                <c:pt idx="16">
                  <c:v>17712.5</c:v>
                </c:pt>
                <c:pt idx="17">
                  <c:v>17712.5</c:v>
                </c:pt>
                <c:pt idx="18">
                  <c:v>16857.5</c:v>
                </c:pt>
                <c:pt idx="19">
                  <c:v>1672.9166666666667</c:v>
                </c:pt>
                <c:pt idx="20">
                  <c:v>126116.66666666667</c:v>
                </c:pt>
                <c:pt idx="21">
                  <c:v>21742.916666666668</c:v>
                </c:pt>
                <c:pt idx="22">
                  <c:v>21408.333333333332</c:v>
                </c:pt>
                <c:pt idx="23">
                  <c:v>21073.75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33F-4DCC-8AD8-A7B8EF8B83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410368"/>
        <c:axId val="88416640"/>
      </c:lineChart>
      <c:dateAx>
        <c:axId val="88410368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16640"/>
        <c:crosses val="autoZero"/>
        <c:auto val="1"/>
        <c:lblOffset val="100"/>
        <c:baseTimeUnit val="months"/>
      </c:dateAx>
      <c:valAx>
        <c:axId val="88416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Chiffre d''affaires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&quot;€&quot;#,##0_);[Red]\(&quot;€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10368"/>
        <c:crosses val="autoZero"/>
        <c:crossBetween val="between"/>
      </c:valAx>
      <c:valAx>
        <c:axId val="8841856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Répartition du chiffre d'affaires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20736"/>
        <c:crosses val="max"/>
        <c:crossBetween val="between"/>
      </c:valAx>
      <c:dateAx>
        <c:axId val="88420736"/>
        <c:scaling>
          <c:orientation val="minMax"/>
        </c:scaling>
        <c:delete val="1"/>
        <c:axPos val="b"/>
        <c:numFmt formatCode="[$-40C]mmm\-yy;@" sourceLinked="1"/>
        <c:majorTickMark val="out"/>
        <c:minorTickMark val="none"/>
        <c:tickLblPos val="nextTo"/>
        <c:crossAx val="88418560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Segmentation des dépenses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percentStacked"/>
        <c:varyColors val="0"/>
        <c:ser>
          <c:idx val="6"/>
          <c:order val="1"/>
          <c:tx>
            <c:strRef>
              <c:f>Synthese!$A$8</c:f>
              <c:strCache>
                <c:ptCount val="1"/>
                <c:pt idx="0">
                  <c:v>CHARGES SUR CA TTC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Synthese!$B$8:$Y$8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24152.690000000002</c:v>
                </c:pt>
                <c:pt idx="2">
                  <c:v>16431.07</c:v>
                </c:pt>
                <c:pt idx="3">
                  <c:v>17730.666666666668</c:v>
                </c:pt>
                <c:pt idx="4">
                  <c:v>1059.375</c:v>
                </c:pt>
                <c:pt idx="5">
                  <c:v>955</c:v>
                </c:pt>
                <c:pt idx="6">
                  <c:v>764</c:v>
                </c:pt>
                <c:pt idx="7">
                  <c:v>0</c:v>
                </c:pt>
                <c:pt idx="8">
                  <c:v>8399.4331737849789</c:v>
                </c:pt>
                <c:pt idx="9">
                  <c:v>1369.6875</c:v>
                </c:pt>
                <c:pt idx="10">
                  <c:v>971.56832400428175</c:v>
                </c:pt>
                <c:pt idx="11">
                  <c:v>1320.9</c:v>
                </c:pt>
                <c:pt idx="12">
                  <c:v>19757.45</c:v>
                </c:pt>
                <c:pt idx="13">
                  <c:v>14961.991666666669</c:v>
                </c:pt>
                <c:pt idx="14">
                  <c:v>7204.9125000000004</c:v>
                </c:pt>
                <c:pt idx="15">
                  <c:v>11975.864571204547</c:v>
                </c:pt>
                <c:pt idx="16">
                  <c:v>33832</c:v>
                </c:pt>
                <c:pt idx="17">
                  <c:v>1914.5</c:v>
                </c:pt>
                <c:pt idx="18">
                  <c:v>1806.15</c:v>
                </c:pt>
                <c:pt idx="19">
                  <c:v>13237.104166666668</c:v>
                </c:pt>
                <c:pt idx="20">
                  <c:v>8869.6297846023881</c:v>
                </c:pt>
                <c:pt idx="21">
                  <c:v>2276.6875</c:v>
                </c:pt>
                <c:pt idx="22">
                  <c:v>2249.6</c:v>
                </c:pt>
                <c:pt idx="23">
                  <c:v>2222.5124999999998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AA72-4283-9C99-D125F1551EC3}"/>
            </c:ext>
          </c:extLst>
        </c:ser>
        <c:ser>
          <c:idx val="7"/>
          <c:order val="2"/>
          <c:tx>
            <c:strRef>
              <c:f>Synthese!$A$9</c:f>
              <c:strCache>
                <c:ptCount val="1"/>
                <c:pt idx="0">
                  <c:v>CHARGES DEVELOPPEMENT PRODUITS TTC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Synthese!$B$9:$Y$9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13776.7</c:v>
                </c:pt>
                <c:pt idx="2">
                  <c:v>6420.5</c:v>
                </c:pt>
                <c:pt idx="3">
                  <c:v>9700</c:v>
                </c:pt>
                <c:pt idx="4">
                  <c:v>5700</c:v>
                </c:pt>
                <c:pt idx="5">
                  <c:v>5700</c:v>
                </c:pt>
                <c:pt idx="6">
                  <c:v>18525</c:v>
                </c:pt>
                <c:pt idx="7">
                  <c:v>5700</c:v>
                </c:pt>
                <c:pt idx="8">
                  <c:v>5700</c:v>
                </c:pt>
                <c:pt idx="9">
                  <c:v>18525</c:v>
                </c:pt>
                <c:pt idx="10">
                  <c:v>5700</c:v>
                </c:pt>
                <c:pt idx="11">
                  <c:v>5700</c:v>
                </c:pt>
                <c:pt idx="12">
                  <c:v>18525</c:v>
                </c:pt>
                <c:pt idx="13">
                  <c:v>5700</c:v>
                </c:pt>
                <c:pt idx="14">
                  <c:v>8700</c:v>
                </c:pt>
                <c:pt idx="15">
                  <c:v>22525</c:v>
                </c:pt>
                <c:pt idx="16">
                  <c:v>5700</c:v>
                </c:pt>
                <c:pt idx="17">
                  <c:v>5700</c:v>
                </c:pt>
                <c:pt idx="18">
                  <c:v>18525</c:v>
                </c:pt>
                <c:pt idx="19">
                  <c:v>5700</c:v>
                </c:pt>
                <c:pt idx="20">
                  <c:v>5700</c:v>
                </c:pt>
                <c:pt idx="21">
                  <c:v>18525</c:v>
                </c:pt>
                <c:pt idx="22">
                  <c:v>5700</c:v>
                </c:pt>
                <c:pt idx="23">
                  <c:v>5700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AA72-4283-9C99-D125F1551EC3}"/>
            </c:ext>
          </c:extLst>
        </c:ser>
        <c:ser>
          <c:idx val="8"/>
          <c:order val="3"/>
          <c:tx>
            <c:strRef>
              <c:f>Synthese!$A$10</c:f>
              <c:strCache>
                <c:ptCount val="1"/>
                <c:pt idx="0">
                  <c:v>CHARGES BIZDEV TTC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Synthese!$B$10:$Y$10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13289.5</c:v>
                </c:pt>
                <c:pt idx="2">
                  <c:v>9308.5</c:v>
                </c:pt>
                <c:pt idx="3">
                  <c:v>3450</c:v>
                </c:pt>
                <c:pt idx="4">
                  <c:v>3450</c:v>
                </c:pt>
                <c:pt idx="5">
                  <c:v>3450</c:v>
                </c:pt>
                <c:pt idx="6">
                  <c:v>10200</c:v>
                </c:pt>
                <c:pt idx="7">
                  <c:v>3225</c:v>
                </c:pt>
                <c:pt idx="8">
                  <c:v>3225</c:v>
                </c:pt>
                <c:pt idx="9">
                  <c:v>9750</c:v>
                </c:pt>
                <c:pt idx="10">
                  <c:v>3000</c:v>
                </c:pt>
                <c:pt idx="11">
                  <c:v>3000</c:v>
                </c:pt>
                <c:pt idx="12">
                  <c:v>9750</c:v>
                </c:pt>
                <c:pt idx="13">
                  <c:v>3000</c:v>
                </c:pt>
                <c:pt idx="14">
                  <c:v>3000</c:v>
                </c:pt>
                <c:pt idx="15">
                  <c:v>9975</c:v>
                </c:pt>
                <c:pt idx="16">
                  <c:v>3225</c:v>
                </c:pt>
                <c:pt idx="17">
                  <c:v>3225</c:v>
                </c:pt>
                <c:pt idx="18">
                  <c:v>9975</c:v>
                </c:pt>
                <c:pt idx="19">
                  <c:v>3225</c:v>
                </c:pt>
                <c:pt idx="20">
                  <c:v>6475</c:v>
                </c:pt>
                <c:pt idx="21">
                  <c:v>15437.5</c:v>
                </c:pt>
                <c:pt idx="22">
                  <c:v>6250</c:v>
                </c:pt>
                <c:pt idx="23">
                  <c:v>6250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AA72-4283-9C99-D125F1551EC3}"/>
            </c:ext>
          </c:extLst>
        </c:ser>
        <c:ser>
          <c:idx val="9"/>
          <c:order val="4"/>
          <c:tx>
            <c:strRef>
              <c:f>Synthese!$A$11</c:f>
              <c:strCache>
                <c:ptCount val="1"/>
                <c:pt idx="0">
                  <c:v>CHARGES COMMUNICATION TTC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Synthese!$B$11:$Y$11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3241.34</c:v>
                </c:pt>
                <c:pt idx="2">
                  <c:v>7021.34</c:v>
                </c:pt>
                <c:pt idx="3">
                  <c:v>538.64</c:v>
                </c:pt>
                <c:pt idx="4">
                  <c:v>2321.34</c:v>
                </c:pt>
                <c:pt idx="5">
                  <c:v>2321.34</c:v>
                </c:pt>
                <c:pt idx="6">
                  <c:v>5621.34</c:v>
                </c:pt>
                <c:pt idx="7">
                  <c:v>2321.34</c:v>
                </c:pt>
                <c:pt idx="8">
                  <c:v>3121.34</c:v>
                </c:pt>
                <c:pt idx="9">
                  <c:v>8771.34</c:v>
                </c:pt>
                <c:pt idx="10">
                  <c:v>2321.34</c:v>
                </c:pt>
                <c:pt idx="11">
                  <c:v>2321.34</c:v>
                </c:pt>
                <c:pt idx="12">
                  <c:v>7271.34</c:v>
                </c:pt>
                <c:pt idx="13">
                  <c:v>2321.34</c:v>
                </c:pt>
                <c:pt idx="14">
                  <c:v>7221.34</c:v>
                </c:pt>
                <c:pt idx="15">
                  <c:v>8771.34</c:v>
                </c:pt>
                <c:pt idx="16">
                  <c:v>2321.34</c:v>
                </c:pt>
                <c:pt idx="17">
                  <c:v>2321.34</c:v>
                </c:pt>
                <c:pt idx="18">
                  <c:v>7271.34</c:v>
                </c:pt>
                <c:pt idx="19">
                  <c:v>2321.34</c:v>
                </c:pt>
                <c:pt idx="20">
                  <c:v>22321.34</c:v>
                </c:pt>
                <c:pt idx="21">
                  <c:v>8771.34</c:v>
                </c:pt>
                <c:pt idx="22">
                  <c:v>2321.34</c:v>
                </c:pt>
                <c:pt idx="23">
                  <c:v>2321.34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AA72-4283-9C99-D125F1551EC3}"/>
            </c:ext>
          </c:extLst>
        </c:ser>
        <c:ser>
          <c:idx val="10"/>
          <c:order val="5"/>
          <c:tx>
            <c:strRef>
              <c:f>Synthese!$A$12</c:f>
              <c:strCache>
                <c:ptCount val="1"/>
                <c:pt idx="0">
                  <c:v>CHARGES FONCTIONNEMENT TTC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Synthese!$B$12:$Y$12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2991</c:v>
                </c:pt>
                <c:pt idx="2">
                  <c:v>7304.12</c:v>
                </c:pt>
                <c:pt idx="3">
                  <c:v>5261</c:v>
                </c:pt>
                <c:pt idx="4">
                  <c:v>2349</c:v>
                </c:pt>
                <c:pt idx="5">
                  <c:v>2349</c:v>
                </c:pt>
                <c:pt idx="6">
                  <c:v>2349</c:v>
                </c:pt>
                <c:pt idx="7">
                  <c:v>1949</c:v>
                </c:pt>
                <c:pt idx="8">
                  <c:v>1949</c:v>
                </c:pt>
                <c:pt idx="9">
                  <c:v>3949</c:v>
                </c:pt>
                <c:pt idx="10">
                  <c:v>1949</c:v>
                </c:pt>
                <c:pt idx="11">
                  <c:v>1949</c:v>
                </c:pt>
                <c:pt idx="12">
                  <c:v>1949</c:v>
                </c:pt>
                <c:pt idx="13">
                  <c:v>1949</c:v>
                </c:pt>
                <c:pt idx="14">
                  <c:v>1949</c:v>
                </c:pt>
                <c:pt idx="15">
                  <c:v>1949</c:v>
                </c:pt>
                <c:pt idx="16">
                  <c:v>1949</c:v>
                </c:pt>
                <c:pt idx="17">
                  <c:v>1949</c:v>
                </c:pt>
                <c:pt idx="18">
                  <c:v>1949</c:v>
                </c:pt>
                <c:pt idx="19">
                  <c:v>1949</c:v>
                </c:pt>
                <c:pt idx="20">
                  <c:v>4149</c:v>
                </c:pt>
                <c:pt idx="21">
                  <c:v>2149</c:v>
                </c:pt>
                <c:pt idx="22">
                  <c:v>2149</c:v>
                </c:pt>
                <c:pt idx="23">
                  <c:v>2149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AA72-4283-9C99-D125F1551E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8652800"/>
        <c:axId val="8865088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Synthese!$A$3</c15:sqref>
                        </c15:formulaRef>
                      </c:ext>
                    </c:extLst>
                    <c:strCache>
                      <c:ptCount val="1"/>
                      <c:pt idx="0">
                        <c:v>Acétate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Synthese!$B$3:$Y$3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4468.8</c:v>
                      </c:pt>
                      <c:pt idx="2">
                        <c:v>11966.880000000001</c:v>
                      </c:pt>
                      <c:pt idx="3">
                        <c:v>6420</c:v>
                      </c:pt>
                      <c:pt idx="4">
                        <c:v>8025</c:v>
                      </c:pt>
                      <c:pt idx="5">
                        <c:v>8025</c:v>
                      </c:pt>
                      <c:pt idx="6">
                        <c:v>6420</c:v>
                      </c:pt>
                      <c:pt idx="7">
                        <c:v>0</c:v>
                      </c:pt>
                      <c:pt idx="8">
                        <c:v>11235</c:v>
                      </c:pt>
                      <c:pt idx="9">
                        <c:v>8025</c:v>
                      </c:pt>
                      <c:pt idx="10">
                        <c:v>8025</c:v>
                      </c:pt>
                      <c:pt idx="11">
                        <c:v>6420</c:v>
                      </c:pt>
                      <c:pt idx="12">
                        <c:v>6420</c:v>
                      </c:pt>
                      <c:pt idx="13">
                        <c:v>9630</c:v>
                      </c:pt>
                      <c:pt idx="14">
                        <c:v>9630</c:v>
                      </c:pt>
                      <c:pt idx="15">
                        <c:v>9630</c:v>
                      </c:pt>
                      <c:pt idx="16">
                        <c:v>9630</c:v>
                      </c:pt>
                      <c:pt idx="17">
                        <c:v>9630</c:v>
                      </c:pt>
                      <c:pt idx="18">
                        <c:v>9630</c:v>
                      </c:pt>
                      <c:pt idx="19">
                        <c:v>0</c:v>
                      </c:pt>
                      <c:pt idx="20">
                        <c:v>19260</c:v>
                      </c:pt>
                      <c:pt idx="21">
                        <c:v>9630</c:v>
                      </c:pt>
                      <c:pt idx="22">
                        <c:v>9630</c:v>
                      </c:pt>
                      <c:pt idx="23">
                        <c:v>9630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A72-4283-9C99-D125F1551EC3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Synthese!$A$4</c15:sqref>
                        </c15:formulaRef>
                      </c:ext>
                    </c:extLst>
                    <c:strCache>
                      <c:ptCount val="1"/>
                      <c:pt idx="0">
                        <c:v>Injectés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Synthese!$B$4:$Y$4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6960</c:v>
                      </c:pt>
                      <c:pt idx="9">
                        <c:v>4350</c:v>
                      </c:pt>
                      <c:pt idx="10">
                        <c:v>4350</c:v>
                      </c:pt>
                      <c:pt idx="11">
                        <c:v>3480</c:v>
                      </c:pt>
                      <c:pt idx="12">
                        <c:v>3480</c:v>
                      </c:pt>
                      <c:pt idx="13">
                        <c:v>5220</c:v>
                      </c:pt>
                      <c:pt idx="14">
                        <c:v>5220</c:v>
                      </c:pt>
                      <c:pt idx="15">
                        <c:v>5220</c:v>
                      </c:pt>
                      <c:pt idx="16">
                        <c:v>5220</c:v>
                      </c:pt>
                      <c:pt idx="17">
                        <c:v>5220</c:v>
                      </c:pt>
                      <c:pt idx="18">
                        <c:v>5220</c:v>
                      </c:pt>
                      <c:pt idx="19">
                        <c:v>0</c:v>
                      </c:pt>
                      <c:pt idx="20">
                        <c:v>12180</c:v>
                      </c:pt>
                      <c:pt idx="21">
                        <c:v>10440</c:v>
                      </c:pt>
                      <c:pt idx="22">
                        <c:v>10440</c:v>
                      </c:pt>
                      <c:pt idx="23">
                        <c:v>10440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A72-4283-9C99-D125F1551EC3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Synthese!$A$5</c15:sqref>
                        </c15:formulaRef>
                      </c:ext>
                    </c:extLst>
                    <c:strCache>
                      <c:ptCount val="1"/>
                      <c:pt idx="0">
                        <c:v>Big Deal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Synthese!$B$5:$Y$5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8000</c:v>
                      </c:pt>
                      <c:pt idx="9">
                        <c:v>0</c:v>
                      </c:pt>
                      <c:pt idx="10">
                        <c:v>8000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8000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8000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A72-4283-9C99-D125F1551EC3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Synthese!$A$6</c15:sqref>
                        </c15:formulaRef>
                      </c:ext>
                    </c:extLst>
                    <c:strCache>
                      <c:ptCount val="1"/>
                      <c:pt idx="0">
                        <c:v>Autres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Synthese!$B$6:$Y$6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9375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16125</c:v>
                      </c:pt>
                      <c:pt idx="9">
                        <c:v>0</c:v>
                      </c:pt>
                      <c:pt idx="10">
                        <c:v>1256.5</c:v>
                      </c:pt>
                      <c:pt idx="11">
                        <c:v>4899.1666666666661</c:v>
                      </c:pt>
                      <c:pt idx="12">
                        <c:v>2193.3333333333339</c:v>
                      </c:pt>
                      <c:pt idx="13">
                        <c:v>2193.3333333333321</c:v>
                      </c:pt>
                      <c:pt idx="14">
                        <c:v>45002.916666666664</c:v>
                      </c:pt>
                      <c:pt idx="15">
                        <c:v>20902.916666666664</c:v>
                      </c:pt>
                      <c:pt idx="16">
                        <c:v>2862.5</c:v>
                      </c:pt>
                      <c:pt idx="17">
                        <c:v>2862.5</c:v>
                      </c:pt>
                      <c:pt idx="18">
                        <c:v>2007.5</c:v>
                      </c:pt>
                      <c:pt idx="19">
                        <c:v>1672.9166666666667</c:v>
                      </c:pt>
                      <c:pt idx="20">
                        <c:v>86676.666666666672</c:v>
                      </c:pt>
                      <c:pt idx="21">
                        <c:v>1672.9166666666679</c:v>
                      </c:pt>
                      <c:pt idx="22">
                        <c:v>1338.3333333333321</c:v>
                      </c:pt>
                      <c:pt idx="23">
                        <c:v>1003.75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A72-4283-9C99-D125F1551EC3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5"/>
          <c:order val="0"/>
          <c:tx>
            <c:strRef>
              <c:f>Synthese!$A$7</c:f>
              <c:strCache>
                <c:ptCount val="1"/>
                <c:pt idx="0">
                  <c:v>DECAISSEMENTS EXPLOITATION TTC</c:v>
                </c:pt>
              </c:strCache>
            </c:strRef>
          </c:tx>
          <c:spPr>
            <a:ln w="3810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38100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Synthese!$B$7:$Y$7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57451.229999999996</c:v>
                </c:pt>
                <c:pt idx="2">
                  <c:v>46485.530000000006</c:v>
                </c:pt>
                <c:pt idx="3">
                  <c:v>36680.306666666671</c:v>
                </c:pt>
                <c:pt idx="4">
                  <c:v>14879.715</c:v>
                </c:pt>
                <c:pt idx="5">
                  <c:v>14775.34</c:v>
                </c:pt>
                <c:pt idx="6">
                  <c:v>37459.339999999997</c:v>
                </c:pt>
                <c:pt idx="7">
                  <c:v>13195.34</c:v>
                </c:pt>
                <c:pt idx="8">
                  <c:v>22394.773173784979</c:v>
                </c:pt>
                <c:pt idx="9">
                  <c:v>42365.027499999997</c:v>
                </c:pt>
                <c:pt idx="10">
                  <c:v>13941.908324004282</c:v>
                </c:pt>
                <c:pt idx="11">
                  <c:v>14291.24</c:v>
                </c:pt>
                <c:pt idx="12">
                  <c:v>57252.789999999994</c:v>
                </c:pt>
                <c:pt idx="13">
                  <c:v>27932.331666666669</c:v>
                </c:pt>
                <c:pt idx="14">
                  <c:v>28075.252499999999</c:v>
                </c:pt>
                <c:pt idx="15">
                  <c:v>55196.204571204551</c:v>
                </c:pt>
                <c:pt idx="16">
                  <c:v>47027.34</c:v>
                </c:pt>
                <c:pt idx="17">
                  <c:v>15109.84</c:v>
                </c:pt>
                <c:pt idx="18">
                  <c:v>39526.490000000005</c:v>
                </c:pt>
                <c:pt idx="19">
                  <c:v>26432.444166666668</c:v>
                </c:pt>
                <c:pt idx="20">
                  <c:v>47514.969784602392</c:v>
                </c:pt>
                <c:pt idx="21">
                  <c:v>47159.527499999997</c:v>
                </c:pt>
                <c:pt idx="22">
                  <c:v>18669.940000000002</c:v>
                </c:pt>
                <c:pt idx="23">
                  <c:v>18642.852500000001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AA72-4283-9C99-D125F1551E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638592"/>
        <c:axId val="88640512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Synthese!$A$2</c15:sqref>
                        </c15:formulaRef>
                      </c:ext>
                    </c:extLst>
                    <c:strCache>
                      <c:ptCount val="1"/>
                      <c:pt idx="0">
                        <c:v>CHIFFRE D'AFFAIRES TTC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Synthese!$B$2:$Y$2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4468.8</c:v>
                      </c:pt>
                      <c:pt idx="2">
                        <c:v>11966.880000000001</c:v>
                      </c:pt>
                      <c:pt idx="3">
                        <c:v>6420</c:v>
                      </c:pt>
                      <c:pt idx="4">
                        <c:v>17400</c:v>
                      </c:pt>
                      <c:pt idx="5">
                        <c:v>8025</c:v>
                      </c:pt>
                      <c:pt idx="6">
                        <c:v>6420</c:v>
                      </c:pt>
                      <c:pt idx="7">
                        <c:v>0</c:v>
                      </c:pt>
                      <c:pt idx="8">
                        <c:v>42320</c:v>
                      </c:pt>
                      <c:pt idx="9">
                        <c:v>12375</c:v>
                      </c:pt>
                      <c:pt idx="10">
                        <c:v>21631.5</c:v>
                      </c:pt>
                      <c:pt idx="11">
                        <c:v>14799.166666666666</c:v>
                      </c:pt>
                      <c:pt idx="12">
                        <c:v>12093.333333333334</c:v>
                      </c:pt>
                      <c:pt idx="13">
                        <c:v>17043.333333333332</c:v>
                      </c:pt>
                      <c:pt idx="14">
                        <c:v>59852.916666666664</c:v>
                      </c:pt>
                      <c:pt idx="15">
                        <c:v>43752.916666666664</c:v>
                      </c:pt>
                      <c:pt idx="16">
                        <c:v>17712.5</c:v>
                      </c:pt>
                      <c:pt idx="17">
                        <c:v>17712.5</c:v>
                      </c:pt>
                      <c:pt idx="18">
                        <c:v>16857.5</c:v>
                      </c:pt>
                      <c:pt idx="19">
                        <c:v>1672.9166666666667</c:v>
                      </c:pt>
                      <c:pt idx="20">
                        <c:v>126116.66666666667</c:v>
                      </c:pt>
                      <c:pt idx="21">
                        <c:v>21742.916666666668</c:v>
                      </c:pt>
                      <c:pt idx="22">
                        <c:v>21408.333333333332</c:v>
                      </c:pt>
                      <c:pt idx="23">
                        <c:v>21073.75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AA72-4283-9C99-D125F1551EC3}"/>
                  </c:ext>
                </c:extLst>
              </c15:ser>
            </c15:filteredLineSeries>
          </c:ext>
        </c:extLst>
      </c:lineChart>
      <c:dateAx>
        <c:axId val="88638592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640512"/>
        <c:crosses val="autoZero"/>
        <c:auto val="1"/>
        <c:lblOffset val="100"/>
        <c:baseTimeUnit val="months"/>
      </c:dateAx>
      <c:valAx>
        <c:axId val="8864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Décaissements</a:t>
                </a:r>
                <a:r>
                  <a:rPr lang="fr-FR" b="1" baseline="0"/>
                  <a:t> d'exploitation TTC</a:t>
                </a:r>
                <a:endParaRPr lang="fr-FR" b="1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&quot;€&quot;#,##0_);[Red]\(&quot;€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638592"/>
        <c:crosses val="autoZero"/>
        <c:crossBetween val="between"/>
      </c:valAx>
      <c:valAx>
        <c:axId val="886508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Répartition des dépenses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652800"/>
        <c:crosses val="max"/>
        <c:crossBetween val="between"/>
      </c:valAx>
      <c:dateAx>
        <c:axId val="88652800"/>
        <c:scaling>
          <c:orientation val="minMax"/>
        </c:scaling>
        <c:delete val="1"/>
        <c:axPos val="b"/>
        <c:numFmt formatCode="[$-40C]mmm\-yy;@" sourceLinked="1"/>
        <c:majorTickMark val="out"/>
        <c:minorTickMark val="none"/>
        <c:tickLblPos val="nextTo"/>
        <c:crossAx val="88650880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/>
              <a:t>Cashburn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5"/>
          <c:order val="1"/>
          <c:tx>
            <c:strRef>
              <c:f>Synthese!$A$17</c:f>
              <c:strCache>
                <c:ptCount val="1"/>
                <c:pt idx="0">
                  <c:v>APPORTS EN TRESORERIE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Synthese!$B$17:$Y$17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130000</c:v>
                </c:pt>
                <c:pt idx="2">
                  <c:v>0</c:v>
                </c:pt>
                <c:pt idx="3">
                  <c:v>51000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FEEF-497F-AF75-5FFB25E56CFE}"/>
            </c:ext>
          </c:extLst>
        </c:ser>
        <c:ser>
          <c:idx val="16"/>
          <c:order val="2"/>
          <c:tx>
            <c:strRef>
              <c:f>Synthese!$A$18</c:f>
              <c:strCache>
                <c:ptCount val="1"/>
                <c:pt idx="0">
                  <c:v>INVESTISSEMENTS TTC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Synthese!$B$18:$Y$18</c:f>
              <c:numCache>
                <c:formatCode>"€"#,##0_);[Red]\("€"#,##0\)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FEEF-497F-AF75-5FFB25E56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46205568"/>
        <c:axId val="4621593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Synthese!$A$2</c15:sqref>
                        </c15:formulaRef>
                      </c:ext>
                    </c:extLst>
                    <c:strCache>
                      <c:ptCount val="1"/>
                      <c:pt idx="0">
                        <c:v>CHIFFRE D'AFFAIRES TTC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Synthese!$B$2:$Y$2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4468.8</c:v>
                      </c:pt>
                      <c:pt idx="2">
                        <c:v>11966.880000000001</c:v>
                      </c:pt>
                      <c:pt idx="3">
                        <c:v>6420</c:v>
                      </c:pt>
                      <c:pt idx="4">
                        <c:v>17400</c:v>
                      </c:pt>
                      <c:pt idx="5">
                        <c:v>8025</c:v>
                      </c:pt>
                      <c:pt idx="6">
                        <c:v>6420</c:v>
                      </c:pt>
                      <c:pt idx="7">
                        <c:v>0</c:v>
                      </c:pt>
                      <c:pt idx="8">
                        <c:v>42320</c:v>
                      </c:pt>
                      <c:pt idx="9">
                        <c:v>12375</c:v>
                      </c:pt>
                      <c:pt idx="10">
                        <c:v>21631.5</c:v>
                      </c:pt>
                      <c:pt idx="11">
                        <c:v>14799.166666666666</c:v>
                      </c:pt>
                      <c:pt idx="12">
                        <c:v>12093.333333333334</c:v>
                      </c:pt>
                      <c:pt idx="13">
                        <c:v>17043.333333333332</c:v>
                      </c:pt>
                      <c:pt idx="14">
                        <c:v>59852.916666666664</c:v>
                      </c:pt>
                      <c:pt idx="15">
                        <c:v>43752.916666666664</c:v>
                      </c:pt>
                      <c:pt idx="16">
                        <c:v>17712.5</c:v>
                      </c:pt>
                      <c:pt idx="17">
                        <c:v>17712.5</c:v>
                      </c:pt>
                      <c:pt idx="18">
                        <c:v>16857.5</c:v>
                      </c:pt>
                      <c:pt idx="19">
                        <c:v>1672.9166666666667</c:v>
                      </c:pt>
                      <c:pt idx="20">
                        <c:v>126116.66666666667</c:v>
                      </c:pt>
                      <c:pt idx="21">
                        <c:v>21742.916666666668</c:v>
                      </c:pt>
                      <c:pt idx="22">
                        <c:v>21408.333333333332</c:v>
                      </c:pt>
                      <c:pt idx="23">
                        <c:v>21073.75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EEF-497F-AF75-5FFB25E56CF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Synthese!$A$3</c15:sqref>
                        </c15:formulaRef>
                      </c:ext>
                    </c:extLst>
                    <c:strCache>
                      <c:ptCount val="1"/>
                      <c:pt idx="0">
                        <c:v>Acétate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Synthese!$B$3:$Y$3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4468.8</c:v>
                      </c:pt>
                      <c:pt idx="2">
                        <c:v>11966.880000000001</c:v>
                      </c:pt>
                      <c:pt idx="3">
                        <c:v>6420</c:v>
                      </c:pt>
                      <c:pt idx="4">
                        <c:v>8025</c:v>
                      </c:pt>
                      <c:pt idx="5">
                        <c:v>8025</c:v>
                      </c:pt>
                      <c:pt idx="6">
                        <c:v>6420</c:v>
                      </c:pt>
                      <c:pt idx="7">
                        <c:v>0</c:v>
                      </c:pt>
                      <c:pt idx="8">
                        <c:v>11235</c:v>
                      </c:pt>
                      <c:pt idx="9">
                        <c:v>8025</c:v>
                      </c:pt>
                      <c:pt idx="10">
                        <c:v>8025</c:v>
                      </c:pt>
                      <c:pt idx="11">
                        <c:v>6420</c:v>
                      </c:pt>
                      <c:pt idx="12">
                        <c:v>6420</c:v>
                      </c:pt>
                      <c:pt idx="13">
                        <c:v>9630</c:v>
                      </c:pt>
                      <c:pt idx="14">
                        <c:v>9630</c:v>
                      </c:pt>
                      <c:pt idx="15">
                        <c:v>9630</c:v>
                      </c:pt>
                      <c:pt idx="16">
                        <c:v>9630</c:v>
                      </c:pt>
                      <c:pt idx="17">
                        <c:v>9630</c:v>
                      </c:pt>
                      <c:pt idx="18">
                        <c:v>9630</c:v>
                      </c:pt>
                      <c:pt idx="19">
                        <c:v>0</c:v>
                      </c:pt>
                      <c:pt idx="20">
                        <c:v>19260</c:v>
                      </c:pt>
                      <c:pt idx="21">
                        <c:v>9630</c:v>
                      </c:pt>
                      <c:pt idx="22">
                        <c:v>9630</c:v>
                      </c:pt>
                      <c:pt idx="23">
                        <c:v>9630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EEF-497F-AF75-5FFB25E56CF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Synthese!$A$4</c15:sqref>
                        </c15:formulaRef>
                      </c:ext>
                    </c:extLst>
                    <c:strCache>
                      <c:ptCount val="1"/>
                      <c:pt idx="0">
                        <c:v>Injectés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Synthese!$B$4:$Y$4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6960</c:v>
                      </c:pt>
                      <c:pt idx="9">
                        <c:v>4350</c:v>
                      </c:pt>
                      <c:pt idx="10">
                        <c:v>4350</c:v>
                      </c:pt>
                      <c:pt idx="11">
                        <c:v>3480</c:v>
                      </c:pt>
                      <c:pt idx="12">
                        <c:v>3480</c:v>
                      </c:pt>
                      <c:pt idx="13">
                        <c:v>5220</c:v>
                      </c:pt>
                      <c:pt idx="14">
                        <c:v>5220</c:v>
                      </c:pt>
                      <c:pt idx="15">
                        <c:v>5220</c:v>
                      </c:pt>
                      <c:pt idx="16">
                        <c:v>5220</c:v>
                      </c:pt>
                      <c:pt idx="17">
                        <c:v>5220</c:v>
                      </c:pt>
                      <c:pt idx="18">
                        <c:v>5220</c:v>
                      </c:pt>
                      <c:pt idx="19">
                        <c:v>0</c:v>
                      </c:pt>
                      <c:pt idx="20">
                        <c:v>12180</c:v>
                      </c:pt>
                      <c:pt idx="21">
                        <c:v>10440</c:v>
                      </c:pt>
                      <c:pt idx="22">
                        <c:v>10440</c:v>
                      </c:pt>
                      <c:pt idx="23">
                        <c:v>10440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EEF-497F-AF75-5FFB25E56CF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Synthese!$A$5</c15:sqref>
                        </c15:formulaRef>
                      </c:ext>
                    </c:extLst>
                    <c:strCache>
                      <c:ptCount val="1"/>
                      <c:pt idx="0">
                        <c:v>Big Deal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Synthese!$B$5:$Y$5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8000</c:v>
                      </c:pt>
                      <c:pt idx="9">
                        <c:v>0</c:v>
                      </c:pt>
                      <c:pt idx="10">
                        <c:v>8000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8000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8000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EEF-497F-AF75-5FFB25E56CF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Synthese!$A$6</c15:sqref>
                        </c15:formulaRef>
                      </c:ext>
                    </c:extLst>
                    <c:strCache>
                      <c:ptCount val="1"/>
                      <c:pt idx="0">
                        <c:v>Autres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Synthese!$B$6:$Y$6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9375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16125</c:v>
                      </c:pt>
                      <c:pt idx="9">
                        <c:v>0</c:v>
                      </c:pt>
                      <c:pt idx="10">
                        <c:v>1256.5</c:v>
                      </c:pt>
                      <c:pt idx="11">
                        <c:v>4899.1666666666661</c:v>
                      </c:pt>
                      <c:pt idx="12">
                        <c:v>2193.3333333333339</c:v>
                      </c:pt>
                      <c:pt idx="13">
                        <c:v>2193.3333333333321</c:v>
                      </c:pt>
                      <c:pt idx="14">
                        <c:v>45002.916666666664</c:v>
                      </c:pt>
                      <c:pt idx="15">
                        <c:v>20902.916666666664</c:v>
                      </c:pt>
                      <c:pt idx="16">
                        <c:v>2862.5</c:v>
                      </c:pt>
                      <c:pt idx="17">
                        <c:v>2862.5</c:v>
                      </c:pt>
                      <c:pt idx="18">
                        <c:v>2007.5</c:v>
                      </c:pt>
                      <c:pt idx="19">
                        <c:v>1672.9166666666667</c:v>
                      </c:pt>
                      <c:pt idx="20">
                        <c:v>86676.666666666672</c:v>
                      </c:pt>
                      <c:pt idx="21">
                        <c:v>1672.9166666666679</c:v>
                      </c:pt>
                      <c:pt idx="22">
                        <c:v>1338.3333333333321</c:v>
                      </c:pt>
                      <c:pt idx="23">
                        <c:v>1003.75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EEF-497F-AF75-5FFB25E56CF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Synthese!$A$7</c15:sqref>
                        </c15:formulaRef>
                      </c:ext>
                    </c:extLst>
                    <c:strCache>
                      <c:ptCount val="1"/>
                      <c:pt idx="0">
                        <c:v>DECAISSEMENTS EXPLOITATION TTC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Synthese!$B$7:$Y$7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57451.229999999996</c:v>
                      </c:pt>
                      <c:pt idx="2">
                        <c:v>46485.530000000006</c:v>
                      </c:pt>
                      <c:pt idx="3">
                        <c:v>53180.306666666671</c:v>
                      </c:pt>
                      <c:pt idx="4">
                        <c:v>14879.715</c:v>
                      </c:pt>
                      <c:pt idx="5">
                        <c:v>14775.34</c:v>
                      </c:pt>
                      <c:pt idx="6">
                        <c:v>36834.339999999997</c:v>
                      </c:pt>
                      <c:pt idx="7">
                        <c:v>13195.34</c:v>
                      </c:pt>
                      <c:pt idx="8">
                        <c:v>22394.773173784979</c:v>
                      </c:pt>
                      <c:pt idx="9">
                        <c:v>42365.027499999997</c:v>
                      </c:pt>
                      <c:pt idx="10">
                        <c:v>13941.908324004282</c:v>
                      </c:pt>
                      <c:pt idx="11">
                        <c:v>14291.24</c:v>
                      </c:pt>
                      <c:pt idx="12">
                        <c:v>57252.789999999994</c:v>
                      </c:pt>
                      <c:pt idx="13">
                        <c:v>27932.331666666669</c:v>
                      </c:pt>
                      <c:pt idx="14">
                        <c:v>28075.252499999999</c:v>
                      </c:pt>
                      <c:pt idx="15">
                        <c:v>55196.204571204551</c:v>
                      </c:pt>
                      <c:pt idx="16">
                        <c:v>47027.34</c:v>
                      </c:pt>
                      <c:pt idx="17">
                        <c:v>15109.84</c:v>
                      </c:pt>
                      <c:pt idx="18">
                        <c:v>39526.490000000005</c:v>
                      </c:pt>
                      <c:pt idx="19">
                        <c:v>26432.444166666668</c:v>
                      </c:pt>
                      <c:pt idx="20">
                        <c:v>47514.969784602392</c:v>
                      </c:pt>
                      <c:pt idx="21">
                        <c:v>47159.527499999997</c:v>
                      </c:pt>
                      <c:pt idx="22">
                        <c:v>18669.940000000002</c:v>
                      </c:pt>
                      <c:pt idx="23">
                        <c:v>18642.852500000001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EEF-497F-AF75-5FFB25E56CF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Synthese!$A$8</c15:sqref>
                        </c15:formulaRef>
                      </c:ext>
                    </c:extLst>
                    <c:strCache>
                      <c:ptCount val="1"/>
                      <c:pt idx="0">
                        <c:v>CHARGES SUR CA TTC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Synthese!$B$8:$Y$8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24152.690000000002</c:v>
                      </c:pt>
                      <c:pt idx="2">
                        <c:v>16431.07</c:v>
                      </c:pt>
                      <c:pt idx="3">
                        <c:v>17730.666666666668</c:v>
                      </c:pt>
                      <c:pt idx="4">
                        <c:v>1059.375</c:v>
                      </c:pt>
                      <c:pt idx="5">
                        <c:v>955</c:v>
                      </c:pt>
                      <c:pt idx="6">
                        <c:v>764</c:v>
                      </c:pt>
                      <c:pt idx="7">
                        <c:v>0</c:v>
                      </c:pt>
                      <c:pt idx="8">
                        <c:v>8399.4331737849789</c:v>
                      </c:pt>
                      <c:pt idx="9">
                        <c:v>1369.6875</c:v>
                      </c:pt>
                      <c:pt idx="10">
                        <c:v>971.56832400428175</c:v>
                      </c:pt>
                      <c:pt idx="11">
                        <c:v>1320.9</c:v>
                      </c:pt>
                      <c:pt idx="12">
                        <c:v>19757.45</c:v>
                      </c:pt>
                      <c:pt idx="13">
                        <c:v>14961.991666666669</c:v>
                      </c:pt>
                      <c:pt idx="14">
                        <c:v>7204.9125000000004</c:v>
                      </c:pt>
                      <c:pt idx="15">
                        <c:v>11975.864571204547</c:v>
                      </c:pt>
                      <c:pt idx="16">
                        <c:v>33832</c:v>
                      </c:pt>
                      <c:pt idx="17">
                        <c:v>1914.5</c:v>
                      </c:pt>
                      <c:pt idx="18">
                        <c:v>1806.15</c:v>
                      </c:pt>
                      <c:pt idx="19">
                        <c:v>13237.104166666668</c:v>
                      </c:pt>
                      <c:pt idx="20">
                        <c:v>8869.6297846023881</c:v>
                      </c:pt>
                      <c:pt idx="21">
                        <c:v>2276.6875</c:v>
                      </c:pt>
                      <c:pt idx="22">
                        <c:v>2249.6</c:v>
                      </c:pt>
                      <c:pt idx="23">
                        <c:v>2222.5124999999998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EEF-497F-AF75-5FFB25E56CF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Synthese!$A$9</c15:sqref>
                        </c15:formulaRef>
                      </c:ext>
                    </c:extLst>
                    <c:strCache>
                      <c:ptCount val="1"/>
                      <c:pt idx="0">
                        <c:v>CHARGES DEVELOPPEMENT PRODUITS TTC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Synthese!$B$9:$Y$9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13776.7</c:v>
                      </c:pt>
                      <c:pt idx="2">
                        <c:v>6420.5</c:v>
                      </c:pt>
                      <c:pt idx="3">
                        <c:v>17950</c:v>
                      </c:pt>
                      <c:pt idx="4">
                        <c:v>5700</c:v>
                      </c:pt>
                      <c:pt idx="5">
                        <c:v>5700</c:v>
                      </c:pt>
                      <c:pt idx="6">
                        <c:v>18525</c:v>
                      </c:pt>
                      <c:pt idx="7">
                        <c:v>5700</c:v>
                      </c:pt>
                      <c:pt idx="8">
                        <c:v>5700</c:v>
                      </c:pt>
                      <c:pt idx="9">
                        <c:v>18525</c:v>
                      </c:pt>
                      <c:pt idx="10">
                        <c:v>5700</c:v>
                      </c:pt>
                      <c:pt idx="11">
                        <c:v>5700</c:v>
                      </c:pt>
                      <c:pt idx="12">
                        <c:v>18525</c:v>
                      </c:pt>
                      <c:pt idx="13">
                        <c:v>5700</c:v>
                      </c:pt>
                      <c:pt idx="14">
                        <c:v>8700</c:v>
                      </c:pt>
                      <c:pt idx="15">
                        <c:v>22525</c:v>
                      </c:pt>
                      <c:pt idx="16">
                        <c:v>5700</c:v>
                      </c:pt>
                      <c:pt idx="17">
                        <c:v>5700</c:v>
                      </c:pt>
                      <c:pt idx="18">
                        <c:v>18525</c:v>
                      </c:pt>
                      <c:pt idx="19">
                        <c:v>5700</c:v>
                      </c:pt>
                      <c:pt idx="20">
                        <c:v>5700</c:v>
                      </c:pt>
                      <c:pt idx="21">
                        <c:v>18525</c:v>
                      </c:pt>
                      <c:pt idx="22">
                        <c:v>5700</c:v>
                      </c:pt>
                      <c:pt idx="23">
                        <c:v>5700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FEEF-497F-AF75-5FFB25E56CF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Synthese!$A$10</c15:sqref>
                        </c15:formulaRef>
                      </c:ext>
                    </c:extLst>
                    <c:strCache>
                      <c:ptCount val="1"/>
                      <c:pt idx="0">
                        <c:v>CHARGES BIZDEV TTC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Synthese!$B$10:$Y$10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13289.5</c:v>
                      </c:pt>
                      <c:pt idx="2">
                        <c:v>9308.5</c:v>
                      </c:pt>
                      <c:pt idx="3">
                        <c:v>11700</c:v>
                      </c:pt>
                      <c:pt idx="4">
                        <c:v>3450</c:v>
                      </c:pt>
                      <c:pt idx="5">
                        <c:v>3450</c:v>
                      </c:pt>
                      <c:pt idx="6">
                        <c:v>9975</c:v>
                      </c:pt>
                      <c:pt idx="7">
                        <c:v>3225</c:v>
                      </c:pt>
                      <c:pt idx="8">
                        <c:v>3225</c:v>
                      </c:pt>
                      <c:pt idx="9">
                        <c:v>9750</c:v>
                      </c:pt>
                      <c:pt idx="10">
                        <c:v>3000</c:v>
                      </c:pt>
                      <c:pt idx="11">
                        <c:v>3000</c:v>
                      </c:pt>
                      <c:pt idx="12">
                        <c:v>9750</c:v>
                      </c:pt>
                      <c:pt idx="13">
                        <c:v>3000</c:v>
                      </c:pt>
                      <c:pt idx="14">
                        <c:v>3000</c:v>
                      </c:pt>
                      <c:pt idx="15">
                        <c:v>9975</c:v>
                      </c:pt>
                      <c:pt idx="16">
                        <c:v>3225</c:v>
                      </c:pt>
                      <c:pt idx="17">
                        <c:v>3225</c:v>
                      </c:pt>
                      <c:pt idx="18">
                        <c:v>9975</c:v>
                      </c:pt>
                      <c:pt idx="19">
                        <c:v>3225</c:v>
                      </c:pt>
                      <c:pt idx="20">
                        <c:v>6475</c:v>
                      </c:pt>
                      <c:pt idx="21">
                        <c:v>15437.5</c:v>
                      </c:pt>
                      <c:pt idx="22">
                        <c:v>6250</c:v>
                      </c:pt>
                      <c:pt idx="23">
                        <c:v>6250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FEEF-497F-AF75-5FFB25E56CF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Synthese!$A$11</c15:sqref>
                        </c15:formulaRef>
                      </c:ext>
                    </c:extLst>
                    <c:strCache>
                      <c:ptCount val="1"/>
                      <c:pt idx="0">
                        <c:v>CHARGES COMMUNICATION TTC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Synthese!$B$11:$Y$11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3241.34</c:v>
                      </c:pt>
                      <c:pt idx="2">
                        <c:v>7021.34</c:v>
                      </c:pt>
                      <c:pt idx="3">
                        <c:v>538.64</c:v>
                      </c:pt>
                      <c:pt idx="4">
                        <c:v>2321.34</c:v>
                      </c:pt>
                      <c:pt idx="5">
                        <c:v>2321.34</c:v>
                      </c:pt>
                      <c:pt idx="6">
                        <c:v>5621.34</c:v>
                      </c:pt>
                      <c:pt idx="7">
                        <c:v>2321.34</c:v>
                      </c:pt>
                      <c:pt idx="8">
                        <c:v>3121.34</c:v>
                      </c:pt>
                      <c:pt idx="9">
                        <c:v>8771.34</c:v>
                      </c:pt>
                      <c:pt idx="10">
                        <c:v>2321.34</c:v>
                      </c:pt>
                      <c:pt idx="11">
                        <c:v>2321.34</c:v>
                      </c:pt>
                      <c:pt idx="12">
                        <c:v>7271.34</c:v>
                      </c:pt>
                      <c:pt idx="13">
                        <c:v>2321.34</c:v>
                      </c:pt>
                      <c:pt idx="14">
                        <c:v>7221.34</c:v>
                      </c:pt>
                      <c:pt idx="15">
                        <c:v>8771.34</c:v>
                      </c:pt>
                      <c:pt idx="16">
                        <c:v>2321.34</c:v>
                      </c:pt>
                      <c:pt idx="17">
                        <c:v>2321.34</c:v>
                      </c:pt>
                      <c:pt idx="18">
                        <c:v>7271.34</c:v>
                      </c:pt>
                      <c:pt idx="19">
                        <c:v>2321.34</c:v>
                      </c:pt>
                      <c:pt idx="20">
                        <c:v>22321.34</c:v>
                      </c:pt>
                      <c:pt idx="21">
                        <c:v>8771.34</c:v>
                      </c:pt>
                      <c:pt idx="22">
                        <c:v>2321.34</c:v>
                      </c:pt>
                      <c:pt idx="23">
                        <c:v>2321.34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FEEF-497F-AF75-5FFB25E56CF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Synthese!$A$12</c15:sqref>
                        </c15:formulaRef>
                      </c:ext>
                    </c:extLst>
                    <c:strCache>
                      <c:ptCount val="1"/>
                      <c:pt idx="0">
                        <c:v>CHARGES FONCTIONNEMENT TTC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Synthese!$B$12:$Y$12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2991</c:v>
                      </c:pt>
                      <c:pt idx="2">
                        <c:v>7304.12</c:v>
                      </c:pt>
                      <c:pt idx="3">
                        <c:v>5261</c:v>
                      </c:pt>
                      <c:pt idx="4">
                        <c:v>2349</c:v>
                      </c:pt>
                      <c:pt idx="5">
                        <c:v>2349</c:v>
                      </c:pt>
                      <c:pt idx="6">
                        <c:v>1949</c:v>
                      </c:pt>
                      <c:pt idx="7">
                        <c:v>1949</c:v>
                      </c:pt>
                      <c:pt idx="8">
                        <c:v>1949</c:v>
                      </c:pt>
                      <c:pt idx="9">
                        <c:v>3949</c:v>
                      </c:pt>
                      <c:pt idx="10">
                        <c:v>1949</c:v>
                      </c:pt>
                      <c:pt idx="11">
                        <c:v>1949</c:v>
                      </c:pt>
                      <c:pt idx="12">
                        <c:v>1949</c:v>
                      </c:pt>
                      <c:pt idx="13">
                        <c:v>1949</c:v>
                      </c:pt>
                      <c:pt idx="14">
                        <c:v>1949</c:v>
                      </c:pt>
                      <c:pt idx="15">
                        <c:v>1949</c:v>
                      </c:pt>
                      <c:pt idx="16">
                        <c:v>1949</c:v>
                      </c:pt>
                      <c:pt idx="17">
                        <c:v>1949</c:v>
                      </c:pt>
                      <c:pt idx="18">
                        <c:v>1949</c:v>
                      </c:pt>
                      <c:pt idx="19">
                        <c:v>1949</c:v>
                      </c:pt>
                      <c:pt idx="20">
                        <c:v>4149</c:v>
                      </c:pt>
                      <c:pt idx="21">
                        <c:v>2149</c:v>
                      </c:pt>
                      <c:pt idx="22">
                        <c:v>2149</c:v>
                      </c:pt>
                      <c:pt idx="23">
                        <c:v>2149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FEEF-497F-AF75-5FFB25E56CF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Synthese!$A$13</c15:sqref>
                        </c15:formulaRef>
                      </c:ext>
                    </c:extLst>
                    <c:strCache>
                      <c:ptCount val="1"/>
                      <c:pt idx="0">
                        <c:v>TVA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Synthese!$B$13:$Y$13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-6000</c:v>
                      </c:pt>
                      <c:pt idx="2">
                        <c:v>-6000</c:v>
                      </c:pt>
                      <c:pt idx="3">
                        <c:v>-5753.1083333333345</c:v>
                      </c:pt>
                      <c:pt idx="4">
                        <c:v>-5043.3844444444458</c:v>
                      </c:pt>
                      <c:pt idx="5">
                        <c:v>420.04749999999967</c:v>
                      </c:pt>
                      <c:pt idx="6">
                        <c:v>-1125.0566666666668</c:v>
                      </c:pt>
                      <c:pt idx="7">
                        <c:v>-1256.5566666666664</c:v>
                      </c:pt>
                      <c:pt idx="8">
                        <c:v>-2199.2233333333338</c:v>
                      </c:pt>
                      <c:pt idx="9">
                        <c:v>3320.8711377025038</c:v>
                      </c:pt>
                      <c:pt idx="10">
                        <c:v>-910.83791666666639</c:v>
                      </c:pt>
                      <c:pt idx="11">
                        <c:v>1281.5986126659532</c:v>
                      </c:pt>
                      <c:pt idx="12">
                        <c:v>84.65444444444438</c:v>
                      </c:pt>
                      <c:pt idx="13">
                        <c:v>-3439.0761111111105</c:v>
                      </c:pt>
                      <c:pt idx="14">
                        <c:v>-1814.8330555555558</c:v>
                      </c:pt>
                      <c:pt idx="15">
                        <c:v>5296.2773611111106</c:v>
                      </c:pt>
                      <c:pt idx="16">
                        <c:v>2180.2853492436861</c:v>
                      </c:pt>
                      <c:pt idx="17">
                        <c:v>-4885.8066666666655</c:v>
                      </c:pt>
                      <c:pt idx="18">
                        <c:v>433.77666666666664</c:v>
                      </c:pt>
                      <c:pt idx="19">
                        <c:v>309.33499999999913</c:v>
                      </c:pt>
                      <c:pt idx="20">
                        <c:v>-4126.5879166666673</c:v>
                      </c:pt>
                      <c:pt idx="21">
                        <c:v>13100.282813677382</c:v>
                      </c:pt>
                      <c:pt idx="22">
                        <c:v>257.64819444444583</c:v>
                      </c:pt>
                      <c:pt idx="23">
                        <c:v>456.39888888888891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FEEF-497F-AF75-5FFB25E56CF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Synthese!$A$14</c15:sqref>
                        </c15:formulaRef>
                      </c:ext>
                    </c:extLst>
                    <c:strCache>
                      <c:ptCount val="1"/>
                      <c:pt idx="0">
                        <c:v>CASH BURN EXPLOITATION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Synthese!$B$14:$Y$14</c15:sqref>
                        </c15:formulaRef>
                      </c:ext>
                    </c:extLst>
                    <c:numCache>
                      <c:formatCode>#\ ##0\ "€"</c:formatCode>
                      <c:ptCount val="24"/>
                      <c:pt idx="0">
                        <c:v>0</c:v>
                      </c:pt>
                      <c:pt idx="1">
                        <c:v>-46982.429999999993</c:v>
                      </c:pt>
                      <c:pt idx="2">
                        <c:v>-28518.650000000009</c:v>
                      </c:pt>
                      <c:pt idx="3">
                        <c:v>-41007.198333333334</c:v>
                      </c:pt>
                      <c:pt idx="4">
                        <c:v>7563.6694444444456</c:v>
                      </c:pt>
                      <c:pt idx="5">
                        <c:v>-7170.3874999999998</c:v>
                      </c:pt>
                      <c:pt idx="6">
                        <c:v>-29289.283333333329</c:v>
                      </c:pt>
                      <c:pt idx="7">
                        <c:v>-11938.783333333333</c:v>
                      </c:pt>
                      <c:pt idx="8">
                        <c:v>22124.450159548356</c:v>
                      </c:pt>
                      <c:pt idx="9">
                        <c:v>-33310.898637702499</c:v>
                      </c:pt>
                      <c:pt idx="10">
                        <c:v>8600.4295926623854</c:v>
                      </c:pt>
                      <c:pt idx="11">
                        <c:v>-773.67194599928689</c:v>
                      </c:pt>
                      <c:pt idx="12">
                        <c:v>-45244.111111111102</c:v>
                      </c:pt>
                      <c:pt idx="13">
                        <c:v>-7449.9222222222261</c:v>
                      </c:pt>
                      <c:pt idx="14">
                        <c:v>33592.49722222222</c:v>
                      </c:pt>
                      <c:pt idx="15">
                        <c:v>-16739.565265648998</c:v>
                      </c:pt>
                      <c:pt idx="16">
                        <c:v>-31495.125349243681</c:v>
                      </c:pt>
                      <c:pt idx="17">
                        <c:v>7488.4666666666653</c:v>
                      </c:pt>
                      <c:pt idx="18">
                        <c:v>-23102.76666666667</c:v>
                      </c:pt>
                      <c:pt idx="19">
                        <c:v>-25068.862499999999</c:v>
                      </c:pt>
                      <c:pt idx="20">
                        <c:v>82728.284798730951</c:v>
                      </c:pt>
                      <c:pt idx="21">
                        <c:v>-38516.893647010715</c:v>
                      </c:pt>
                      <c:pt idx="22">
                        <c:v>2480.745138888884</c:v>
                      </c:pt>
                      <c:pt idx="23">
                        <c:v>1974.4986111111102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FEEF-497F-AF75-5FFB25E56CF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Synthese!$A$16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Synthese!$B$16:$Y$16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FEEF-497F-AF75-5FFB25E56CFE}"/>
                  </c:ext>
                </c:extLst>
              </c15:ser>
            </c15:filteredBarSeries>
            <c15:filteredBa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Synthese!$A$19</c15:sqref>
                        </c15:formulaRef>
                      </c:ext>
                    </c:extLst>
                    <c:strCache>
                      <c:ptCount val="1"/>
                      <c:pt idx="0">
                        <c:v>EMPRUNTS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Synthese!$B$19:$Y$19</c15:sqref>
                        </c15:formulaRef>
                      </c:ext>
                    </c:extLst>
                    <c:numCache>
                      <c:formatCode>"€"#,##0_);[Red]\("€"#,##0\)</c:formatCode>
                      <c:ptCount val="2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FEEF-497F-AF75-5FFB25E56CFE}"/>
                  </c:ext>
                </c:extLst>
              </c15:ser>
            </c15:filteredBarSeries>
            <c15:filteredBa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Synthese!$A$20</c15:sqref>
                        </c15:formulaRef>
                      </c:ext>
                    </c:extLst>
                    <c:strCache>
                      <c:ptCount val="1"/>
                      <c:pt idx="0">
                        <c:v>CASH BURN HORS EXPLOITATION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Synthese!$B$20:$Y$20</c15:sqref>
                        </c15:formulaRef>
                      </c:ext>
                    </c:extLst>
                    <c:numCache>
                      <c:formatCode>#\ ##0\ "€"</c:formatCode>
                      <c:ptCount val="24"/>
                      <c:pt idx="0">
                        <c:v>0</c:v>
                      </c:pt>
                      <c:pt idx="1">
                        <c:v>130000</c:v>
                      </c:pt>
                      <c:pt idx="2">
                        <c:v>0</c:v>
                      </c:pt>
                      <c:pt idx="3">
                        <c:v>51000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FEEF-497F-AF75-5FFB25E56CFE}"/>
                  </c:ext>
                </c:extLst>
              </c15:ser>
            </c15:filteredBarSeries>
            <c15:filteredBa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Synthese!$A$22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3">
                      <a:lumMod val="8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Synthese!$B$22:$Y$22</c15:sqref>
                        </c15:formulaRef>
                      </c:ext>
                    </c:extLst>
                    <c:numCache>
                      <c:formatCode>General</c:formatCode>
                      <c:ptCount val="2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FEEF-497F-AF75-5FFB25E56CFE}"/>
                  </c:ext>
                </c:extLst>
              </c15:ser>
            </c15:filteredBarSeries>
          </c:ext>
        </c:extLst>
      </c:barChart>
      <c:lineChart>
        <c:grouping val="stacked"/>
        <c:varyColors val="0"/>
        <c:ser>
          <c:idx val="13"/>
          <c:order val="0"/>
          <c:tx>
            <c:strRef>
              <c:f>Synthese!$A$15</c:f>
              <c:strCache>
                <c:ptCount val="1"/>
                <c:pt idx="0">
                  <c:v>CASH BURN EXPLOITATION CUMULE</c:v>
                </c:pt>
              </c:strCache>
            </c:strRef>
          </c:tx>
          <c:spPr>
            <a:ln w="381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38100">
                <a:solidFill>
                  <a:schemeClr val="accent6"/>
                </a:solidFill>
              </a:ln>
              <a:effectLst/>
            </c:spPr>
          </c:marker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Synthese!$B$15:$Y$15</c:f>
              <c:numCache>
                <c:formatCode>#,##0\ "€"</c:formatCode>
                <c:ptCount val="24"/>
                <c:pt idx="0">
                  <c:v>0</c:v>
                </c:pt>
                <c:pt idx="1">
                  <c:v>-46982.429999999993</c:v>
                </c:pt>
                <c:pt idx="2">
                  <c:v>-68464.759999999995</c:v>
                </c:pt>
                <c:pt idx="3">
                  <c:v>-98725.066666666666</c:v>
                </c:pt>
                <c:pt idx="4">
                  <c:v>-93911.397222222222</c:v>
                </c:pt>
                <c:pt idx="5">
                  <c:v>-101081.78472222222</c:v>
                </c:pt>
                <c:pt idx="6">
                  <c:v>-130996.06805555554</c:v>
                </c:pt>
                <c:pt idx="7">
                  <c:v>-142830.68472222221</c:v>
                </c:pt>
                <c:pt idx="8">
                  <c:v>-120706.23456267385</c:v>
                </c:pt>
                <c:pt idx="9">
                  <c:v>-154017.13320037635</c:v>
                </c:pt>
                <c:pt idx="10">
                  <c:v>-145416.70360771398</c:v>
                </c:pt>
                <c:pt idx="11">
                  <c:v>-146190.37555371327</c:v>
                </c:pt>
                <c:pt idx="12">
                  <c:v>-191434.48666482436</c:v>
                </c:pt>
                <c:pt idx="13">
                  <c:v>-198884.40888704659</c:v>
                </c:pt>
                <c:pt idx="14">
                  <c:v>-165291.91166482438</c:v>
                </c:pt>
                <c:pt idx="15">
                  <c:v>-182031.47693047338</c:v>
                </c:pt>
                <c:pt idx="16">
                  <c:v>-213526.60227971704</c:v>
                </c:pt>
                <c:pt idx="17">
                  <c:v>-206038.13561305037</c:v>
                </c:pt>
                <c:pt idx="18">
                  <c:v>-229140.90227971703</c:v>
                </c:pt>
                <c:pt idx="19">
                  <c:v>-254209.76477971702</c:v>
                </c:pt>
                <c:pt idx="20">
                  <c:v>-171481.47998098607</c:v>
                </c:pt>
                <c:pt idx="21">
                  <c:v>-209998.37362799677</c:v>
                </c:pt>
                <c:pt idx="22">
                  <c:v>-207517.62848910788</c:v>
                </c:pt>
                <c:pt idx="23">
                  <c:v>-205543.12987799678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D-FEEF-497F-AF75-5FFB25E56CFE}"/>
            </c:ext>
          </c:extLst>
        </c:ser>
        <c:ser>
          <c:idx val="21"/>
          <c:order val="3"/>
          <c:tx>
            <c:strRef>
              <c:f>Synthese!$A$23</c:f>
              <c:strCache>
                <c:ptCount val="1"/>
                <c:pt idx="0">
                  <c:v>TRESORERIE</c:v>
                </c:pt>
              </c:strCache>
            </c:strRef>
          </c:tx>
          <c:spPr>
            <a:ln w="381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38100">
                <a:solidFill>
                  <a:schemeClr val="accent3"/>
                </a:solidFill>
              </a:ln>
              <a:effectLst/>
            </c:spPr>
          </c:marker>
          <c:cat>
            <c:numRef>
              <c:f>Synthese!$B$1:$Y$1</c:f>
              <c:numCache>
                <c:formatCode>[$-40C]mmm\-yy;@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Synthese!$B$23:$Y$23</c:f>
              <c:numCache>
                <c:formatCode>#,##0\ "€"</c:formatCode>
                <c:ptCount val="24"/>
                <c:pt idx="0">
                  <c:v>-56678.27</c:v>
                </c:pt>
                <c:pt idx="1">
                  <c:v>26339.300000000017</c:v>
                </c:pt>
                <c:pt idx="2">
                  <c:v>4856.9699999999975</c:v>
                </c:pt>
                <c:pt idx="3">
                  <c:v>25596.663333333323</c:v>
                </c:pt>
                <c:pt idx="4">
                  <c:v>30410.332777777767</c:v>
                </c:pt>
                <c:pt idx="5">
                  <c:v>23239.945277777766</c:v>
                </c:pt>
                <c:pt idx="6">
                  <c:v>-6674.3380555555632</c:v>
                </c:pt>
                <c:pt idx="7">
                  <c:v>-18508.954722222232</c:v>
                </c:pt>
                <c:pt idx="8">
                  <c:v>3615.4954373261244</c:v>
                </c:pt>
                <c:pt idx="9">
                  <c:v>-29695.403200376375</c:v>
                </c:pt>
                <c:pt idx="10">
                  <c:v>-21094.973607713993</c:v>
                </c:pt>
                <c:pt idx="11">
                  <c:v>-21868.645553713279</c:v>
                </c:pt>
                <c:pt idx="12">
                  <c:v>-67112.756664824381</c:v>
                </c:pt>
                <c:pt idx="13">
                  <c:v>-74562.678887046612</c:v>
                </c:pt>
                <c:pt idx="14">
                  <c:v>-40970.181664824391</c:v>
                </c:pt>
                <c:pt idx="15">
                  <c:v>-57709.746930473382</c:v>
                </c:pt>
                <c:pt idx="16">
                  <c:v>-89204.872279717063</c:v>
                </c:pt>
                <c:pt idx="17">
                  <c:v>-81716.405613050403</c:v>
                </c:pt>
                <c:pt idx="18">
                  <c:v>-104819.17227971705</c:v>
                </c:pt>
                <c:pt idx="19">
                  <c:v>-129888.03477971707</c:v>
                </c:pt>
                <c:pt idx="20">
                  <c:v>-47159.749980986118</c:v>
                </c:pt>
                <c:pt idx="21">
                  <c:v>-85676.643627996833</c:v>
                </c:pt>
                <c:pt idx="22">
                  <c:v>-83195.898489107931</c:v>
                </c:pt>
                <c:pt idx="23">
                  <c:v>-81221.399877996824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5-FEEF-497F-AF75-5FFB25E56C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205568"/>
        <c:axId val="46215936"/>
        <c:extLst xmlns:c16r2="http://schemas.microsoft.com/office/drawing/2015/06/chart">
          <c:ext xmlns:c15="http://schemas.microsoft.com/office/drawing/2012/chart" uri="{02D57815-91ED-43cb-92C2-25804820EDAC}">
            <c15:filteredLineSeries>
              <c15:ser>
                <c:idx val="19"/>
                <c:order val="19"/>
                <c:tx>
                  <c:strRef>
                    <c:extLst>
                      <c:ext uri="{02D57815-91ED-43cb-92C2-25804820EDAC}">
                        <c15:formulaRef>
                          <c15:sqref>Synthese!$A$21</c15:sqref>
                        </c15:formulaRef>
                      </c:ext>
                    </c:extLst>
                    <c:strCache>
                      <c:ptCount val="1"/>
                      <c:pt idx="0">
                        <c:v>CASH BURN HORS EXPLOITATION CUMULE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Synthese!$B$1:$Y$1</c15:sqref>
                        </c15:formulaRef>
                      </c:ext>
                    </c:extLst>
                    <c:numCache>
                      <c:formatCode>[$-40C]mmm\-yy;@</c:formatCode>
                      <c:ptCount val="24"/>
                      <c:pt idx="0">
                        <c:v>42736</c:v>
                      </c:pt>
                      <c:pt idx="1">
                        <c:v>42767</c:v>
                      </c:pt>
                      <c:pt idx="2">
                        <c:v>42795</c:v>
                      </c:pt>
                      <c:pt idx="3">
                        <c:v>42826</c:v>
                      </c:pt>
                      <c:pt idx="4">
                        <c:v>42856</c:v>
                      </c:pt>
                      <c:pt idx="5">
                        <c:v>42887</c:v>
                      </c:pt>
                      <c:pt idx="6">
                        <c:v>42917</c:v>
                      </c:pt>
                      <c:pt idx="7">
                        <c:v>42948</c:v>
                      </c:pt>
                      <c:pt idx="8">
                        <c:v>42979</c:v>
                      </c:pt>
                      <c:pt idx="9">
                        <c:v>43009</c:v>
                      </c:pt>
                      <c:pt idx="10">
                        <c:v>43040</c:v>
                      </c:pt>
                      <c:pt idx="11">
                        <c:v>43070</c:v>
                      </c:pt>
                      <c:pt idx="12">
                        <c:v>43101</c:v>
                      </c:pt>
                      <c:pt idx="13">
                        <c:v>43132</c:v>
                      </c:pt>
                      <c:pt idx="14">
                        <c:v>43160</c:v>
                      </c:pt>
                      <c:pt idx="15">
                        <c:v>43191</c:v>
                      </c:pt>
                      <c:pt idx="16">
                        <c:v>43221</c:v>
                      </c:pt>
                      <c:pt idx="17">
                        <c:v>43252</c:v>
                      </c:pt>
                      <c:pt idx="18">
                        <c:v>43282</c:v>
                      </c:pt>
                      <c:pt idx="19">
                        <c:v>43313</c:v>
                      </c:pt>
                      <c:pt idx="20">
                        <c:v>43344</c:v>
                      </c:pt>
                      <c:pt idx="21">
                        <c:v>43374</c:v>
                      </c:pt>
                      <c:pt idx="22">
                        <c:v>43405</c:v>
                      </c:pt>
                      <c:pt idx="23">
                        <c:v>43435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Synthese!$B$21:$Y$21</c15:sqref>
                        </c15:formulaRef>
                      </c:ext>
                    </c:extLst>
                    <c:numCache>
                      <c:formatCode>#\ ##0\ "€"</c:formatCode>
                      <c:ptCount val="24"/>
                      <c:pt idx="0">
                        <c:v>0</c:v>
                      </c:pt>
                      <c:pt idx="1">
                        <c:v>130000</c:v>
                      </c:pt>
                      <c:pt idx="2">
                        <c:v>130000</c:v>
                      </c:pt>
                      <c:pt idx="3">
                        <c:v>181000</c:v>
                      </c:pt>
                      <c:pt idx="4">
                        <c:v>181000</c:v>
                      </c:pt>
                      <c:pt idx="5">
                        <c:v>181000</c:v>
                      </c:pt>
                      <c:pt idx="6">
                        <c:v>181000</c:v>
                      </c:pt>
                      <c:pt idx="7">
                        <c:v>181000</c:v>
                      </c:pt>
                      <c:pt idx="8">
                        <c:v>181000</c:v>
                      </c:pt>
                      <c:pt idx="9">
                        <c:v>181000</c:v>
                      </c:pt>
                      <c:pt idx="10">
                        <c:v>181000</c:v>
                      </c:pt>
                      <c:pt idx="11">
                        <c:v>181000</c:v>
                      </c:pt>
                      <c:pt idx="12">
                        <c:v>181000</c:v>
                      </c:pt>
                      <c:pt idx="13">
                        <c:v>181000</c:v>
                      </c:pt>
                      <c:pt idx="14">
                        <c:v>181000</c:v>
                      </c:pt>
                      <c:pt idx="15">
                        <c:v>181000</c:v>
                      </c:pt>
                      <c:pt idx="16">
                        <c:v>181000</c:v>
                      </c:pt>
                      <c:pt idx="17">
                        <c:v>181000</c:v>
                      </c:pt>
                      <c:pt idx="18">
                        <c:v>181000</c:v>
                      </c:pt>
                      <c:pt idx="19">
                        <c:v>181000</c:v>
                      </c:pt>
                      <c:pt idx="20">
                        <c:v>181000</c:v>
                      </c:pt>
                      <c:pt idx="21">
                        <c:v>181000</c:v>
                      </c:pt>
                      <c:pt idx="22">
                        <c:v>181000</c:v>
                      </c:pt>
                      <c:pt idx="23">
                        <c:v>181000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FEEF-497F-AF75-5FFB25E56CFE}"/>
                  </c:ext>
                </c:extLst>
              </c15:ser>
            </c15:filteredLineSeries>
          </c:ext>
        </c:extLst>
      </c:lineChart>
      <c:dateAx>
        <c:axId val="46205568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15936"/>
        <c:crosses val="autoZero"/>
        <c:auto val="1"/>
        <c:lblOffset val="100"/>
        <c:baseTimeUnit val="months"/>
      </c:dateAx>
      <c:valAx>
        <c:axId val="4621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#,##0_);[Red]\(&quot;€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205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4"/>
  <sheetViews>
    <sheetView zoomScale="65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ique5"/>
  <sheetViews>
    <sheetView zoomScale="65" workbookViewId="0" zoomToFit="1"/>
  </sheetViews>
  <pageMargins left="0.7" right="0.7" top="0.75" bottom="0.75" header="0.3" footer="0.3"/>
  <pageSetup paperSize="9"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ique1"/>
  <sheetViews>
    <sheetView zoomScale="65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29615" cy="6066692"/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35653DAA-F2F8-4911-87E4-C44157CBC86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29615" cy="6066692"/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4BBEC814-EE9D-4017-B575-2C2385F7EDD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29615" cy="6066692"/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15C65731-2E04-4775-85F2-8F5296647DF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B142"/>
  <sheetViews>
    <sheetView tabSelected="1" workbookViewId="0">
      <pane xSplit="4" ySplit="5" topLeftCell="E6" activePane="bottomRight" state="frozen"/>
      <selection pane="topRight" activeCell="E1" sqref="E1"/>
      <selection pane="bottomLeft" activeCell="A4" sqref="A4"/>
      <selection pane="bottomRight" activeCell="C1" sqref="C1"/>
    </sheetView>
  </sheetViews>
  <sheetFormatPr baseColWidth="10" defaultColWidth="10.625" defaultRowHeight="15" outlineLevelRow="1" x14ac:dyDescent="0.25"/>
  <cols>
    <col min="1" max="1" width="36.875" style="11" customWidth="1"/>
    <col min="2" max="2" width="21.75" style="10" customWidth="1"/>
    <col min="3" max="3" width="15" style="10" bestFit="1" customWidth="1"/>
    <col min="4" max="4" width="5.375" style="12" customWidth="1"/>
    <col min="5" max="16" width="12.625" style="10" customWidth="1"/>
    <col min="17" max="28" width="12.625" style="11" customWidth="1"/>
    <col min="29" max="78" width="10.625" style="11" customWidth="1"/>
    <col min="79" max="16384" width="10.625" style="11"/>
  </cols>
  <sheetData>
    <row r="1" spans="1:28" ht="25.5" customHeight="1" x14ac:dyDescent="0.25">
      <c r="A1" s="14" t="s">
        <v>69</v>
      </c>
      <c r="B1" s="122" t="s">
        <v>96</v>
      </c>
      <c r="E1" s="1">
        <f t="shared" ref="E1:AB1" si="0">ROUNDDOWN(ANNEEDEBUT+(COLUMN(E:E)-6+MOISDEBUT)/12,0)</f>
        <v>2017</v>
      </c>
      <c r="F1" s="1">
        <f t="shared" si="0"/>
        <v>2017</v>
      </c>
      <c r="G1" s="1">
        <f t="shared" si="0"/>
        <v>2017</v>
      </c>
      <c r="H1" s="1">
        <f t="shared" si="0"/>
        <v>2017</v>
      </c>
      <c r="I1" s="1">
        <f t="shared" si="0"/>
        <v>2017</v>
      </c>
      <c r="J1" s="1">
        <f t="shared" si="0"/>
        <v>2017</v>
      </c>
      <c r="K1" s="1">
        <f t="shared" si="0"/>
        <v>2017</v>
      </c>
      <c r="L1" s="1">
        <f t="shared" si="0"/>
        <v>2017</v>
      </c>
      <c r="M1" s="1">
        <f t="shared" si="0"/>
        <v>2017</v>
      </c>
      <c r="N1" s="1">
        <f t="shared" si="0"/>
        <v>2017</v>
      </c>
      <c r="O1" s="1">
        <f t="shared" si="0"/>
        <v>2017</v>
      </c>
      <c r="P1" s="1">
        <f t="shared" si="0"/>
        <v>2017</v>
      </c>
      <c r="Q1" s="1">
        <f t="shared" si="0"/>
        <v>2018</v>
      </c>
      <c r="R1" s="1">
        <f t="shared" si="0"/>
        <v>2018</v>
      </c>
      <c r="S1" s="1">
        <f t="shared" si="0"/>
        <v>2018</v>
      </c>
      <c r="T1" s="1">
        <f t="shared" si="0"/>
        <v>2018</v>
      </c>
      <c r="U1" s="1">
        <f t="shared" si="0"/>
        <v>2018</v>
      </c>
      <c r="V1" s="1">
        <f t="shared" si="0"/>
        <v>2018</v>
      </c>
      <c r="W1" s="1">
        <f t="shared" si="0"/>
        <v>2018</v>
      </c>
      <c r="X1" s="1">
        <f t="shared" si="0"/>
        <v>2018</v>
      </c>
      <c r="Y1" s="1">
        <f t="shared" si="0"/>
        <v>2018</v>
      </c>
      <c r="Z1" s="1">
        <f t="shared" si="0"/>
        <v>2018</v>
      </c>
      <c r="AA1" s="1">
        <f t="shared" si="0"/>
        <v>2018</v>
      </c>
      <c r="AB1" s="1">
        <f t="shared" si="0"/>
        <v>2018</v>
      </c>
    </row>
    <row r="2" spans="1:28" s="82" customFormat="1" ht="9.6" hidden="1" customHeight="1" x14ac:dyDescent="0.25">
      <c r="D2" s="83"/>
      <c r="E2" s="84">
        <f t="shared" ref="E2:AB2" si="1">IF(E1=ANNEEDEBUT,MOISDEBUT+COLUMN(E:E)-5,MOISDEBUT+COLUMN(E:E)-5-12*(E1-ANNEEDEBUT))</f>
        <v>1</v>
      </c>
      <c r="F2" s="84">
        <f t="shared" si="1"/>
        <v>2</v>
      </c>
      <c r="G2" s="84">
        <f t="shared" si="1"/>
        <v>3</v>
      </c>
      <c r="H2" s="84">
        <f t="shared" si="1"/>
        <v>4</v>
      </c>
      <c r="I2" s="84">
        <f t="shared" si="1"/>
        <v>5</v>
      </c>
      <c r="J2" s="84">
        <f t="shared" si="1"/>
        <v>6</v>
      </c>
      <c r="K2" s="84">
        <f t="shared" si="1"/>
        <v>7</v>
      </c>
      <c r="L2" s="84">
        <f t="shared" si="1"/>
        <v>8</v>
      </c>
      <c r="M2" s="84">
        <f t="shared" si="1"/>
        <v>9</v>
      </c>
      <c r="N2" s="84">
        <f t="shared" si="1"/>
        <v>10</v>
      </c>
      <c r="O2" s="84">
        <f t="shared" si="1"/>
        <v>11</v>
      </c>
      <c r="P2" s="84">
        <f t="shared" si="1"/>
        <v>12</v>
      </c>
      <c r="Q2" s="84">
        <f t="shared" si="1"/>
        <v>1</v>
      </c>
      <c r="R2" s="84">
        <f t="shared" si="1"/>
        <v>2</v>
      </c>
      <c r="S2" s="84">
        <f t="shared" si="1"/>
        <v>3</v>
      </c>
      <c r="T2" s="84">
        <f t="shared" si="1"/>
        <v>4</v>
      </c>
      <c r="U2" s="84">
        <f t="shared" si="1"/>
        <v>5</v>
      </c>
      <c r="V2" s="84">
        <f t="shared" si="1"/>
        <v>6</v>
      </c>
      <c r="W2" s="84">
        <f t="shared" si="1"/>
        <v>7</v>
      </c>
      <c r="X2" s="84">
        <f t="shared" si="1"/>
        <v>8</v>
      </c>
      <c r="Y2" s="84">
        <f t="shared" si="1"/>
        <v>9</v>
      </c>
      <c r="Z2" s="84">
        <f t="shared" si="1"/>
        <v>10</v>
      </c>
      <c r="AA2" s="84">
        <f t="shared" si="1"/>
        <v>11</v>
      </c>
      <c r="AB2" s="84">
        <f t="shared" si="1"/>
        <v>12</v>
      </c>
    </row>
    <row r="3" spans="1:28" s="16" customFormat="1" x14ac:dyDescent="0.25">
      <c r="A3" s="81" t="s">
        <v>71</v>
      </c>
      <c r="B3" s="86" t="s">
        <v>106</v>
      </c>
      <c r="C3" s="87">
        <f ca="1">TODAY()</f>
        <v>42828</v>
      </c>
      <c r="D3" s="18"/>
      <c r="E3" s="85" t="str">
        <f>VLOOKUP(E2,Parametres!$A$65:$B$77,2,FALSE)</f>
        <v>Janvier</v>
      </c>
      <c r="F3" s="85" t="str">
        <f>VLOOKUP(F2,Parametres!$A$65:$B$77,2,FALSE)</f>
        <v>Février</v>
      </c>
      <c r="G3" s="85" t="str">
        <f>VLOOKUP(G2,Parametres!$A$65:$B$77,2,FALSE)</f>
        <v>Mars</v>
      </c>
      <c r="H3" s="85" t="str">
        <f>VLOOKUP(H2,Parametres!$A$65:$B$77,2,FALSE)</f>
        <v>Avril</v>
      </c>
      <c r="I3" s="85" t="str">
        <f>VLOOKUP(I2,Parametres!$A$65:$B$77,2,FALSE)</f>
        <v>Mai</v>
      </c>
      <c r="J3" s="85" t="str">
        <f>VLOOKUP(J2,Parametres!$A$65:$B$77,2,FALSE)</f>
        <v>Juin</v>
      </c>
      <c r="K3" s="85" t="str">
        <f>VLOOKUP(K2,Parametres!$A$65:$B$77,2,FALSE)</f>
        <v>Juillet</v>
      </c>
      <c r="L3" s="85" t="str">
        <f>VLOOKUP(L2,Parametres!$A$65:$B$77,2,FALSE)</f>
        <v>Août</v>
      </c>
      <c r="M3" s="85" t="str">
        <f>VLOOKUP(M2,Parametres!$A$65:$B$77,2,FALSE)</f>
        <v>Septembre</v>
      </c>
      <c r="N3" s="85" t="str">
        <f>VLOOKUP(N2,Parametres!$A$65:$B$77,2,FALSE)</f>
        <v>Octobre</v>
      </c>
      <c r="O3" s="85" t="str">
        <f>VLOOKUP(O2,Parametres!$A$65:$B$77,2,FALSE)</f>
        <v>Novembre</v>
      </c>
      <c r="P3" s="85" t="str">
        <f>VLOOKUP(P2,Parametres!$A$65:$B$77,2,FALSE)</f>
        <v>Décembre</v>
      </c>
      <c r="Q3" s="85" t="str">
        <f>VLOOKUP(Q2,Parametres!$A$65:$B$77,2,FALSE)</f>
        <v>Janvier</v>
      </c>
      <c r="R3" s="85" t="str">
        <f>VLOOKUP(R2,Parametres!$A$65:$B$77,2,FALSE)</f>
        <v>Février</v>
      </c>
      <c r="S3" s="85" t="str">
        <f>VLOOKUP(S2,Parametres!$A$65:$B$77,2,FALSE)</f>
        <v>Mars</v>
      </c>
      <c r="T3" s="85" t="str">
        <f>VLOOKUP(T2,Parametres!$A$65:$B$77,2,FALSE)</f>
        <v>Avril</v>
      </c>
      <c r="U3" s="85" t="str">
        <f>VLOOKUP(U2,Parametres!$A$65:$B$77,2,FALSE)</f>
        <v>Mai</v>
      </c>
      <c r="V3" s="85" t="str">
        <f>VLOOKUP(V2,Parametres!$A$65:$B$77,2,FALSE)</f>
        <v>Juin</v>
      </c>
      <c r="W3" s="85" t="str">
        <f>VLOOKUP(W2,Parametres!$A$65:$B$77,2,FALSE)</f>
        <v>Juillet</v>
      </c>
      <c r="X3" s="85" t="str">
        <f>VLOOKUP(X2,Parametres!$A$65:$B$77,2,FALSE)</f>
        <v>Août</v>
      </c>
      <c r="Y3" s="85" t="str">
        <f>VLOOKUP(Y2,Parametres!$A$65:$B$77,2,FALSE)</f>
        <v>Septembre</v>
      </c>
      <c r="Z3" s="85" t="str">
        <f>VLOOKUP(Z2,Parametres!$A$65:$B$77,2,FALSE)</f>
        <v>Octobre</v>
      </c>
      <c r="AA3" s="85" t="str">
        <f>VLOOKUP(AA2,Parametres!$A$65:$B$77,2,FALSE)</f>
        <v>Novembre</v>
      </c>
      <c r="AB3" s="85" t="str">
        <f>VLOOKUP(AB2,Parametres!$A$65:$B$77,2,FALSE)</f>
        <v>Décembre</v>
      </c>
    </row>
    <row r="4" spans="1:28" s="127" customFormat="1" ht="12.75" hidden="1" x14ac:dyDescent="0.25">
      <c r="A4" s="124"/>
      <c r="B4" s="125"/>
      <c r="C4" s="123"/>
      <c r="D4" s="126"/>
      <c r="E4" s="128">
        <f>DATE(E1,E2,1)</f>
        <v>42736</v>
      </c>
      <c r="F4" s="128">
        <f t="shared" ref="F4:AB4" si="2">DATE(F1,F2,1)</f>
        <v>42767</v>
      </c>
      <c r="G4" s="128">
        <f t="shared" si="2"/>
        <v>42795</v>
      </c>
      <c r="H4" s="128">
        <f t="shared" si="2"/>
        <v>42826</v>
      </c>
      <c r="I4" s="128">
        <f t="shared" si="2"/>
        <v>42856</v>
      </c>
      <c r="J4" s="128">
        <f t="shared" si="2"/>
        <v>42887</v>
      </c>
      <c r="K4" s="128">
        <f t="shared" si="2"/>
        <v>42917</v>
      </c>
      <c r="L4" s="128">
        <f t="shared" si="2"/>
        <v>42948</v>
      </c>
      <c r="M4" s="128">
        <f t="shared" si="2"/>
        <v>42979</v>
      </c>
      <c r="N4" s="128">
        <f t="shared" si="2"/>
        <v>43009</v>
      </c>
      <c r="O4" s="128">
        <f t="shared" si="2"/>
        <v>43040</v>
      </c>
      <c r="P4" s="128">
        <f t="shared" si="2"/>
        <v>43070</v>
      </c>
      <c r="Q4" s="128">
        <f t="shared" si="2"/>
        <v>43101</v>
      </c>
      <c r="R4" s="128">
        <f t="shared" si="2"/>
        <v>43132</v>
      </c>
      <c r="S4" s="128">
        <f t="shared" si="2"/>
        <v>43160</v>
      </c>
      <c r="T4" s="128">
        <f t="shared" si="2"/>
        <v>43191</v>
      </c>
      <c r="U4" s="128">
        <f t="shared" si="2"/>
        <v>43221</v>
      </c>
      <c r="V4" s="128">
        <f t="shared" si="2"/>
        <v>43252</v>
      </c>
      <c r="W4" s="128">
        <f t="shared" si="2"/>
        <v>43282</v>
      </c>
      <c r="X4" s="128">
        <f t="shared" si="2"/>
        <v>43313</v>
      </c>
      <c r="Y4" s="128">
        <f t="shared" si="2"/>
        <v>43344</v>
      </c>
      <c r="Z4" s="128">
        <f t="shared" si="2"/>
        <v>43374</v>
      </c>
      <c r="AA4" s="128">
        <f t="shared" si="2"/>
        <v>43405</v>
      </c>
      <c r="AB4" s="128">
        <f t="shared" si="2"/>
        <v>43435</v>
      </c>
    </row>
    <row r="5" spans="1:28" s="153" customFormat="1" ht="15.6" customHeight="1" x14ac:dyDescent="0.25">
      <c r="A5" s="154" t="s">
        <v>113</v>
      </c>
      <c r="B5" s="155"/>
      <c r="C5" s="156"/>
      <c r="D5" s="157"/>
      <c r="E5" s="158">
        <v>-56678.27</v>
      </c>
      <c r="F5" s="152">
        <f t="shared" ref="F5:AB5" ca="1" si="3">E128</f>
        <v>-56678.27</v>
      </c>
      <c r="G5" s="152">
        <f t="shared" ca="1" si="3"/>
        <v>26339.300000000003</v>
      </c>
      <c r="H5" s="152">
        <f t="shared" ca="1" si="3"/>
        <v>4856.9699999999939</v>
      </c>
      <c r="I5" s="152">
        <f t="shared" ca="1" si="3"/>
        <v>25596.663333333323</v>
      </c>
      <c r="J5" s="152">
        <f t="shared" ca="1" si="3"/>
        <v>30410.332777777767</v>
      </c>
      <c r="K5" s="152">
        <f t="shared" ca="1" si="3"/>
        <v>23239.945277777766</v>
      </c>
      <c r="L5" s="152">
        <f t="shared" ca="1" si="3"/>
        <v>-6674.3380555555632</v>
      </c>
      <c r="M5" s="152">
        <f t="shared" ca="1" si="3"/>
        <v>-18508.954722222232</v>
      </c>
      <c r="N5" s="152">
        <f t="shared" ca="1" si="3"/>
        <v>3615.495437326123</v>
      </c>
      <c r="O5" s="152">
        <f t="shared" ca="1" si="3"/>
        <v>-29695.403200376379</v>
      </c>
      <c r="P5" s="152">
        <f t="shared" ca="1" si="3"/>
        <v>-21094.973607713993</v>
      </c>
      <c r="Q5" s="152">
        <f t="shared" ca="1" si="3"/>
        <v>-21868.645553713279</v>
      </c>
      <c r="R5" s="152">
        <f t="shared" ca="1" si="3"/>
        <v>-67112.756664824381</v>
      </c>
      <c r="S5" s="152">
        <f t="shared" ca="1" si="3"/>
        <v>-74562.678887046612</v>
      </c>
      <c r="T5" s="152">
        <f t="shared" ca="1" si="3"/>
        <v>-40970.181664824384</v>
      </c>
      <c r="U5" s="152">
        <f t="shared" ca="1" si="3"/>
        <v>-57709.746930473382</v>
      </c>
      <c r="V5" s="152">
        <f t="shared" ca="1" si="3"/>
        <v>-89204.872279717063</v>
      </c>
      <c r="W5" s="152">
        <f t="shared" ca="1" si="3"/>
        <v>-81716.405613050389</v>
      </c>
      <c r="X5" s="152">
        <f t="shared" ca="1" si="3"/>
        <v>-104819.17227971707</v>
      </c>
      <c r="Y5" s="152">
        <f t="shared" ca="1" si="3"/>
        <v>-129888.03477971707</v>
      </c>
      <c r="Z5" s="152">
        <f t="shared" ca="1" si="3"/>
        <v>-47159.749980986118</v>
      </c>
      <c r="AA5" s="152">
        <f t="shared" ca="1" si="3"/>
        <v>-85676.643627996818</v>
      </c>
      <c r="AB5" s="152">
        <f t="shared" ca="1" si="3"/>
        <v>-83195.898489107931</v>
      </c>
    </row>
    <row r="6" spans="1:28" s="105" customFormat="1" ht="15.6" customHeight="1" x14ac:dyDescent="0.25">
      <c r="A6" s="102"/>
      <c r="B6" s="103"/>
      <c r="C6" s="103"/>
      <c r="D6" s="103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</row>
    <row r="7" spans="1:28" s="88" customFormat="1" ht="15.6" hidden="1" customHeight="1" outlineLevel="1" x14ac:dyDescent="0.25">
      <c r="A7" s="93" t="s">
        <v>107</v>
      </c>
      <c r="B7" s="96" t="s">
        <v>111</v>
      </c>
      <c r="C7" s="97"/>
      <c r="D7" s="98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</row>
    <row r="8" spans="1:28" s="88" customFormat="1" ht="15.6" hidden="1" customHeight="1" outlineLevel="1" x14ac:dyDescent="0.25">
      <c r="A8" s="94" t="s">
        <v>108</v>
      </c>
      <c r="B8" s="99" t="s">
        <v>111</v>
      </c>
      <c r="C8" s="100"/>
      <c r="D8" s="101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</row>
    <row r="9" spans="1:28" s="88" customFormat="1" ht="15.6" hidden="1" customHeight="1" outlineLevel="1" x14ac:dyDescent="0.25">
      <c r="A9" s="94" t="s">
        <v>109</v>
      </c>
      <c r="B9" s="99" t="s">
        <v>111</v>
      </c>
      <c r="C9" s="100"/>
      <c r="D9" s="101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</row>
    <row r="10" spans="1:28" s="88" customFormat="1" ht="15.6" hidden="1" customHeight="1" outlineLevel="1" x14ac:dyDescent="0.25">
      <c r="A10" s="89" t="s">
        <v>110</v>
      </c>
      <c r="B10" s="90"/>
      <c r="C10" s="90"/>
      <c r="D10" s="91"/>
      <c r="E10" s="92">
        <f t="shared" ref="E10:AB10" ca="1" si="4">IF(DATE(E1,E2+1,1)&lt;TODAY(),SUM(E7:E9),E128)</f>
        <v>0</v>
      </c>
      <c r="F10" s="92">
        <f t="shared" ca="1" si="4"/>
        <v>0</v>
      </c>
      <c r="G10" s="92">
        <f t="shared" ca="1" si="4"/>
        <v>0</v>
      </c>
      <c r="H10" s="92">
        <f t="shared" ca="1" si="4"/>
        <v>25596.663333333323</v>
      </c>
      <c r="I10" s="92">
        <f t="shared" ca="1" si="4"/>
        <v>30410.332777777767</v>
      </c>
      <c r="J10" s="92">
        <f t="shared" ca="1" si="4"/>
        <v>23239.945277777766</v>
      </c>
      <c r="K10" s="92">
        <f t="shared" ca="1" si="4"/>
        <v>-6674.3380555555632</v>
      </c>
      <c r="L10" s="92">
        <f t="shared" ca="1" si="4"/>
        <v>-18508.954722222232</v>
      </c>
      <c r="M10" s="92">
        <f t="shared" ca="1" si="4"/>
        <v>3615.495437326123</v>
      </c>
      <c r="N10" s="92">
        <f t="shared" ca="1" si="4"/>
        <v>-29695.403200376379</v>
      </c>
      <c r="O10" s="92">
        <f t="shared" ca="1" si="4"/>
        <v>-21094.973607713993</v>
      </c>
      <c r="P10" s="92">
        <f t="shared" ca="1" si="4"/>
        <v>-21868.645553713279</v>
      </c>
      <c r="Q10" s="92">
        <f t="shared" ca="1" si="4"/>
        <v>-67112.756664824381</v>
      </c>
      <c r="R10" s="92">
        <f t="shared" ca="1" si="4"/>
        <v>-74562.678887046612</v>
      </c>
      <c r="S10" s="92">
        <f t="shared" ca="1" si="4"/>
        <v>-40970.181664824384</v>
      </c>
      <c r="T10" s="92">
        <f t="shared" ca="1" si="4"/>
        <v>-57709.746930473382</v>
      </c>
      <c r="U10" s="92">
        <f t="shared" ca="1" si="4"/>
        <v>-89204.872279717063</v>
      </c>
      <c r="V10" s="92">
        <f t="shared" ca="1" si="4"/>
        <v>-81716.405613050389</v>
      </c>
      <c r="W10" s="92">
        <f t="shared" ca="1" si="4"/>
        <v>-104819.17227971707</v>
      </c>
      <c r="X10" s="92">
        <f t="shared" ca="1" si="4"/>
        <v>-129888.03477971707</v>
      </c>
      <c r="Y10" s="92">
        <f t="shared" ca="1" si="4"/>
        <v>-47159.749980986118</v>
      </c>
      <c r="Z10" s="92">
        <f t="shared" ca="1" si="4"/>
        <v>-85676.643627996818</v>
      </c>
      <c r="AA10" s="92">
        <f t="shared" ca="1" si="4"/>
        <v>-83195.898489107931</v>
      </c>
      <c r="AB10" s="92">
        <f t="shared" ca="1" si="4"/>
        <v>-81221.399877996824</v>
      </c>
    </row>
    <row r="11" spans="1:28" s="88" customFormat="1" ht="15.6" customHeight="1" collapsed="1" x14ac:dyDescent="0.25">
      <c r="A11" s="89" t="s">
        <v>115</v>
      </c>
      <c r="B11" s="90"/>
      <c r="C11" s="90"/>
      <c r="D11" s="91"/>
      <c r="E11" s="92">
        <f t="shared" ref="E11:AB11" ca="1" si="5">E128-E10</f>
        <v>-56678.27</v>
      </c>
      <c r="F11" s="92">
        <f t="shared" ca="1" si="5"/>
        <v>26339.300000000003</v>
      </c>
      <c r="G11" s="92">
        <f t="shared" ca="1" si="5"/>
        <v>4856.9699999999939</v>
      </c>
      <c r="H11" s="92">
        <f t="shared" ca="1" si="5"/>
        <v>0</v>
      </c>
      <c r="I11" s="92">
        <f t="shared" ca="1" si="5"/>
        <v>0</v>
      </c>
      <c r="J11" s="92">
        <f t="shared" ca="1" si="5"/>
        <v>0</v>
      </c>
      <c r="K11" s="92">
        <f t="shared" ca="1" si="5"/>
        <v>0</v>
      </c>
      <c r="L11" s="92">
        <f t="shared" ca="1" si="5"/>
        <v>0</v>
      </c>
      <c r="M11" s="92">
        <f t="shared" ca="1" si="5"/>
        <v>0</v>
      </c>
      <c r="N11" s="92">
        <f t="shared" ca="1" si="5"/>
        <v>0</v>
      </c>
      <c r="O11" s="92">
        <f t="shared" ca="1" si="5"/>
        <v>0</v>
      </c>
      <c r="P11" s="92">
        <f t="shared" ca="1" si="5"/>
        <v>0</v>
      </c>
      <c r="Q11" s="92">
        <f t="shared" ca="1" si="5"/>
        <v>0</v>
      </c>
      <c r="R11" s="92">
        <f t="shared" ca="1" si="5"/>
        <v>0</v>
      </c>
      <c r="S11" s="92">
        <f t="shared" ca="1" si="5"/>
        <v>0</v>
      </c>
      <c r="T11" s="92">
        <f t="shared" ca="1" si="5"/>
        <v>0</v>
      </c>
      <c r="U11" s="92">
        <f t="shared" ca="1" si="5"/>
        <v>0</v>
      </c>
      <c r="V11" s="92">
        <f t="shared" ca="1" si="5"/>
        <v>0</v>
      </c>
      <c r="W11" s="92">
        <f t="shared" ca="1" si="5"/>
        <v>0</v>
      </c>
      <c r="X11" s="92">
        <f t="shared" ca="1" si="5"/>
        <v>0</v>
      </c>
      <c r="Y11" s="92">
        <f t="shared" ca="1" si="5"/>
        <v>0</v>
      </c>
      <c r="Z11" s="92">
        <f t="shared" ca="1" si="5"/>
        <v>0</v>
      </c>
      <c r="AA11" s="92">
        <f t="shared" ca="1" si="5"/>
        <v>0</v>
      </c>
      <c r="AB11" s="92">
        <f t="shared" ca="1" si="5"/>
        <v>0</v>
      </c>
    </row>
    <row r="12" spans="1:28" s="105" customFormat="1" ht="15.6" customHeight="1" x14ac:dyDescent="0.25">
      <c r="A12" s="102"/>
      <c r="B12" s="103"/>
      <c r="C12" s="103"/>
      <c r="D12" s="103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</row>
    <row r="13" spans="1:28" ht="15.6" customHeight="1" x14ac:dyDescent="0.25">
      <c r="A13" s="2" t="s">
        <v>0</v>
      </c>
      <c r="B13" s="9" t="s">
        <v>13</v>
      </c>
      <c r="C13" s="159" t="s">
        <v>3</v>
      </c>
      <c r="D13" s="160"/>
      <c r="E13" s="3">
        <f t="shared" ref="E13:AB13" ca="1" si="6">E14+E31</f>
        <v>0</v>
      </c>
      <c r="F13" s="3">
        <f t="shared" ca="1" si="6"/>
        <v>134468.79999999999</v>
      </c>
      <c r="G13" s="3">
        <f t="shared" ca="1" si="6"/>
        <v>19003.2</v>
      </c>
      <c r="H13" s="3">
        <f t="shared" ca="1" si="6"/>
        <v>57420</v>
      </c>
      <c r="I13" s="3">
        <f t="shared" ca="1" si="6"/>
        <v>17400</v>
      </c>
      <c r="J13" s="3">
        <f t="shared" ca="1" si="6"/>
        <v>8025</v>
      </c>
      <c r="K13" s="3">
        <f t="shared" ca="1" si="6"/>
        <v>6420</v>
      </c>
      <c r="L13" s="3">
        <f t="shared" ca="1" si="6"/>
        <v>0</v>
      </c>
      <c r="M13" s="3">
        <f t="shared" ca="1" si="6"/>
        <v>42320</v>
      </c>
      <c r="N13" s="3">
        <f t="shared" ca="1" si="6"/>
        <v>12375</v>
      </c>
      <c r="O13" s="3">
        <f t="shared" ca="1" si="6"/>
        <v>21631.5</v>
      </c>
      <c r="P13" s="3">
        <f t="shared" ca="1" si="6"/>
        <v>14799.166666666666</v>
      </c>
      <c r="Q13" s="3">
        <f t="shared" ca="1" si="6"/>
        <v>12093.333333333334</v>
      </c>
      <c r="R13" s="3">
        <f t="shared" ca="1" si="6"/>
        <v>17043.333333333332</v>
      </c>
      <c r="S13" s="3">
        <f t="shared" ca="1" si="6"/>
        <v>59852.916666666664</v>
      </c>
      <c r="T13" s="3">
        <f t="shared" ca="1" si="6"/>
        <v>43752.916666666664</v>
      </c>
      <c r="U13" s="3">
        <f t="shared" ca="1" si="6"/>
        <v>17712.5</v>
      </c>
      <c r="V13" s="3">
        <f t="shared" ca="1" si="6"/>
        <v>17712.5</v>
      </c>
      <c r="W13" s="3">
        <f t="shared" ca="1" si="6"/>
        <v>16857.5</v>
      </c>
      <c r="X13" s="3">
        <f t="shared" ca="1" si="6"/>
        <v>1672.9166666666667</v>
      </c>
      <c r="Y13" s="3">
        <f t="shared" ca="1" si="6"/>
        <v>126116.66666666667</v>
      </c>
      <c r="Z13" s="3">
        <f t="shared" ca="1" si="6"/>
        <v>21742.916666666668</v>
      </c>
      <c r="AA13" s="3">
        <f t="shared" ca="1" si="6"/>
        <v>21408.333333333332</v>
      </c>
      <c r="AB13" s="3">
        <f t="shared" ca="1" si="6"/>
        <v>21073.75</v>
      </c>
    </row>
    <row r="14" spans="1:28" ht="15.6" customHeight="1" x14ac:dyDescent="0.25">
      <c r="A14" s="26" t="s">
        <v>218</v>
      </c>
      <c r="B14" s="27"/>
      <c r="C14" s="28"/>
      <c r="D14" s="29"/>
      <c r="E14" s="31">
        <f t="shared" ref="E14:AB14" ca="1" si="7">IF(DATE(E$1,E$2+1,1)&lt;=TODAY(),SUM(E$15:E$30),SUMPRODUCT($D15:$D30,E$15:E$30))</f>
        <v>0</v>
      </c>
      <c r="F14" s="31">
        <f t="shared" ca="1" si="7"/>
        <v>4468.8</v>
      </c>
      <c r="G14" s="31">
        <f t="shared" ca="1" si="7"/>
        <v>19003.2</v>
      </c>
      <c r="H14" s="31">
        <f t="shared" ca="1" si="7"/>
        <v>6420</v>
      </c>
      <c r="I14" s="31">
        <f t="shared" ca="1" si="7"/>
        <v>17400</v>
      </c>
      <c r="J14" s="31">
        <f t="shared" ca="1" si="7"/>
        <v>8025</v>
      </c>
      <c r="K14" s="31">
        <f t="shared" ca="1" si="7"/>
        <v>6420</v>
      </c>
      <c r="L14" s="31">
        <f t="shared" ca="1" si="7"/>
        <v>0</v>
      </c>
      <c r="M14" s="31">
        <f t="shared" ca="1" si="7"/>
        <v>42320</v>
      </c>
      <c r="N14" s="31">
        <f t="shared" ca="1" si="7"/>
        <v>12375</v>
      </c>
      <c r="O14" s="31">
        <f t="shared" ca="1" si="7"/>
        <v>21631.5</v>
      </c>
      <c r="P14" s="31">
        <f t="shared" ca="1" si="7"/>
        <v>14799.166666666666</v>
      </c>
      <c r="Q14" s="31">
        <f t="shared" ca="1" si="7"/>
        <v>12093.333333333334</v>
      </c>
      <c r="R14" s="31">
        <f t="shared" ca="1" si="7"/>
        <v>17043.333333333332</v>
      </c>
      <c r="S14" s="31">
        <f t="shared" ca="1" si="7"/>
        <v>59852.916666666664</v>
      </c>
      <c r="T14" s="31">
        <f t="shared" ca="1" si="7"/>
        <v>43752.916666666664</v>
      </c>
      <c r="U14" s="31">
        <f t="shared" ca="1" si="7"/>
        <v>17712.5</v>
      </c>
      <c r="V14" s="31">
        <f t="shared" ca="1" si="7"/>
        <v>17712.5</v>
      </c>
      <c r="W14" s="31">
        <f t="shared" ca="1" si="7"/>
        <v>16857.5</v>
      </c>
      <c r="X14" s="31">
        <f t="shared" ca="1" si="7"/>
        <v>1672.9166666666667</v>
      </c>
      <c r="Y14" s="31">
        <f t="shared" ca="1" si="7"/>
        <v>126116.66666666667</v>
      </c>
      <c r="Z14" s="31">
        <f t="shared" ca="1" si="7"/>
        <v>21742.916666666668</v>
      </c>
      <c r="AA14" s="31">
        <f t="shared" ca="1" si="7"/>
        <v>21408.333333333332</v>
      </c>
      <c r="AB14" s="31">
        <f t="shared" ca="1" si="7"/>
        <v>21073.75</v>
      </c>
    </row>
    <row r="15" spans="1:28" s="15" customFormat="1" ht="15.6" hidden="1" customHeight="1" outlineLevel="1" x14ac:dyDescent="0.25">
      <c r="A15" s="56" t="s">
        <v>137</v>
      </c>
      <c r="B15" s="57" t="s">
        <v>189</v>
      </c>
      <c r="C15" s="57" t="s">
        <v>12</v>
      </c>
      <c r="D15" s="7">
        <f>IFERROR(VLOOKUP(C15,Parametres!$A$27:$B$32,2,FALSE),0%)</f>
        <v>0.9</v>
      </c>
      <c r="E15" s="58"/>
      <c r="F15" s="58">
        <v>1926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</row>
    <row r="16" spans="1:28" s="15" customFormat="1" ht="15.6" hidden="1" customHeight="1" outlineLevel="1" x14ac:dyDescent="0.25">
      <c r="A16" s="56" t="s">
        <v>138</v>
      </c>
      <c r="B16" s="57" t="s">
        <v>189</v>
      </c>
      <c r="C16" s="57" t="s">
        <v>12</v>
      </c>
      <c r="D16" s="7">
        <f>IFERROR(VLOOKUP(C16,Parametres!$A$27:$B$32,2,FALSE),0%)</f>
        <v>0.9</v>
      </c>
      <c r="E16" s="58"/>
      <c r="F16" s="58">
        <v>2182.8000000000002</v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</row>
    <row r="17" spans="1:28" s="15" customFormat="1" ht="15.6" hidden="1" customHeight="1" outlineLevel="1" x14ac:dyDescent="0.25">
      <c r="A17" s="56" t="s">
        <v>138</v>
      </c>
      <c r="B17" s="57" t="s">
        <v>189</v>
      </c>
      <c r="C17" s="57" t="s">
        <v>12</v>
      </c>
      <c r="D17" s="7">
        <f>IFERROR(VLOOKUP(C17,Parametres!$A$27:$B$32,2,FALSE),0%)</f>
        <v>0.9</v>
      </c>
      <c r="E17" s="58"/>
      <c r="F17" s="58"/>
      <c r="G17" s="58">
        <f>8*107*1.2</f>
        <v>1027.2</v>
      </c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</row>
    <row r="18" spans="1:28" s="15" customFormat="1" ht="15.6" hidden="1" customHeight="1" outlineLevel="1" x14ac:dyDescent="0.25">
      <c r="A18" s="56" t="s">
        <v>139</v>
      </c>
      <c r="B18" s="57" t="s">
        <v>189</v>
      </c>
      <c r="C18" s="57" t="s">
        <v>12</v>
      </c>
      <c r="D18" s="7">
        <f>IFERROR(VLOOKUP(C18,Parametres!$A$27:$B$32,2,FALSE),0%)</f>
        <v>0.9</v>
      </c>
      <c r="E18" s="58"/>
      <c r="F18" s="58"/>
      <c r="G18" s="58">
        <f>25*107*1.2</f>
        <v>3210</v>
      </c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</row>
    <row r="19" spans="1:28" s="15" customFormat="1" ht="15.6" hidden="1" customHeight="1" outlineLevel="1" x14ac:dyDescent="0.25">
      <c r="A19" s="56" t="s">
        <v>140</v>
      </c>
      <c r="B19" s="57" t="s">
        <v>189</v>
      </c>
      <c r="C19" s="57" t="s">
        <v>12</v>
      </c>
      <c r="D19" s="7">
        <f>IFERROR(VLOOKUP(C19,Parametres!$A$27:$B$32,2,FALSE),0%)</f>
        <v>0.9</v>
      </c>
      <c r="E19" s="58"/>
      <c r="F19" s="58">
        <v>360</v>
      </c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</row>
    <row r="20" spans="1:28" s="15" customFormat="1" ht="15.6" hidden="1" customHeight="1" outlineLevel="1" x14ac:dyDescent="0.25">
      <c r="A20" s="56" t="s">
        <v>141</v>
      </c>
      <c r="B20" s="57" t="s">
        <v>189</v>
      </c>
      <c r="C20" s="57" t="s">
        <v>12</v>
      </c>
      <c r="D20" s="7">
        <f>IFERROR(VLOOKUP(C20,Parametres!$A$27:$B$32,2,FALSE),0%)</f>
        <v>0.9</v>
      </c>
      <c r="E20" s="58"/>
      <c r="F20" s="58"/>
      <c r="G20" s="58">
        <v>1926</v>
      </c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</row>
    <row r="21" spans="1:28" s="15" customFormat="1" ht="15.6" hidden="1" customHeight="1" outlineLevel="1" x14ac:dyDescent="0.25">
      <c r="A21" s="56" t="s">
        <v>185</v>
      </c>
      <c r="B21" s="57" t="s">
        <v>189</v>
      </c>
      <c r="C21" s="57" t="s">
        <v>6</v>
      </c>
      <c r="D21" s="7">
        <f>IFERROR(VLOOKUP(C21,Parametres!$A$27:$B$32,2,FALSE),0%)</f>
        <v>0.5</v>
      </c>
      <c r="E21" s="58"/>
      <c r="F21" s="58"/>
      <c r="G21" s="58">
        <v>12840</v>
      </c>
      <c r="H21" s="58">
        <v>12840</v>
      </c>
      <c r="I21" s="58">
        <f>13375*1.2</f>
        <v>16050</v>
      </c>
      <c r="J21" s="58">
        <f>13375*1.2</f>
        <v>16050</v>
      </c>
      <c r="K21" s="58">
        <v>12840</v>
      </c>
      <c r="L21" s="58"/>
      <c r="M21" s="58">
        <f>18725*1.2</f>
        <v>22470</v>
      </c>
      <c r="N21" s="58">
        <f>13375*1.2</f>
        <v>16050</v>
      </c>
      <c r="O21" s="58">
        <f>13375*1.2</f>
        <v>16050</v>
      </c>
      <c r="P21" s="58">
        <v>12840</v>
      </c>
      <c r="Q21" s="58">
        <v>12840</v>
      </c>
      <c r="R21" s="58">
        <f>16050*1.2</f>
        <v>19260</v>
      </c>
      <c r="S21" s="58">
        <f t="shared" ref="S21:W21" si="8">16050*1.2</f>
        <v>19260</v>
      </c>
      <c r="T21" s="58">
        <f t="shared" si="8"/>
        <v>19260</v>
      </c>
      <c r="U21" s="58">
        <f t="shared" si="8"/>
        <v>19260</v>
      </c>
      <c r="V21" s="58">
        <f t="shared" si="8"/>
        <v>19260</v>
      </c>
      <c r="W21" s="58">
        <f t="shared" si="8"/>
        <v>19260</v>
      </c>
      <c r="X21" s="58"/>
      <c r="Y21" s="58">
        <f>32100*1.2</f>
        <v>38520</v>
      </c>
      <c r="Z21" s="58">
        <f t="shared" ref="Z21:AB21" si="9">16050*1.2</f>
        <v>19260</v>
      </c>
      <c r="AA21" s="58">
        <f t="shared" si="9"/>
        <v>19260</v>
      </c>
      <c r="AB21" s="58">
        <f t="shared" si="9"/>
        <v>19260</v>
      </c>
    </row>
    <row r="22" spans="1:28" s="15" customFormat="1" ht="15.6" hidden="1" customHeight="1" outlineLevel="1" x14ac:dyDescent="0.25">
      <c r="A22" s="56" t="s">
        <v>186</v>
      </c>
      <c r="B22" s="57" t="s">
        <v>190</v>
      </c>
      <c r="C22" s="57" t="s">
        <v>6</v>
      </c>
      <c r="D22" s="7">
        <f>IFERROR(VLOOKUP(C22,Parametres!$A$27:$B$32,2,FALSE),0%)</f>
        <v>0.5</v>
      </c>
      <c r="E22" s="58"/>
      <c r="F22" s="58"/>
      <c r="G22" s="58"/>
      <c r="H22" s="58"/>
      <c r="I22" s="58"/>
      <c r="J22" s="58"/>
      <c r="K22" s="58"/>
      <c r="L22" s="58"/>
      <c r="M22" s="58">
        <f>11600*1.2</f>
        <v>13920</v>
      </c>
      <c r="N22" s="58">
        <f>7250*1.2</f>
        <v>8700</v>
      </c>
      <c r="O22" s="58">
        <f>7250*1.2</f>
        <v>8700</v>
      </c>
      <c r="P22" s="58">
        <f>5800*1.2</f>
        <v>6960</v>
      </c>
      <c r="Q22" s="58">
        <f>5800*1.2</f>
        <v>6960</v>
      </c>
      <c r="R22" s="58">
        <f>8700*1.2</f>
        <v>10440</v>
      </c>
      <c r="S22" s="58">
        <f t="shared" ref="S22:W22" si="10">8700*1.2</f>
        <v>10440</v>
      </c>
      <c r="T22" s="58">
        <f t="shared" si="10"/>
        <v>10440</v>
      </c>
      <c r="U22" s="58">
        <f t="shared" si="10"/>
        <v>10440</v>
      </c>
      <c r="V22" s="58">
        <f>8700*1.2</f>
        <v>10440</v>
      </c>
      <c r="W22" s="58">
        <f t="shared" si="10"/>
        <v>10440</v>
      </c>
      <c r="X22" s="58"/>
      <c r="Y22" s="58">
        <f>20300*1.2</f>
        <v>24360</v>
      </c>
      <c r="Z22" s="58">
        <f>17400*1.2</f>
        <v>20880</v>
      </c>
      <c r="AA22" s="58">
        <f>17400*1.2</f>
        <v>20880</v>
      </c>
      <c r="AB22" s="58">
        <f>17400*1.2</f>
        <v>20880</v>
      </c>
    </row>
    <row r="23" spans="1:28" s="15" customFormat="1" ht="15.6" hidden="1" customHeight="1" outlineLevel="1" x14ac:dyDescent="0.25">
      <c r="A23" s="56" t="s">
        <v>187</v>
      </c>
      <c r="B23" s="57" t="s">
        <v>184</v>
      </c>
      <c r="C23" s="57" t="s">
        <v>7</v>
      </c>
      <c r="D23" s="7">
        <f>IFERROR(VLOOKUP(C23,Parametres!$A$27:$B$32,2,FALSE),0%)</f>
        <v>0.2</v>
      </c>
      <c r="E23" s="58"/>
      <c r="F23" s="58"/>
      <c r="G23" s="58"/>
      <c r="H23" s="58"/>
      <c r="I23" s="58"/>
      <c r="J23" s="58"/>
      <c r="K23" s="58"/>
      <c r="L23" s="58"/>
      <c r="M23" s="58">
        <v>40000</v>
      </c>
      <c r="N23" s="58"/>
      <c r="O23" s="58"/>
      <c r="P23" s="58"/>
      <c r="Q23" s="58"/>
      <c r="R23" s="58"/>
      <c r="S23" s="58"/>
      <c r="T23" s="58">
        <v>40000</v>
      </c>
      <c r="U23" s="58"/>
      <c r="V23" s="58"/>
      <c r="W23" s="58"/>
      <c r="X23" s="58"/>
      <c r="Y23" s="58"/>
      <c r="Z23" s="58"/>
      <c r="AA23" s="58"/>
      <c r="AB23" s="58"/>
    </row>
    <row r="24" spans="1:28" s="15" customFormat="1" ht="15.6" hidden="1" customHeight="1" outlineLevel="1" x14ac:dyDescent="0.25">
      <c r="A24" s="56" t="s">
        <v>188</v>
      </c>
      <c r="B24" s="57" t="s">
        <v>184</v>
      </c>
      <c r="C24" s="57" t="s">
        <v>7</v>
      </c>
      <c r="D24" s="7">
        <f>IFERROR(VLOOKUP(C24,Parametres!$A$27:$B$32,2,FALSE),0%)</f>
        <v>0.2</v>
      </c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>
        <v>40000</v>
      </c>
      <c r="P24" s="58"/>
      <c r="Q24" s="58"/>
      <c r="R24" s="58"/>
      <c r="S24" s="58"/>
      <c r="T24" s="58"/>
      <c r="U24" s="58"/>
      <c r="V24" s="58"/>
      <c r="W24" s="58"/>
      <c r="X24" s="58"/>
      <c r="Y24" s="58">
        <v>40000</v>
      </c>
      <c r="Z24" s="58"/>
      <c r="AA24" s="58"/>
      <c r="AB24" s="58"/>
    </row>
    <row r="25" spans="1:28" s="15" customFormat="1" ht="15.6" hidden="1" customHeight="1" outlineLevel="1" x14ac:dyDescent="0.25">
      <c r="A25" s="56" t="s">
        <v>191</v>
      </c>
      <c r="B25" s="57" t="s">
        <v>191</v>
      </c>
      <c r="C25" s="57" t="s">
        <v>6</v>
      </c>
      <c r="D25" s="7">
        <f>IFERROR(VLOOKUP(C25,Parametres!$A$27:$B$32,2,FALSE),0%)</f>
        <v>0.5</v>
      </c>
      <c r="E25" s="58"/>
      <c r="F25" s="58"/>
      <c r="G25" s="58"/>
      <c r="H25" s="58"/>
      <c r="I25" s="58">
        <v>18750</v>
      </c>
      <c r="J25" s="58"/>
      <c r="K25" s="58"/>
      <c r="L25" s="58"/>
      <c r="M25" s="58">
        <v>18750</v>
      </c>
      <c r="N25" s="58"/>
      <c r="O25" s="58"/>
      <c r="P25" s="58"/>
      <c r="Q25" s="58"/>
      <c r="R25" s="58"/>
      <c r="S25" s="58"/>
      <c r="T25" s="58">
        <v>18750</v>
      </c>
      <c r="U25" s="58"/>
      <c r="V25" s="58"/>
      <c r="W25" s="58"/>
      <c r="X25" s="58"/>
      <c r="Y25" s="58">
        <v>37500</v>
      </c>
      <c r="Z25" s="58"/>
      <c r="AA25" s="58"/>
      <c r="AB25" s="58"/>
    </row>
    <row r="26" spans="1:28" s="15" customFormat="1" ht="15.6" hidden="1" customHeight="1" outlineLevel="1" x14ac:dyDescent="0.25">
      <c r="A26" s="56" t="s">
        <v>192</v>
      </c>
      <c r="B26" s="57" t="s">
        <v>192</v>
      </c>
      <c r="C26" s="57" t="s">
        <v>6</v>
      </c>
      <c r="D26" s="7">
        <f>IFERROR(VLOOKUP(C26,Parametres!$A$27:$B$32,2,FALSE),0%)</f>
        <v>0.5</v>
      </c>
      <c r="E26" s="58"/>
      <c r="F26" s="58"/>
      <c r="G26" s="58"/>
      <c r="H26" s="58"/>
      <c r="I26" s="58"/>
      <c r="J26" s="58"/>
      <c r="K26" s="58"/>
      <c r="L26" s="58"/>
      <c r="M26" s="58">
        <v>13500</v>
      </c>
      <c r="N26" s="58"/>
      <c r="O26" s="58"/>
      <c r="P26" s="58">
        <v>6750</v>
      </c>
      <c r="Q26" s="58"/>
      <c r="R26" s="58"/>
      <c r="S26" s="58"/>
      <c r="T26" s="58">
        <v>18000</v>
      </c>
      <c r="U26" s="58"/>
      <c r="V26" s="58"/>
      <c r="W26" s="58"/>
      <c r="X26" s="58"/>
      <c r="Y26" s="58">
        <v>45000</v>
      </c>
      <c r="Z26" s="58"/>
      <c r="AA26" s="58"/>
      <c r="AB26" s="58"/>
    </row>
    <row r="27" spans="1:28" s="15" customFormat="1" ht="15.6" hidden="1" customHeight="1" outlineLevel="1" x14ac:dyDescent="0.25">
      <c r="A27" s="56" t="s">
        <v>193</v>
      </c>
      <c r="B27" s="57" t="s">
        <v>193</v>
      </c>
      <c r="C27" s="57" t="s">
        <v>6</v>
      </c>
      <c r="D27" s="7">
        <f>IFERROR(VLOOKUP(C27,Parametres!$A$27:$B$32,2,FALSE),0%)</f>
        <v>0.5</v>
      </c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>
        <v>1160</v>
      </c>
      <c r="P27" s="58">
        <v>1160</v>
      </c>
      <c r="Q27" s="58">
        <v>1160</v>
      </c>
      <c r="R27" s="58">
        <v>1160</v>
      </c>
      <c r="S27" s="58">
        <v>59160</v>
      </c>
      <c r="T27" s="58">
        <v>1160</v>
      </c>
      <c r="U27" s="58">
        <v>1160</v>
      </c>
      <c r="V27" s="58">
        <v>1160</v>
      </c>
      <c r="W27" s="58"/>
      <c r="X27" s="58"/>
      <c r="Y27" s="58">
        <v>58000</v>
      </c>
      <c r="Z27" s="58"/>
      <c r="AA27" s="58"/>
      <c r="AB27" s="58"/>
    </row>
    <row r="28" spans="1:28" s="15" customFormat="1" ht="15.6" hidden="1" customHeight="1" outlineLevel="1" x14ac:dyDescent="0.25">
      <c r="A28" s="56" t="s">
        <v>194</v>
      </c>
      <c r="B28" s="57" t="s">
        <v>194</v>
      </c>
      <c r="C28" s="57" t="s">
        <v>6</v>
      </c>
      <c r="D28" s="7">
        <f>IFERROR(VLOOKUP(C28,Parametres!$A$27:$B$32,2,FALSE),0%)</f>
        <v>0.5</v>
      </c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>
        <v>638</v>
      </c>
      <c r="P28" s="58">
        <v>1063.3333333333335</v>
      </c>
      <c r="Q28" s="58">
        <v>2126.666666666667</v>
      </c>
      <c r="R28" s="58">
        <v>2126.666666666667</v>
      </c>
      <c r="S28" s="58">
        <v>2658.3333333333335</v>
      </c>
      <c r="T28" s="58">
        <v>2658.3333333333335</v>
      </c>
      <c r="U28" s="58">
        <v>3190.0000000000005</v>
      </c>
      <c r="V28" s="58">
        <v>3190.0000000000005</v>
      </c>
      <c r="W28" s="58">
        <v>3190.0000000000005</v>
      </c>
      <c r="X28" s="58">
        <v>2658.3333333333335</v>
      </c>
      <c r="Y28" s="58">
        <v>4253.3333333333339</v>
      </c>
      <c r="Z28" s="58">
        <v>2658.3333333333335</v>
      </c>
      <c r="AA28" s="58">
        <v>2126.666666666667</v>
      </c>
      <c r="AB28" s="58">
        <v>1595.0000000000002</v>
      </c>
    </row>
    <row r="29" spans="1:28" s="15" customFormat="1" ht="15.6" hidden="1" customHeight="1" outlineLevel="1" x14ac:dyDescent="0.25">
      <c r="A29" s="56" t="s">
        <v>196</v>
      </c>
      <c r="B29" s="57" t="s">
        <v>195</v>
      </c>
      <c r="C29" s="57" t="s">
        <v>6</v>
      </c>
      <c r="D29" s="7">
        <f>IFERROR(VLOOKUP(C29,Parametres!$A$27:$B$32,2,FALSE),0%)</f>
        <v>0.5</v>
      </c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>
        <v>715.00000000000011</v>
      </c>
      <c r="P29" s="58">
        <v>825.00000000000011</v>
      </c>
      <c r="Q29" s="58">
        <v>1100.0000000000002</v>
      </c>
      <c r="R29" s="58">
        <v>1100.0000000000002</v>
      </c>
      <c r="S29" s="58">
        <v>28187.500000000004</v>
      </c>
      <c r="T29" s="58">
        <v>1237.5000000000002</v>
      </c>
      <c r="U29" s="58">
        <v>1375.0000000000002</v>
      </c>
      <c r="V29" s="58">
        <v>1375.0000000000002</v>
      </c>
      <c r="W29" s="58">
        <v>825.00000000000011</v>
      </c>
      <c r="X29" s="58">
        <v>687.50000000000011</v>
      </c>
      <c r="Y29" s="58">
        <v>28600.000000000004</v>
      </c>
      <c r="Z29" s="58">
        <v>687.50000000000011</v>
      </c>
      <c r="AA29" s="58">
        <v>550.00000000000011</v>
      </c>
      <c r="AB29" s="58">
        <v>412.50000000000006</v>
      </c>
    </row>
    <row r="30" spans="1:28" s="73" customFormat="1" ht="14.45" hidden="1" customHeight="1" outlineLevel="1" x14ac:dyDescent="0.25">
      <c r="A30" s="74" t="s">
        <v>219</v>
      </c>
      <c r="B30" s="75"/>
      <c r="C30" s="75"/>
      <c r="D30" s="7">
        <f>IFERROR(VLOOKUP(C30,Parametres!$A$27:$B$32,2,FALSE),0%)</f>
        <v>0</v>
      </c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</row>
    <row r="31" spans="1:28" ht="15.6" customHeight="1" collapsed="1" x14ac:dyDescent="0.25">
      <c r="A31" s="26" t="s">
        <v>178</v>
      </c>
      <c r="B31" s="27"/>
      <c r="C31" s="28"/>
      <c r="D31" s="29"/>
      <c r="E31" s="30">
        <f t="shared" ref="E31:AB31" ca="1" si="11">IF(DATE(E$1,E$2+1,1)&lt;=TODAY(),SUM(E$32:E$37),SUMPRODUCT($D32:$D37,E$32:E$37))</f>
        <v>0</v>
      </c>
      <c r="F31" s="30">
        <f t="shared" ca="1" si="11"/>
        <v>130000</v>
      </c>
      <c r="G31" s="30">
        <f t="shared" ca="1" si="11"/>
        <v>0</v>
      </c>
      <c r="H31" s="30">
        <f t="shared" ca="1" si="11"/>
        <v>51000</v>
      </c>
      <c r="I31" s="30">
        <f t="shared" ca="1" si="11"/>
        <v>0</v>
      </c>
      <c r="J31" s="30">
        <f t="shared" ca="1" si="11"/>
        <v>0</v>
      </c>
      <c r="K31" s="30">
        <f t="shared" ca="1" si="11"/>
        <v>0</v>
      </c>
      <c r="L31" s="30">
        <f t="shared" ca="1" si="11"/>
        <v>0</v>
      </c>
      <c r="M31" s="30">
        <f t="shared" ca="1" si="11"/>
        <v>0</v>
      </c>
      <c r="N31" s="30">
        <f t="shared" ca="1" si="11"/>
        <v>0</v>
      </c>
      <c r="O31" s="30">
        <f t="shared" ca="1" si="11"/>
        <v>0</v>
      </c>
      <c r="P31" s="30">
        <f t="shared" ca="1" si="11"/>
        <v>0</v>
      </c>
      <c r="Q31" s="30">
        <f t="shared" ca="1" si="11"/>
        <v>0</v>
      </c>
      <c r="R31" s="30">
        <f t="shared" ca="1" si="11"/>
        <v>0</v>
      </c>
      <c r="S31" s="30">
        <f t="shared" ca="1" si="11"/>
        <v>0</v>
      </c>
      <c r="T31" s="30">
        <f t="shared" ca="1" si="11"/>
        <v>0</v>
      </c>
      <c r="U31" s="30">
        <f t="shared" ca="1" si="11"/>
        <v>0</v>
      </c>
      <c r="V31" s="30">
        <f t="shared" ca="1" si="11"/>
        <v>0</v>
      </c>
      <c r="W31" s="30">
        <f t="shared" ca="1" si="11"/>
        <v>0</v>
      </c>
      <c r="X31" s="30">
        <f t="shared" ca="1" si="11"/>
        <v>0</v>
      </c>
      <c r="Y31" s="30">
        <f t="shared" ca="1" si="11"/>
        <v>0</v>
      </c>
      <c r="Z31" s="30">
        <f t="shared" ca="1" si="11"/>
        <v>0</v>
      </c>
      <c r="AA31" s="30">
        <f t="shared" ca="1" si="11"/>
        <v>0</v>
      </c>
      <c r="AB31" s="30">
        <f t="shared" ca="1" si="11"/>
        <v>0</v>
      </c>
    </row>
    <row r="32" spans="1:28" s="15" customFormat="1" ht="15.6" hidden="1" customHeight="1" outlineLevel="1" x14ac:dyDescent="0.25">
      <c r="A32" s="56" t="s">
        <v>14</v>
      </c>
      <c r="B32" s="57" t="s">
        <v>17</v>
      </c>
      <c r="C32" s="57" t="s">
        <v>11</v>
      </c>
      <c r="D32" s="7">
        <f>IFERROR(VLOOKUP(C32,Parametres!$A$27:$B$32,2,FALSE),0%)</f>
        <v>1</v>
      </c>
      <c r="E32" s="58"/>
      <c r="F32" s="58">
        <v>130000</v>
      </c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</row>
    <row r="33" spans="1:28" s="15" customFormat="1" ht="15.6" hidden="1" customHeight="1" outlineLevel="1" x14ac:dyDescent="0.25">
      <c r="A33" s="56" t="s">
        <v>142</v>
      </c>
      <c r="B33" s="57" t="s">
        <v>18</v>
      </c>
      <c r="C33" s="57" t="s">
        <v>12</v>
      </c>
      <c r="D33" s="7">
        <f>IFERROR(VLOOKUP(C33,Parametres!$A$27:$B$32,2,FALSE),0%)</f>
        <v>0.9</v>
      </c>
      <c r="E33" s="58"/>
      <c r="F33" s="58"/>
      <c r="G33" s="58"/>
      <c r="H33" s="58">
        <v>10000</v>
      </c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</row>
    <row r="34" spans="1:28" s="15" customFormat="1" ht="15.6" hidden="1" customHeight="1" outlineLevel="1" x14ac:dyDescent="0.25">
      <c r="A34" s="56" t="s">
        <v>143</v>
      </c>
      <c r="B34" s="57" t="s">
        <v>122</v>
      </c>
      <c r="C34" s="57" t="s">
        <v>4</v>
      </c>
      <c r="D34" s="7">
        <f>IFERROR(VLOOKUP(C34,Parametres!$A$27:$B$32,2,FALSE),0%)</f>
        <v>0.7</v>
      </c>
      <c r="E34" s="58"/>
      <c r="F34" s="58"/>
      <c r="G34" s="58"/>
      <c r="H34" s="58">
        <v>60000</v>
      </c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</row>
    <row r="35" spans="1:28" s="15" customFormat="1" ht="15.6" hidden="1" customHeight="1" outlineLevel="1" x14ac:dyDescent="0.25">
      <c r="A35" s="56" t="s">
        <v>15</v>
      </c>
      <c r="B35" s="57"/>
      <c r="C35" s="57"/>
      <c r="D35" s="7">
        <f>IFERROR(VLOOKUP(C35,Parametres!$A$27:$B$32,2,FALSE),0%)</f>
        <v>0</v>
      </c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</row>
    <row r="36" spans="1:28" s="15" customFormat="1" ht="15.6" hidden="1" customHeight="1" outlineLevel="1" x14ac:dyDescent="0.25">
      <c r="A36" s="56" t="s">
        <v>16</v>
      </c>
      <c r="B36" s="57"/>
      <c r="C36" s="57"/>
      <c r="D36" s="7">
        <f>IFERROR(VLOOKUP(C36,Parametres!$A$27:$B$32,2,FALSE),0%)</f>
        <v>0</v>
      </c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</row>
    <row r="37" spans="1:28" s="73" customFormat="1" ht="14.45" hidden="1" customHeight="1" outlineLevel="1" x14ac:dyDescent="0.25">
      <c r="A37" s="74" t="s">
        <v>219</v>
      </c>
      <c r="B37" s="75"/>
      <c r="C37" s="75"/>
      <c r="D37" s="7">
        <f>IFERROR(VLOOKUP(C37,Parametres!$A$27:$B$32,2,FALSE),0%)</f>
        <v>0</v>
      </c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</row>
    <row r="38" spans="1:28" s="16" customFormat="1" ht="15.6" customHeight="1" collapsed="1" x14ac:dyDescent="0.25">
      <c r="B38" s="17"/>
      <c r="C38" s="17"/>
      <c r="D38" s="18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1:28" ht="15.6" customHeight="1" x14ac:dyDescent="0.25">
      <c r="A39" s="2" t="s">
        <v>1</v>
      </c>
      <c r="B39" s="9" t="s">
        <v>13</v>
      </c>
      <c r="C39" s="159" t="s">
        <v>32</v>
      </c>
      <c r="D39" s="160"/>
      <c r="E39" s="3">
        <f t="shared" ref="E39:AB39" ca="1" si="12">E41+E58+E68+E78+E91+E109+E116</f>
        <v>0</v>
      </c>
      <c r="F39" s="3">
        <f t="shared" ca="1" si="12"/>
        <v>57451.229999999996</v>
      </c>
      <c r="G39" s="3">
        <f t="shared" ca="1" si="12"/>
        <v>46485.530000000006</v>
      </c>
      <c r="H39" s="3">
        <f t="shared" ca="1" si="12"/>
        <v>36680.306666666671</v>
      </c>
      <c r="I39" s="3">
        <f t="shared" ca="1" si="12"/>
        <v>14879.715</v>
      </c>
      <c r="J39" s="3">
        <f t="shared" ca="1" si="12"/>
        <v>14775.34</v>
      </c>
      <c r="K39" s="3">
        <f t="shared" ca="1" si="12"/>
        <v>37459.339999999997</v>
      </c>
      <c r="L39" s="3">
        <f t="shared" ca="1" si="12"/>
        <v>13195.34</v>
      </c>
      <c r="M39" s="3">
        <f t="shared" ca="1" si="12"/>
        <v>22394.773173784979</v>
      </c>
      <c r="N39" s="3">
        <f t="shared" ca="1" si="12"/>
        <v>42365.027499999997</v>
      </c>
      <c r="O39" s="3">
        <f t="shared" ca="1" si="12"/>
        <v>13941.908324004282</v>
      </c>
      <c r="P39" s="3">
        <f t="shared" ca="1" si="12"/>
        <v>14291.24</v>
      </c>
      <c r="Q39" s="3">
        <f t="shared" ca="1" si="12"/>
        <v>57252.789999999994</v>
      </c>
      <c r="R39" s="3">
        <f t="shared" ca="1" si="12"/>
        <v>27932.331666666669</v>
      </c>
      <c r="S39" s="3">
        <f t="shared" ca="1" si="12"/>
        <v>28075.252499999999</v>
      </c>
      <c r="T39" s="3">
        <f t="shared" ca="1" si="12"/>
        <v>55196.204571204551</v>
      </c>
      <c r="U39" s="3">
        <f t="shared" ca="1" si="12"/>
        <v>47027.34</v>
      </c>
      <c r="V39" s="3">
        <f t="shared" ca="1" si="12"/>
        <v>15109.84</v>
      </c>
      <c r="W39" s="3">
        <f t="shared" ca="1" si="12"/>
        <v>39526.490000000005</v>
      </c>
      <c r="X39" s="3">
        <f t="shared" ca="1" si="12"/>
        <v>26432.444166666668</v>
      </c>
      <c r="Y39" s="3">
        <f t="shared" ca="1" si="12"/>
        <v>47514.969784602392</v>
      </c>
      <c r="Z39" s="3">
        <f t="shared" ca="1" si="12"/>
        <v>47159.527499999997</v>
      </c>
      <c r="AA39" s="3">
        <f t="shared" ca="1" si="12"/>
        <v>18669.940000000002</v>
      </c>
      <c r="AB39" s="3">
        <f t="shared" ca="1" si="12"/>
        <v>18642.852500000001</v>
      </c>
    </row>
    <row r="40" spans="1:28" s="16" customFormat="1" ht="15.6" customHeight="1" x14ac:dyDescent="0.25">
      <c r="B40" s="17"/>
      <c r="C40" s="17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1:28" ht="15.6" customHeight="1" x14ac:dyDescent="0.25">
      <c r="A41" s="106" t="s">
        <v>31</v>
      </c>
      <c r="B41" s="107" t="s">
        <v>66</v>
      </c>
      <c r="C41" s="108" t="str">
        <f>Delai_reactivite&amp;" mois"</f>
        <v>3 mois</v>
      </c>
      <c r="D41" s="109"/>
      <c r="E41" s="117">
        <f ca="1">IF(DATE(E$1,E$2-Delai_reactivite,1)&lt;=TODAY(),SUMIF($C$42:$C$55,"&lt;&gt;"&amp;Charge_variable,E$42:E$55),SUMPRODUCT(E$42:E$55,$D$42:$D$55))+SUMIF($C$42:$C$55,Charge_variable,E$42:E$55)*IFERROR(Tresorerie!E$14/SUM(Tresorerie!E$15:E$30),1)+IF(DATE(E$1,E$2,1)&lt;=TODAY(),E$56,E$57)</f>
        <v>0</v>
      </c>
      <c r="F41" s="117">
        <f ca="1">IF(DATE(F$1,F$2-Delai_reactivite,1)&lt;=TODAY(),SUMIF($C$42:$C$55,"&lt;&gt;"&amp;Charge_variable,F$42:F$55),SUMPRODUCT(F$42:F$55,$D$42:$D$55))+SUMIF($C$42:$C$55,Charge_variable,F$42:F$55)*IFERROR(Tresorerie!F$14/SUM(Tresorerie!F$15:F$30),1)+IF(DATE(F$1,F$2,1)&lt;=TODAY(),F$56,F$57)</f>
        <v>24152.690000000002</v>
      </c>
      <c r="G41" s="117">
        <f ca="1">IF(DATE(G$1,G$2-Delai_reactivite,1)&lt;=TODAY(),SUMIF($C$42:$C$55,"&lt;&gt;"&amp;Charge_variable,G$42:G$55),SUMPRODUCT(G$42:G$55,$D$42:$D$55))+SUMIF($C$42:$C$55,Charge_variable,G$42:G$55)*IFERROR(Tresorerie!G$14/SUM(Tresorerie!G$15:G$30),1)+IF(DATE(G$1,G$2,1)&lt;=TODAY(),G$56,G$57)</f>
        <v>16431.07</v>
      </c>
      <c r="H41" s="117">
        <f ca="1">IF(DATE(H$1,H$2-Delai_reactivite,1)&lt;=TODAY(),SUMIF($C$42:$C$55,"&lt;&gt;"&amp;Charge_variable,H$42:H$55),SUMPRODUCT(H$42:H$55,$D$42:$D$55))+SUMIF($C$42:$C$55,Charge_variable,H$42:H$55)*IFERROR(Tresorerie!H$14/SUM(Tresorerie!H$15:H$30),1)+IF(DATE(H$1,H$2,1)&lt;=TODAY(),H$56,H$57)</f>
        <v>17730.666666666668</v>
      </c>
      <c r="I41" s="117">
        <f ca="1">IF(DATE(I$1,I$2-Delai_reactivite,1)&lt;=TODAY(),SUMIF($C$42:$C$55,"&lt;&gt;"&amp;Charge_variable,I$42:I$55),SUMPRODUCT(I$42:I$55,$D$42:$D$55))+SUMIF($C$42:$C$55,Charge_variable,I$42:I$55)*IFERROR(Tresorerie!I$14/SUM(Tresorerie!I$15:I$30),1)+IF(DATE(I$1,I$2,1)&lt;=TODAY(),I$56,I$57)</f>
        <v>1059.375</v>
      </c>
      <c r="J41" s="117">
        <f ca="1">IF(DATE(J$1,J$2-Delai_reactivite,1)&lt;=TODAY(),SUMIF($C$42:$C$55,"&lt;&gt;"&amp;Charge_variable,J$42:J$55),SUMPRODUCT(J$42:J$55,$D$42:$D$55))+SUMIF($C$42:$C$55,Charge_variable,J$42:J$55)*IFERROR(Tresorerie!J$14/SUM(Tresorerie!J$15:J$30),1)+IF(DATE(J$1,J$2,1)&lt;=TODAY(),J$56,J$57)</f>
        <v>955</v>
      </c>
      <c r="K41" s="117">
        <f ca="1">IF(DATE(K$1,K$2-Delai_reactivite,1)&lt;=TODAY(),SUMIF($C$42:$C$55,"&lt;&gt;"&amp;Charge_variable,K$42:K$55),SUMPRODUCT(K$42:K$55,$D$42:$D$55))+SUMIF($C$42:$C$55,Charge_variable,K$42:K$55)*IFERROR(Tresorerie!K$14/SUM(Tresorerie!K$15:K$30),1)+IF(DATE(K$1,K$2,1)&lt;=TODAY(),K$56,K$57)</f>
        <v>764</v>
      </c>
      <c r="L41" s="117">
        <f ca="1">IF(DATE(L$1,L$2-Delai_reactivite,1)&lt;=TODAY(),SUMIF($C$42:$C$55,"&lt;&gt;"&amp;Charge_variable,L$42:L$55),SUMPRODUCT(L$42:L$55,$D$42:$D$55))+SUMIF($C$42:$C$55,Charge_variable,L$42:L$55)*IFERROR(Tresorerie!L$14/SUM(Tresorerie!L$15:L$30),1)+IF(DATE(L$1,L$2,1)&lt;=TODAY(),L$56,L$57)</f>
        <v>0</v>
      </c>
      <c r="M41" s="117">
        <f ca="1">IF(DATE(M$1,M$2-Delai_reactivite,1)&lt;=TODAY(),SUMIF($C$42:$C$55,"&lt;&gt;"&amp;Charge_variable,M$42:M$55),SUMPRODUCT(M$42:M$55,$D$42:$D$55))+SUMIF($C$42:$C$55,Charge_variable,M$42:M$55)*IFERROR(Tresorerie!M$14/SUM(Tresorerie!M$15:M$30),1)+IF(DATE(M$1,M$2,1)&lt;=TODAY(),M$56,M$57)</f>
        <v>8399.4331737849789</v>
      </c>
      <c r="N41" s="117">
        <f ca="1">IF(DATE(N$1,N$2-Delai_reactivite,1)&lt;=TODAY(),SUMIF($C$42:$C$55,"&lt;&gt;"&amp;Charge_variable,N$42:N$55),SUMPRODUCT(N$42:N$55,$D$42:$D$55))+SUMIF($C$42:$C$55,Charge_variable,N$42:N$55)*IFERROR(Tresorerie!N$14/SUM(Tresorerie!N$15:N$30),1)+IF(DATE(N$1,N$2,1)&lt;=TODAY(),N$56,N$57)</f>
        <v>1369.6875</v>
      </c>
      <c r="O41" s="117">
        <f ca="1">IF(DATE(O$1,O$2-Delai_reactivite,1)&lt;=TODAY(),SUMIF($C$42:$C$55,"&lt;&gt;"&amp;Charge_variable,O$42:O$55),SUMPRODUCT(O$42:O$55,$D$42:$D$55))+SUMIF($C$42:$C$55,Charge_variable,O$42:O$55)*IFERROR(Tresorerie!O$14/SUM(Tresorerie!O$15:O$30),1)+IF(DATE(O$1,O$2,1)&lt;=TODAY(),O$56,O$57)</f>
        <v>971.56832400428175</v>
      </c>
      <c r="P41" s="117">
        <f ca="1">IF(DATE(P$1,P$2-Delai_reactivite,1)&lt;=TODAY(),SUMIF($C$42:$C$55,"&lt;&gt;"&amp;Charge_variable,P$42:P$55),SUMPRODUCT(P$42:P$55,$D$42:$D$55))+SUMIF($C$42:$C$55,Charge_variable,P$42:P$55)*IFERROR(Tresorerie!P$14/SUM(Tresorerie!P$15:P$30),1)+IF(DATE(P$1,P$2,1)&lt;=TODAY(),P$56,P$57)</f>
        <v>1320.9</v>
      </c>
      <c r="Q41" s="117">
        <f ca="1">IF(DATE(Q$1,Q$2-Delai_reactivite,1)&lt;=TODAY(),SUMIF($C$42:$C$55,"&lt;&gt;"&amp;Charge_variable,Q$42:Q$55),SUMPRODUCT(Q$42:Q$55,$D$42:$D$55))+SUMIF($C$42:$C$55,Charge_variable,Q$42:Q$55)*IFERROR(Tresorerie!Q$14/SUM(Tresorerie!Q$15:Q$30),1)+IF(DATE(Q$1,Q$2,1)&lt;=TODAY(),Q$56,Q$57)</f>
        <v>19757.45</v>
      </c>
      <c r="R41" s="117">
        <f ca="1">IF(DATE(R$1,R$2-Delai_reactivite,1)&lt;=TODAY(),SUMIF($C$42:$C$55,"&lt;&gt;"&amp;Charge_variable,R$42:R$55),SUMPRODUCT(R$42:R$55,$D$42:$D$55))+SUMIF($C$42:$C$55,Charge_variable,R$42:R$55)*IFERROR(Tresorerie!R$14/SUM(Tresorerie!R$15:R$30),1)+IF(DATE(R$1,R$2,1)&lt;=TODAY(),R$56,R$57)</f>
        <v>14961.991666666669</v>
      </c>
      <c r="S41" s="117">
        <f ca="1">IF(DATE(S$1,S$2-Delai_reactivite,1)&lt;=TODAY(),SUMIF($C$42:$C$55,"&lt;&gt;"&amp;Charge_variable,S$42:S$55),SUMPRODUCT(S$42:S$55,$D$42:$D$55))+SUMIF($C$42:$C$55,Charge_variable,S$42:S$55)*IFERROR(Tresorerie!S$14/SUM(Tresorerie!S$15:S$30),1)+IF(DATE(S$1,S$2,1)&lt;=TODAY(),S$56,S$57)</f>
        <v>7204.9125000000004</v>
      </c>
      <c r="T41" s="117">
        <f ca="1">IF(DATE(T$1,T$2-Delai_reactivite,1)&lt;=TODAY(),SUMIF($C$42:$C$55,"&lt;&gt;"&amp;Charge_variable,T$42:T$55),SUMPRODUCT(T$42:T$55,$D$42:$D$55))+SUMIF($C$42:$C$55,Charge_variable,T$42:T$55)*IFERROR(Tresorerie!T$14/SUM(Tresorerie!T$15:T$30),1)+IF(DATE(T$1,T$2,1)&lt;=TODAY(),T$56,T$57)</f>
        <v>11975.864571204547</v>
      </c>
      <c r="U41" s="117">
        <f ca="1">IF(DATE(U$1,U$2-Delai_reactivite,1)&lt;=TODAY(),SUMIF($C$42:$C$55,"&lt;&gt;"&amp;Charge_variable,U$42:U$55),SUMPRODUCT(U$42:U$55,$D$42:$D$55))+SUMIF($C$42:$C$55,Charge_variable,U$42:U$55)*IFERROR(Tresorerie!U$14/SUM(Tresorerie!U$15:U$30),1)+IF(DATE(U$1,U$2,1)&lt;=TODAY(),U$56,U$57)</f>
        <v>33832</v>
      </c>
      <c r="V41" s="117">
        <f ca="1">IF(DATE(V$1,V$2-Delai_reactivite,1)&lt;=TODAY(),SUMIF($C$42:$C$55,"&lt;&gt;"&amp;Charge_variable,V$42:V$55),SUMPRODUCT(V$42:V$55,$D$42:$D$55))+SUMIF($C$42:$C$55,Charge_variable,V$42:V$55)*IFERROR(Tresorerie!V$14/SUM(Tresorerie!V$15:V$30),1)+IF(DATE(V$1,V$2,1)&lt;=TODAY(),V$56,V$57)</f>
        <v>1914.5</v>
      </c>
      <c r="W41" s="117">
        <f ca="1">IF(DATE(W$1,W$2-Delai_reactivite,1)&lt;=TODAY(),SUMIF($C$42:$C$55,"&lt;&gt;"&amp;Charge_variable,W$42:W$55),SUMPRODUCT(W$42:W$55,$D$42:$D$55))+SUMIF($C$42:$C$55,Charge_variable,W$42:W$55)*IFERROR(Tresorerie!W$14/SUM(Tresorerie!W$15:W$30),1)+IF(DATE(W$1,W$2,1)&lt;=TODAY(),W$56,W$57)</f>
        <v>1806.15</v>
      </c>
      <c r="X41" s="117">
        <f ca="1">IF(DATE(X$1,X$2-Delai_reactivite,1)&lt;=TODAY(),SUMIF($C$42:$C$55,"&lt;&gt;"&amp;Charge_variable,X$42:X$55),SUMPRODUCT(X$42:X$55,$D$42:$D$55))+SUMIF($C$42:$C$55,Charge_variable,X$42:X$55)*IFERROR(Tresorerie!X$14/SUM(Tresorerie!X$15:X$30),1)+IF(DATE(X$1,X$2,1)&lt;=TODAY(),X$56,X$57)</f>
        <v>13237.104166666668</v>
      </c>
      <c r="Y41" s="117">
        <f ca="1">IF(DATE(Y$1,Y$2-Delai_reactivite,1)&lt;=TODAY(),SUMIF($C$42:$C$55,"&lt;&gt;"&amp;Charge_variable,Y$42:Y$55),SUMPRODUCT(Y$42:Y$55,$D$42:$D$55))+SUMIF($C$42:$C$55,Charge_variable,Y$42:Y$55)*IFERROR(Tresorerie!Y$14/SUM(Tresorerie!Y$15:Y$30),1)+IF(DATE(Y$1,Y$2,1)&lt;=TODAY(),Y$56,Y$57)</f>
        <v>8869.6297846023881</v>
      </c>
      <c r="Z41" s="117">
        <f ca="1">IF(DATE(Z$1,Z$2-Delai_reactivite,1)&lt;=TODAY(),SUMIF($C$42:$C$55,"&lt;&gt;"&amp;Charge_variable,Z$42:Z$55),SUMPRODUCT(Z$42:Z$55,$D$42:$D$55))+SUMIF($C$42:$C$55,Charge_variable,Z$42:Z$55)*IFERROR(Tresorerie!Z$14/SUM(Tresorerie!Z$15:Z$30),1)+IF(DATE(Z$1,Z$2,1)&lt;=TODAY(),Z$56,Z$57)</f>
        <v>2276.6875</v>
      </c>
      <c r="AA41" s="117">
        <f ca="1">IF(DATE(AA$1,AA$2-Delai_reactivite,1)&lt;=TODAY(),SUMIF($C$42:$C$55,"&lt;&gt;"&amp;Charge_variable,AA$42:AA$55),SUMPRODUCT(AA$42:AA$55,$D$42:$D$55))+SUMIF($C$42:$C$55,Charge_variable,AA$42:AA$55)*IFERROR(Tresorerie!AA$14/SUM(Tresorerie!AA$15:AA$30),1)+IF(DATE(AA$1,AA$2,1)&lt;=TODAY(),AA$56,AA$57)</f>
        <v>2249.6</v>
      </c>
      <c r="AB41" s="117">
        <f ca="1">IF(DATE(AB$1,AB$2-Delai_reactivite,1)&lt;=TODAY(),SUMIF($C$42:$C$55,"&lt;&gt;"&amp;Charge_variable,AB$42:AB$55),SUMPRODUCT(AB$42:AB$55,$D$42:$D$55))+SUMIF($C$42:$C$55,Charge_variable,AB$42:AB$55)*IFERROR(Tresorerie!AB$14/SUM(Tresorerie!AB$15:AB$30),1)+IF(DATE(AB$1,AB$2,1)&lt;=TODAY(),AB$56,AB$57)</f>
        <v>2222.5124999999998</v>
      </c>
    </row>
    <row r="42" spans="1:28" s="15" customFormat="1" ht="15.6" hidden="1" customHeight="1" outlineLevel="1" x14ac:dyDescent="0.25">
      <c r="A42" s="56" t="s">
        <v>148</v>
      </c>
      <c r="B42" s="57" t="s">
        <v>35</v>
      </c>
      <c r="C42" s="57" t="s">
        <v>9</v>
      </c>
      <c r="D42" s="7">
        <f>IFERROR(VLOOKUP(C42,Parametres!A$60:B$62,2,FALSE),0%)</f>
        <v>1</v>
      </c>
      <c r="E42" s="58"/>
      <c r="F42" s="58">
        <v>150</v>
      </c>
      <c r="G42" s="58">
        <v>150</v>
      </c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</row>
    <row r="43" spans="1:28" s="15" customFormat="1" ht="15.6" hidden="1" customHeight="1" outlineLevel="1" x14ac:dyDescent="0.25">
      <c r="A43" s="56" t="s">
        <v>160</v>
      </c>
      <c r="B43" s="57" t="s">
        <v>34</v>
      </c>
      <c r="C43" s="57" t="s">
        <v>10</v>
      </c>
      <c r="D43" s="7">
        <f>IFERROR(VLOOKUP(C43,Parametres!A$60:B$62,2,FALSE),0%)</f>
        <v>0</v>
      </c>
      <c r="E43" s="58"/>
      <c r="F43" s="58">
        <v>5910</v>
      </c>
      <c r="G43" s="58"/>
      <c r="H43" s="58">
        <v>2280</v>
      </c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</row>
    <row r="44" spans="1:28" s="15" customFormat="1" ht="15.6" hidden="1" customHeight="1" outlineLevel="1" x14ac:dyDescent="0.25">
      <c r="A44" s="56" t="s">
        <v>162</v>
      </c>
      <c r="B44" s="57" t="s">
        <v>34</v>
      </c>
      <c r="C44" s="57" t="s">
        <v>10</v>
      </c>
      <c r="D44" s="7">
        <f>IFERROR(VLOOKUP(C44,Parametres!A$60:B$62,2,FALSE),0%)</f>
        <v>0</v>
      </c>
      <c r="E44" s="58"/>
      <c r="F44" s="58"/>
      <c r="G44" s="58"/>
      <c r="H44" s="58">
        <v>5450</v>
      </c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</row>
    <row r="45" spans="1:28" s="15" customFormat="1" ht="15.6" hidden="1" customHeight="1" outlineLevel="1" x14ac:dyDescent="0.25">
      <c r="A45" s="56" t="s">
        <v>163</v>
      </c>
      <c r="B45" s="57" t="s">
        <v>34</v>
      </c>
      <c r="C45" s="57" t="s">
        <v>9</v>
      </c>
      <c r="D45" s="7">
        <f>IFERROR(VLOOKUP(C45,Parametres!A$60:B$62,2,FALSE),0%)</f>
        <v>1</v>
      </c>
      <c r="E45" s="58"/>
      <c r="F45" s="58">
        <v>16281.07</v>
      </c>
      <c r="G45" s="58">
        <v>16281.07</v>
      </c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</row>
    <row r="46" spans="1:28" s="15" customFormat="1" ht="15.6" hidden="1" customHeight="1" outlineLevel="1" x14ac:dyDescent="0.25">
      <c r="A46" s="56" t="s">
        <v>164</v>
      </c>
      <c r="B46" s="57" t="s">
        <v>34</v>
      </c>
      <c r="C46" s="57" t="s">
        <v>10</v>
      </c>
      <c r="D46" s="7">
        <f>IFERROR(VLOOKUP(C46,Parametres!A$60:B$62,2,FALSE),0%)</f>
        <v>0</v>
      </c>
      <c r="E46" s="58"/>
      <c r="F46" s="58">
        <v>148.80000000000001</v>
      </c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</row>
    <row r="47" spans="1:28" s="15" customFormat="1" ht="15.6" hidden="1" customHeight="1" outlineLevel="1" x14ac:dyDescent="0.25">
      <c r="A47" s="56" t="s">
        <v>168</v>
      </c>
      <c r="B47" s="57" t="s">
        <v>36</v>
      </c>
      <c r="C47" s="57" t="s">
        <v>9</v>
      </c>
      <c r="D47" s="7">
        <f>IFERROR(VLOOKUP(C47,Parametres!A$60:B$62,2,FALSE),0%)</f>
        <v>1</v>
      </c>
      <c r="E47" s="58"/>
      <c r="F47" s="58">
        <v>1375.2</v>
      </c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</row>
    <row r="48" spans="1:28" s="15" customFormat="1" ht="15.6" hidden="1" customHeight="1" outlineLevel="1" x14ac:dyDescent="0.25">
      <c r="A48" s="56" t="s">
        <v>171</v>
      </c>
      <c r="B48" s="57" t="s">
        <v>216</v>
      </c>
      <c r="C48" s="57" t="s">
        <v>10</v>
      </c>
      <c r="D48" s="7">
        <f>IFERROR(VLOOKUP(C48,Parametres!A$60:B$62,2,FALSE),0%)</f>
        <v>0</v>
      </c>
      <c r="E48" s="58"/>
      <c r="F48" s="58">
        <v>287.62</v>
      </c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</row>
    <row r="49" spans="1:28" s="15" customFormat="1" ht="15.6" hidden="1" customHeight="1" outlineLevel="1" x14ac:dyDescent="0.25">
      <c r="A49" s="56" t="s">
        <v>202</v>
      </c>
      <c r="B49" s="57" t="s">
        <v>34</v>
      </c>
      <c r="C49" s="57" t="s">
        <v>10</v>
      </c>
      <c r="D49" s="7">
        <f>IFERROR(VLOOKUP(C49,Parametres!A$60:B$62,2,FALSE),0%)</f>
        <v>0</v>
      </c>
      <c r="E49" s="58"/>
      <c r="F49" s="58"/>
      <c r="G49" s="58"/>
      <c r="H49" s="58">
        <v>26203.333333333336</v>
      </c>
      <c r="I49" s="58"/>
      <c r="J49" s="58"/>
      <c r="K49" s="58"/>
      <c r="L49" s="58"/>
      <c r="M49" s="58"/>
      <c r="N49" s="58"/>
      <c r="O49" s="58"/>
      <c r="P49" s="58"/>
      <c r="Q49" s="58"/>
      <c r="R49" s="58">
        <v>26203.333333333336</v>
      </c>
      <c r="S49" s="58"/>
      <c r="T49" s="58">
        <v>26203.333333333336</v>
      </c>
      <c r="U49" s="58"/>
      <c r="V49" s="58"/>
      <c r="W49" s="58"/>
      <c r="X49" s="58">
        <v>26203.333333333336</v>
      </c>
      <c r="Y49" s="58"/>
      <c r="Z49" s="58"/>
      <c r="AA49" s="58"/>
      <c r="AB49" s="58"/>
    </row>
    <row r="50" spans="1:28" s="15" customFormat="1" ht="15.6" hidden="1" customHeight="1" outlineLevel="1" x14ac:dyDescent="0.25">
      <c r="A50" s="56" t="s">
        <v>197</v>
      </c>
      <c r="B50" s="57" t="s">
        <v>34</v>
      </c>
      <c r="C50" s="57" t="s">
        <v>10</v>
      </c>
      <c r="D50" s="7">
        <f>IFERROR(VLOOKUP(C50,Parametres!A$60:B$62,2,FALSE),0%)</f>
        <v>0</v>
      </c>
      <c r="E50" s="58"/>
      <c r="F50" s="58"/>
      <c r="G50" s="58"/>
      <c r="H50" s="58"/>
      <c r="I50" s="58"/>
      <c r="J50" s="58"/>
      <c r="K50" s="58"/>
      <c r="L50" s="58"/>
      <c r="M50" s="58">
        <v>17102</v>
      </c>
      <c r="N50" s="58"/>
      <c r="O50" s="58"/>
      <c r="P50" s="58"/>
      <c r="Q50" s="58">
        <v>36890</v>
      </c>
      <c r="R50" s="58"/>
      <c r="S50" s="58"/>
      <c r="T50" s="58"/>
      <c r="U50" s="58">
        <v>63835</v>
      </c>
      <c r="V50" s="58"/>
      <c r="W50" s="58"/>
      <c r="X50" s="58"/>
      <c r="Y50" s="58">
        <v>0</v>
      </c>
      <c r="Z50" s="58"/>
      <c r="AA50" s="58"/>
      <c r="AB50" s="58"/>
    </row>
    <row r="51" spans="1:28" s="15" customFormat="1" ht="15.6" hidden="1" customHeight="1" outlineLevel="1" x14ac:dyDescent="0.25">
      <c r="A51" s="56" t="s">
        <v>198</v>
      </c>
      <c r="B51" s="57" t="s">
        <v>35</v>
      </c>
      <c r="C51" s="57" t="s">
        <v>10</v>
      </c>
      <c r="D51" s="7">
        <f>IFERROR(VLOOKUP(C51,Parametres!A$60:B$62,2,FALSE),0%)</f>
        <v>0</v>
      </c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>
        <v>260</v>
      </c>
      <c r="P51" s="58">
        <v>300</v>
      </c>
      <c r="Q51" s="58">
        <v>400</v>
      </c>
      <c r="R51" s="58">
        <v>400</v>
      </c>
      <c r="S51" s="58">
        <v>10250</v>
      </c>
      <c r="T51" s="58">
        <v>450</v>
      </c>
      <c r="U51" s="58">
        <v>500</v>
      </c>
      <c r="V51" s="58">
        <v>500</v>
      </c>
      <c r="W51" s="58">
        <v>300</v>
      </c>
      <c r="X51" s="58">
        <v>250</v>
      </c>
      <c r="Y51" s="58">
        <v>10400</v>
      </c>
      <c r="Z51" s="58">
        <v>250</v>
      </c>
      <c r="AA51" s="58">
        <v>200</v>
      </c>
      <c r="AB51" s="58">
        <v>150</v>
      </c>
    </row>
    <row r="52" spans="1:28" s="15" customFormat="1" ht="15.6" hidden="1" customHeight="1" outlineLevel="1" x14ac:dyDescent="0.25">
      <c r="A52" s="56" t="s">
        <v>199</v>
      </c>
      <c r="B52" s="57" t="s">
        <v>35</v>
      </c>
      <c r="C52" s="57" t="s">
        <v>10</v>
      </c>
      <c r="D52" s="7">
        <f>IFERROR(VLOOKUP(C52,Parametres!A$60:B$62,2,FALSE),0%)</f>
        <v>0</v>
      </c>
      <c r="E52" s="58"/>
      <c r="F52" s="58"/>
      <c r="G52" s="58"/>
      <c r="H52" s="58">
        <v>83.5</v>
      </c>
      <c r="I52" s="58">
        <v>313.125</v>
      </c>
      <c r="J52" s="58">
        <v>104.375</v>
      </c>
      <c r="K52" s="58">
        <v>83.5</v>
      </c>
      <c r="L52" s="58">
        <v>0</v>
      </c>
      <c r="M52" s="58">
        <v>772.375</v>
      </c>
      <c r="N52" s="58">
        <v>208.75</v>
      </c>
      <c r="O52" s="58">
        <v>230.46</v>
      </c>
      <c r="P52" s="58">
        <v>317.3</v>
      </c>
      <c r="Q52" s="58">
        <v>200.39999999999998</v>
      </c>
      <c r="R52" s="58">
        <v>283.89999999999998</v>
      </c>
      <c r="S52" s="58">
        <v>1123.075</v>
      </c>
      <c r="T52" s="58">
        <v>830.82499999999993</v>
      </c>
      <c r="U52" s="58">
        <v>292.25</v>
      </c>
      <c r="V52" s="58">
        <v>292.25</v>
      </c>
      <c r="W52" s="58">
        <v>275.55</v>
      </c>
      <c r="X52" s="58">
        <v>20.875</v>
      </c>
      <c r="Y52" s="58">
        <v>2663.65</v>
      </c>
      <c r="Z52" s="58">
        <v>396.625</v>
      </c>
      <c r="AA52" s="58">
        <v>392.45</v>
      </c>
      <c r="AB52" s="58">
        <v>388.27499999999998</v>
      </c>
    </row>
    <row r="53" spans="1:28" s="15" customFormat="1" ht="15.6" hidden="1" customHeight="1" outlineLevel="1" x14ac:dyDescent="0.25">
      <c r="A53" s="56" t="s">
        <v>200</v>
      </c>
      <c r="B53" s="57" t="s">
        <v>216</v>
      </c>
      <c r="C53" s="57" t="s">
        <v>10</v>
      </c>
      <c r="D53" s="7">
        <f>IFERROR(VLOOKUP(C53,Parametres!A$60:B$62,2,FALSE),0%)</f>
        <v>0</v>
      </c>
      <c r="E53" s="58"/>
      <c r="F53" s="58"/>
      <c r="G53" s="58"/>
      <c r="H53" s="58">
        <v>374.50000000000006</v>
      </c>
      <c r="I53" s="58">
        <v>468.12500000000006</v>
      </c>
      <c r="J53" s="58">
        <v>468.12500000000006</v>
      </c>
      <c r="K53" s="58">
        <v>374.50000000000006</v>
      </c>
      <c r="L53" s="58">
        <v>0</v>
      </c>
      <c r="M53" s="58">
        <v>655.37500000000011</v>
      </c>
      <c r="N53" s="58">
        <v>468.12500000000006</v>
      </c>
      <c r="O53" s="58">
        <v>468.12500000000006</v>
      </c>
      <c r="P53" s="58">
        <v>374.50000000000006</v>
      </c>
      <c r="Q53" s="58">
        <v>374.50000000000006</v>
      </c>
      <c r="R53" s="58">
        <v>561.75</v>
      </c>
      <c r="S53" s="58">
        <v>561.75</v>
      </c>
      <c r="T53" s="58">
        <v>561.75</v>
      </c>
      <c r="U53" s="58">
        <v>561.75</v>
      </c>
      <c r="V53" s="58">
        <v>561.75</v>
      </c>
      <c r="W53" s="58">
        <v>561.75</v>
      </c>
      <c r="X53" s="58">
        <v>0</v>
      </c>
      <c r="Y53" s="58">
        <v>1123.5</v>
      </c>
      <c r="Z53" s="58">
        <v>561.75</v>
      </c>
      <c r="AA53" s="58">
        <v>561.75</v>
      </c>
      <c r="AB53" s="58">
        <v>561.75</v>
      </c>
    </row>
    <row r="54" spans="1:28" s="15" customFormat="1" ht="15.6" hidden="1" customHeight="1" outlineLevel="1" x14ac:dyDescent="0.25">
      <c r="A54" s="56" t="s">
        <v>201</v>
      </c>
      <c r="B54" s="57" t="s">
        <v>216</v>
      </c>
      <c r="C54" s="57" t="s">
        <v>10</v>
      </c>
      <c r="D54" s="7">
        <f>IFERROR(VLOOKUP(C54,Parametres!A$60:B$62,2,FALSE),0%)</f>
        <v>0</v>
      </c>
      <c r="E54" s="58"/>
      <c r="F54" s="58"/>
      <c r="G54" s="58"/>
      <c r="H54" s="58">
        <v>1070</v>
      </c>
      <c r="I54" s="58">
        <v>1337.5</v>
      </c>
      <c r="J54" s="58">
        <v>1337.5</v>
      </c>
      <c r="K54" s="58">
        <v>1070</v>
      </c>
      <c r="L54" s="58">
        <v>0</v>
      </c>
      <c r="M54" s="58">
        <v>3032.5</v>
      </c>
      <c r="N54" s="58">
        <v>2062.5</v>
      </c>
      <c r="O54" s="58">
        <v>2062.5</v>
      </c>
      <c r="P54" s="58">
        <v>1650</v>
      </c>
      <c r="Q54" s="58">
        <v>1650</v>
      </c>
      <c r="R54" s="58">
        <v>2475</v>
      </c>
      <c r="S54" s="58">
        <v>2475</v>
      </c>
      <c r="T54" s="58">
        <v>2475</v>
      </c>
      <c r="U54" s="58">
        <v>2475</v>
      </c>
      <c r="V54" s="58">
        <v>2475</v>
      </c>
      <c r="W54" s="58">
        <v>2475</v>
      </c>
      <c r="X54" s="58">
        <v>0</v>
      </c>
      <c r="Y54" s="58">
        <v>5240</v>
      </c>
      <c r="Z54" s="58">
        <v>3345</v>
      </c>
      <c r="AA54" s="58">
        <v>3345</v>
      </c>
      <c r="AB54" s="58">
        <v>3345</v>
      </c>
    </row>
    <row r="55" spans="1:28" s="73" customFormat="1" ht="14.45" hidden="1" customHeight="1" outlineLevel="1" x14ac:dyDescent="0.25">
      <c r="A55" s="74" t="s">
        <v>219</v>
      </c>
      <c r="B55" s="75"/>
      <c r="C55" s="75"/>
      <c r="D55" s="7">
        <f>IFERROR(VLOOKUP(C55,Parametres!A$60:B$62,2,FALSE),0%)</f>
        <v>0</v>
      </c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1:28" s="15" customFormat="1" ht="15.6" hidden="1" customHeight="1" outlineLevel="1" x14ac:dyDescent="0.25">
      <c r="A56" s="41" t="s">
        <v>68</v>
      </c>
      <c r="B56" s="42"/>
      <c r="C56" s="42"/>
      <c r="D56" s="7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</row>
    <row r="57" spans="1:28" s="15" customFormat="1" ht="15.6" hidden="1" customHeight="1" outlineLevel="1" x14ac:dyDescent="0.25">
      <c r="A57" s="20" t="s">
        <v>67</v>
      </c>
      <c r="B57" s="21"/>
      <c r="C57" s="21"/>
      <c r="D57" s="60">
        <v>0.75</v>
      </c>
      <c r="E57" s="22"/>
      <c r="F57" s="22"/>
      <c r="G57" s="22"/>
      <c r="H57" s="22">
        <f>(SUMPRODUCT((($B$42:$B$55)=Salaire_net)*($D$42:$D$55)*(E$42:E$55))+SUMPRODUCT((($B$42:$B$55)=Salaire_net)*($D$42:$D$55)*(F$42:F$55))+SUMPRODUCT((($B$42:$B$55)=Salaire_net)*($D$42:$D$55)*(G$42:G$55)))*$D57</f>
        <v>0</v>
      </c>
      <c r="I57" s="22"/>
      <c r="J57" s="22"/>
      <c r="K57" s="22">
        <f>(SUMPRODUCT((($B$42:$B$55)=Salaire_net)*($D$42:$D$55)*(H$42:H$55))+SUMPRODUCT((($B$42:$B$55)=Salaire_net)*($D$42:$D$55)*(I$42:I$55))+SUMPRODUCT((($B$42:$B$55)=Salaire_net)*($D$42:$D$55)*(J$42:J$55)))*$D57</f>
        <v>0</v>
      </c>
      <c r="L57" s="22"/>
      <c r="M57" s="22"/>
      <c r="N57" s="22">
        <f>(SUMPRODUCT((($B$42:$B$55)=Salaire_net)*($D$42:$D$55)*(K$42:K$55))+SUMPRODUCT((($B$42:$B$55)=Salaire_net)*($D$42:$D$55)*(L$42:L$55))+SUMPRODUCT((($B$42:$B$55)=Salaire_net)*($D$42:$D$55)*(M$42:M$55)))*$D57</f>
        <v>0</v>
      </c>
      <c r="O57" s="22"/>
      <c r="P57" s="22"/>
      <c r="Q57" s="22">
        <f>(SUMPRODUCT((($B$42:$B$55)=Salaire_net)*($D$42:$D$55)*(N$42:N$55))+SUMPRODUCT((($B$42:$B$55)=Salaire_net)*($D$42:$D$55)*(O$42:O$55))+SUMPRODUCT((($B$42:$B$55)=Salaire_net)*($D$42:$D$55)*(P$42:P$55)))*$D57</f>
        <v>0</v>
      </c>
      <c r="R57" s="22"/>
      <c r="S57" s="22"/>
      <c r="T57" s="22">
        <f>(SUMPRODUCT((($B$42:$B$55)=Salaire_net)*($D$42:$D$55)*(Q$42:Q$55))+SUMPRODUCT((($B$42:$B$55)=Salaire_net)*($D$42:$D$55)*(R$42:R$55))+SUMPRODUCT((($B$42:$B$55)=Salaire_net)*($D$42:$D$55)*(S$42:S$55)))*$D57</f>
        <v>0</v>
      </c>
      <c r="U57" s="22"/>
      <c r="V57" s="22"/>
      <c r="W57" s="22">
        <f>(SUMPRODUCT((($B$42:$B$55)=Salaire_net)*($D$42:$D$55)*(T$42:T$55))+SUMPRODUCT((($B$42:$B$55)=Salaire_net)*($D$42:$D$55)*(U$42:U$55))+SUMPRODUCT((($B$42:$B$55)=Salaire_net)*($D$42:$D$55)*(V$42:V$55)))*$D57</f>
        <v>0</v>
      </c>
      <c r="X57" s="22"/>
      <c r="Y57" s="22"/>
      <c r="Z57" s="22">
        <f>(SUMPRODUCT((($B$42:$B$55)=Salaire_net)*($D$42:$D$55)*(W$42:W$55))+SUMPRODUCT((($B$42:$B$55)=Salaire_net)*($D$42:$D$55)*(X$42:X$55))+SUMPRODUCT((($B$42:$B$55)=Salaire_net)*($D$42:$D$55)*(Y$42:Y$55)))*$D57</f>
        <v>0</v>
      </c>
      <c r="AA57" s="22"/>
      <c r="AB57" s="22"/>
    </row>
    <row r="58" spans="1:28" ht="15.6" customHeight="1" collapsed="1" x14ac:dyDescent="0.25">
      <c r="A58" s="106" t="s">
        <v>77</v>
      </c>
      <c r="B58" s="107" t="s">
        <v>66</v>
      </c>
      <c r="C58" s="108" t="str">
        <f>Delai_reactivite&amp;" mois"</f>
        <v>3 mois</v>
      </c>
      <c r="D58" s="109"/>
      <c r="E58" s="117">
        <f t="shared" ref="E58:AB58" ca="1" si="13">IF(DATE(E$1,E$2-Delai_reactivite,1)&lt;=TODAY(),SUM(E59:E65),SUMPRODUCT(E59:E65,$D59:$D65))+IF(DATE(E$1,E$2,1)&lt;=TODAY(),E66,E67)</f>
        <v>0</v>
      </c>
      <c r="F58" s="117">
        <f t="shared" ca="1" si="13"/>
        <v>13776.7</v>
      </c>
      <c r="G58" s="117">
        <f t="shared" ca="1" si="13"/>
        <v>6420.5</v>
      </c>
      <c r="H58" s="117">
        <f t="shared" ca="1" si="13"/>
        <v>9700</v>
      </c>
      <c r="I58" s="117">
        <f t="shared" ca="1" si="13"/>
        <v>5700</v>
      </c>
      <c r="J58" s="117">
        <f t="shared" ca="1" si="13"/>
        <v>5700</v>
      </c>
      <c r="K58" s="117">
        <f t="shared" ca="1" si="13"/>
        <v>18525</v>
      </c>
      <c r="L58" s="117">
        <f t="shared" ca="1" si="13"/>
        <v>5700</v>
      </c>
      <c r="M58" s="117">
        <f t="shared" ca="1" si="13"/>
        <v>5700</v>
      </c>
      <c r="N58" s="117">
        <f t="shared" ca="1" si="13"/>
        <v>18525</v>
      </c>
      <c r="O58" s="117">
        <f t="shared" ca="1" si="13"/>
        <v>5700</v>
      </c>
      <c r="P58" s="117">
        <f t="shared" ca="1" si="13"/>
        <v>5700</v>
      </c>
      <c r="Q58" s="117">
        <f t="shared" ca="1" si="13"/>
        <v>18525</v>
      </c>
      <c r="R58" s="117">
        <f t="shared" ca="1" si="13"/>
        <v>5700</v>
      </c>
      <c r="S58" s="117">
        <f t="shared" ca="1" si="13"/>
        <v>8700</v>
      </c>
      <c r="T58" s="117">
        <f t="shared" ca="1" si="13"/>
        <v>22525</v>
      </c>
      <c r="U58" s="117">
        <f t="shared" ca="1" si="13"/>
        <v>5700</v>
      </c>
      <c r="V58" s="117">
        <f t="shared" ca="1" si="13"/>
        <v>5700</v>
      </c>
      <c r="W58" s="117">
        <f t="shared" ca="1" si="13"/>
        <v>18525</v>
      </c>
      <c r="X58" s="117">
        <f t="shared" ca="1" si="13"/>
        <v>5700</v>
      </c>
      <c r="Y58" s="117">
        <f t="shared" ca="1" si="13"/>
        <v>5700</v>
      </c>
      <c r="Z58" s="117">
        <f t="shared" ca="1" si="13"/>
        <v>18525</v>
      </c>
      <c r="AA58" s="117">
        <f t="shared" ca="1" si="13"/>
        <v>5700</v>
      </c>
      <c r="AB58" s="117">
        <f t="shared" ca="1" si="13"/>
        <v>5700</v>
      </c>
    </row>
    <row r="59" spans="1:28" s="15" customFormat="1" ht="15.6" hidden="1" customHeight="1" outlineLevel="1" x14ac:dyDescent="0.25">
      <c r="A59" s="56" t="s">
        <v>151</v>
      </c>
      <c r="B59" s="57" t="s">
        <v>45</v>
      </c>
      <c r="C59" s="57" t="s">
        <v>9</v>
      </c>
      <c r="D59" s="7">
        <f>IFERROR(VLOOKUP(C59,Parametres!A$60:B$62,2,FALSE),0%)</f>
        <v>1</v>
      </c>
      <c r="E59" s="58"/>
      <c r="F59" s="58">
        <v>11000</v>
      </c>
      <c r="G59" s="58"/>
      <c r="H59" s="58">
        <v>3000</v>
      </c>
      <c r="I59" s="58">
        <v>3000</v>
      </c>
      <c r="J59" s="58">
        <v>3000</v>
      </c>
      <c r="K59" s="58">
        <v>3000</v>
      </c>
      <c r="L59" s="58">
        <v>3000</v>
      </c>
      <c r="M59" s="58">
        <v>3000</v>
      </c>
      <c r="N59" s="58">
        <v>3000</v>
      </c>
      <c r="O59" s="58">
        <v>3000</v>
      </c>
      <c r="P59" s="58">
        <v>3000</v>
      </c>
      <c r="Q59" s="58">
        <v>3000</v>
      </c>
      <c r="R59" s="58">
        <v>3000</v>
      </c>
      <c r="S59" s="58">
        <v>3000</v>
      </c>
      <c r="T59" s="58">
        <v>3000</v>
      </c>
      <c r="U59" s="58">
        <v>3000</v>
      </c>
      <c r="V59" s="58">
        <v>3000</v>
      </c>
      <c r="W59" s="58">
        <v>3000</v>
      </c>
      <c r="X59" s="58">
        <v>3000</v>
      </c>
      <c r="Y59" s="58">
        <v>3000</v>
      </c>
      <c r="Z59" s="58">
        <v>3000</v>
      </c>
      <c r="AA59" s="58">
        <v>3000</v>
      </c>
      <c r="AB59" s="58">
        <v>3000</v>
      </c>
    </row>
    <row r="60" spans="1:28" s="15" customFormat="1" ht="15.6" hidden="1" customHeight="1" outlineLevel="1" x14ac:dyDescent="0.25">
      <c r="A60" s="56" t="s">
        <v>153</v>
      </c>
      <c r="B60" s="57" t="s">
        <v>26</v>
      </c>
      <c r="C60" s="57" t="s">
        <v>9</v>
      </c>
      <c r="D60" s="7">
        <f>IFERROR(VLOOKUP(C60,Parametres!A$60:B$62,2,FALSE),0%)</f>
        <v>1</v>
      </c>
      <c r="E60" s="58"/>
      <c r="F60" s="58">
        <v>120</v>
      </c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</row>
    <row r="61" spans="1:28" s="15" customFormat="1" ht="15.6" hidden="1" customHeight="1" outlineLevel="1" x14ac:dyDescent="0.25">
      <c r="A61" s="56" t="s">
        <v>167</v>
      </c>
      <c r="B61" s="57" t="s">
        <v>26</v>
      </c>
      <c r="C61" s="57" t="s">
        <v>9</v>
      </c>
      <c r="D61" s="7">
        <f>IFERROR(VLOOKUP(C61,Parametres!A$60:B$62,2,FALSE),0%)</f>
        <v>1</v>
      </c>
      <c r="E61" s="58"/>
      <c r="F61" s="58">
        <v>367.2</v>
      </c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</row>
    <row r="62" spans="1:28" s="15" customFormat="1" ht="15.6" hidden="1" customHeight="1" outlineLevel="1" x14ac:dyDescent="0.25">
      <c r="A62" s="56" t="s">
        <v>203</v>
      </c>
      <c r="B62" s="57" t="s">
        <v>45</v>
      </c>
      <c r="C62" s="57" t="s">
        <v>9</v>
      </c>
      <c r="D62" s="7">
        <f>IFERROR(VLOOKUP(C62,Parametres!A$60:B$62,2,FALSE),0%)</f>
        <v>1</v>
      </c>
      <c r="E62" s="58"/>
      <c r="F62" s="58"/>
      <c r="G62" s="58"/>
      <c r="H62" s="58">
        <v>2700</v>
      </c>
      <c r="I62" s="58">
        <v>2700</v>
      </c>
      <c r="J62" s="58">
        <v>2700</v>
      </c>
      <c r="K62" s="58">
        <v>2700</v>
      </c>
      <c r="L62" s="58">
        <v>2700</v>
      </c>
      <c r="M62" s="58">
        <v>2700</v>
      </c>
      <c r="N62" s="58">
        <v>2700</v>
      </c>
      <c r="O62" s="58">
        <v>2700</v>
      </c>
      <c r="P62" s="58">
        <v>2700</v>
      </c>
      <c r="Q62" s="58">
        <v>2700</v>
      </c>
      <c r="R62" s="58">
        <v>2700</v>
      </c>
      <c r="S62" s="58">
        <v>2700</v>
      </c>
      <c r="T62" s="58">
        <v>2700</v>
      </c>
      <c r="U62" s="58">
        <v>2700</v>
      </c>
      <c r="V62" s="58">
        <v>2700</v>
      </c>
      <c r="W62" s="58">
        <v>2700</v>
      </c>
      <c r="X62" s="58">
        <v>2700</v>
      </c>
      <c r="Y62" s="58">
        <v>2700</v>
      </c>
      <c r="Z62" s="58">
        <v>2700</v>
      </c>
      <c r="AA62" s="58">
        <v>2700</v>
      </c>
      <c r="AB62" s="58">
        <v>2700</v>
      </c>
    </row>
    <row r="63" spans="1:28" s="15" customFormat="1" ht="15.6" hidden="1" customHeight="1" outlineLevel="1" x14ac:dyDescent="0.25">
      <c r="A63" s="56" t="s">
        <v>210</v>
      </c>
      <c r="B63" s="57" t="s">
        <v>26</v>
      </c>
      <c r="C63" s="57" t="s">
        <v>9</v>
      </c>
      <c r="D63" s="7">
        <f>IFERROR(VLOOKUP(C63,Parametres!A$60:B$62,2,FALSE),0%)</f>
        <v>1</v>
      </c>
      <c r="E63" s="58"/>
      <c r="F63" s="58"/>
      <c r="G63" s="58">
        <v>3000</v>
      </c>
      <c r="H63" s="58">
        <v>4000</v>
      </c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>
        <v>3000</v>
      </c>
      <c r="T63" s="58">
        <v>4000</v>
      </c>
      <c r="U63" s="58"/>
      <c r="V63" s="58"/>
      <c r="W63" s="58"/>
      <c r="X63" s="58"/>
      <c r="Y63" s="58"/>
      <c r="Z63" s="58"/>
      <c r="AA63" s="58"/>
      <c r="AB63" s="58"/>
    </row>
    <row r="64" spans="1:28" s="15" customFormat="1" ht="15.6" hidden="1" customHeight="1" outlineLevel="1" x14ac:dyDescent="0.25">
      <c r="A64" s="56" t="s">
        <v>213</v>
      </c>
      <c r="B64" s="57" t="s">
        <v>26</v>
      </c>
      <c r="C64" s="57" t="s">
        <v>9</v>
      </c>
      <c r="D64" s="7">
        <f>IFERROR(VLOOKUP(C64,Parametres!A$60:B$62,2,FALSE),0%)</f>
        <v>1</v>
      </c>
      <c r="E64" s="58"/>
      <c r="F64" s="58"/>
      <c r="G64" s="58">
        <v>2000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</row>
    <row r="65" spans="1:28" s="73" customFormat="1" ht="14.45" hidden="1" customHeight="1" outlineLevel="1" x14ac:dyDescent="0.25">
      <c r="A65" s="74" t="s">
        <v>219</v>
      </c>
      <c r="B65" s="75"/>
      <c r="C65" s="75"/>
      <c r="D65" s="7">
        <f>IFERROR(VLOOKUP(C65,Parametres!A$60:B$62,2,FALSE),0%)</f>
        <v>0</v>
      </c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1:28" s="15" customFormat="1" ht="15.6" hidden="1" customHeight="1" outlineLevel="1" x14ac:dyDescent="0.25">
      <c r="A66" s="41" t="s">
        <v>68</v>
      </c>
      <c r="B66" s="42"/>
      <c r="C66" s="42"/>
      <c r="D66" s="7"/>
      <c r="E66" s="59"/>
      <c r="F66" s="59">
        <f>2144.5+145</f>
        <v>2289.5</v>
      </c>
      <c r="G66" s="59">
        <f>2841/2</f>
        <v>1420.5</v>
      </c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</row>
    <row r="67" spans="1:28" s="15" customFormat="1" ht="15.6" hidden="1" customHeight="1" outlineLevel="1" x14ac:dyDescent="0.25">
      <c r="A67" s="20" t="s">
        <v>67</v>
      </c>
      <c r="B67" s="21"/>
      <c r="C67" s="21"/>
      <c r="D67" s="60">
        <v>0.75</v>
      </c>
      <c r="E67" s="22"/>
      <c r="F67" s="22"/>
      <c r="G67" s="22"/>
      <c r="H67" s="22">
        <f>(SUMPRODUCT((($B$59:$B$65)=Salaire_net)*($D$59:$D$65)*(E$59:E$65))+SUMPRODUCT((($B$59:$B$65)=Salaire_net)*($D$59:$D$65)*(F$59:F$65))+SUMPRODUCT((($B$59:$B$65)=Salaire_net)*($D$59:$D$65)*(G$59:G$65)))*$D67</f>
        <v>8250</v>
      </c>
      <c r="I67" s="22"/>
      <c r="J67" s="22"/>
      <c r="K67" s="22">
        <f>(SUMPRODUCT((($B$59:$B$65)=Salaire_net)*($D$59:$D$65)*(H$59:H$65))+SUMPRODUCT((($B$59:$B$65)=Salaire_net)*($D$59:$D$65)*(I$59:I$65))+SUMPRODUCT((($B$59:$B$65)=Salaire_net)*($D$59:$D$65)*(J$59:J$65)))*$D67</f>
        <v>12825</v>
      </c>
      <c r="L67" s="22"/>
      <c r="M67" s="22"/>
      <c r="N67" s="22">
        <f>(SUMPRODUCT((($B$59:$B$65)=Salaire_net)*($D$59:$D$65)*(K$59:K$65))+SUMPRODUCT((($B$59:$B$65)=Salaire_net)*($D$59:$D$65)*(L$59:L$65))+SUMPRODUCT((($B$59:$B$65)=Salaire_net)*($D$59:$D$65)*(M$59:M$65)))*$D67</f>
        <v>12825</v>
      </c>
      <c r="O67" s="22"/>
      <c r="P67" s="22"/>
      <c r="Q67" s="22">
        <f>(SUMPRODUCT((($B$59:$B$65)=Salaire_net)*($D$59:$D$65)*(N$59:N$65))+SUMPRODUCT((($B$59:$B$65)=Salaire_net)*($D$59:$D$65)*(O$59:O$65))+SUMPRODUCT((($B$59:$B$65)=Salaire_net)*($D$59:$D$65)*(P$59:P$65)))*$D67</f>
        <v>12825</v>
      </c>
      <c r="R67" s="22"/>
      <c r="S67" s="22"/>
      <c r="T67" s="22">
        <f>(SUMPRODUCT((($B$59:$B$65)=Salaire_net)*($D$59:$D$65)*(Q$59:Q$65))+SUMPRODUCT((($B$59:$B$65)=Salaire_net)*($D$59:$D$65)*(R$59:R$65))+SUMPRODUCT((($B$59:$B$65)=Salaire_net)*($D$59:$D$65)*(S$59:S$65)))*$D67</f>
        <v>12825</v>
      </c>
      <c r="U67" s="22"/>
      <c r="V67" s="22"/>
      <c r="W67" s="22">
        <f>(SUMPRODUCT((($B$59:$B$65)=Salaire_net)*($D$59:$D$65)*(T$59:T$65))+SUMPRODUCT((($B$59:$B$65)=Salaire_net)*($D$59:$D$65)*(U$59:U$65))+SUMPRODUCT((($B$59:$B$65)=Salaire_net)*($D$59:$D$65)*(V$59:V$65)))*$D67</f>
        <v>12825</v>
      </c>
      <c r="X67" s="22"/>
      <c r="Y67" s="22"/>
      <c r="Z67" s="22">
        <f>(SUMPRODUCT((($B$59:$B$65)=Salaire_net)*($D$59:$D$65)*(W$59:W$65))+SUMPRODUCT((($B$59:$B$65)=Salaire_net)*($D$59:$D$65)*(X$59:X$65))+SUMPRODUCT((($B$59:$B$65)=Salaire_net)*($D$59:$D$65)*(Y$59:Y$65)))*$D67</f>
        <v>12825</v>
      </c>
      <c r="AA67" s="22"/>
      <c r="AB67" s="22"/>
    </row>
    <row r="68" spans="1:28" ht="15.6" customHeight="1" collapsed="1" x14ac:dyDescent="0.25">
      <c r="A68" s="106" t="s">
        <v>39</v>
      </c>
      <c r="B68" s="107" t="s">
        <v>66</v>
      </c>
      <c r="C68" s="108" t="str">
        <f>Delai_reactivite&amp;" mois"</f>
        <v>3 mois</v>
      </c>
      <c r="D68" s="109"/>
      <c r="E68" s="117">
        <f t="shared" ref="E68:AB68" ca="1" si="14">IF(DATE(E$1,E$2-Delai_reactivite,1)&lt;=TODAY(),SUM(E69:E75),SUMPRODUCT(E69:E75,$D69:$D75))+IF(DATE(E$1,E$2,1)&lt;=TODAY(),E76,E77)</f>
        <v>0</v>
      </c>
      <c r="F68" s="117">
        <f t="shared" ca="1" si="14"/>
        <v>13289.5</v>
      </c>
      <c r="G68" s="117">
        <f t="shared" ca="1" si="14"/>
        <v>9308.5</v>
      </c>
      <c r="H68" s="117">
        <f t="shared" ca="1" si="14"/>
        <v>3450</v>
      </c>
      <c r="I68" s="117">
        <f t="shared" ca="1" si="14"/>
        <v>3450</v>
      </c>
      <c r="J68" s="117">
        <f t="shared" ca="1" si="14"/>
        <v>3450</v>
      </c>
      <c r="K68" s="117">
        <f t="shared" ca="1" si="14"/>
        <v>10200</v>
      </c>
      <c r="L68" s="117">
        <f t="shared" ca="1" si="14"/>
        <v>3225</v>
      </c>
      <c r="M68" s="117">
        <f t="shared" ca="1" si="14"/>
        <v>3225</v>
      </c>
      <c r="N68" s="117">
        <f t="shared" ca="1" si="14"/>
        <v>9750</v>
      </c>
      <c r="O68" s="117">
        <f t="shared" ca="1" si="14"/>
        <v>3000</v>
      </c>
      <c r="P68" s="117">
        <f t="shared" ca="1" si="14"/>
        <v>3000</v>
      </c>
      <c r="Q68" s="117">
        <f t="shared" ca="1" si="14"/>
        <v>9750</v>
      </c>
      <c r="R68" s="117">
        <f t="shared" ca="1" si="14"/>
        <v>3000</v>
      </c>
      <c r="S68" s="117">
        <f t="shared" ca="1" si="14"/>
        <v>3000</v>
      </c>
      <c r="T68" s="117">
        <f t="shared" ca="1" si="14"/>
        <v>9975</v>
      </c>
      <c r="U68" s="117">
        <f t="shared" ca="1" si="14"/>
        <v>3225</v>
      </c>
      <c r="V68" s="117">
        <f t="shared" ca="1" si="14"/>
        <v>3225</v>
      </c>
      <c r="W68" s="117">
        <f t="shared" ca="1" si="14"/>
        <v>9975</v>
      </c>
      <c r="X68" s="117">
        <f t="shared" ca="1" si="14"/>
        <v>3225</v>
      </c>
      <c r="Y68" s="117">
        <f t="shared" ca="1" si="14"/>
        <v>6475</v>
      </c>
      <c r="Z68" s="117">
        <f t="shared" ca="1" si="14"/>
        <v>15437.5</v>
      </c>
      <c r="AA68" s="117">
        <f t="shared" ca="1" si="14"/>
        <v>6250</v>
      </c>
      <c r="AB68" s="117">
        <f t="shared" ca="1" si="14"/>
        <v>6250</v>
      </c>
    </row>
    <row r="69" spans="1:28" s="15" customFormat="1" ht="15.6" hidden="1" customHeight="1" outlineLevel="1" x14ac:dyDescent="0.25">
      <c r="A69" s="56" t="s">
        <v>150</v>
      </c>
      <c r="B69" s="57" t="s">
        <v>45</v>
      </c>
      <c r="C69" s="57" t="s">
        <v>9</v>
      </c>
      <c r="D69" s="7">
        <f>IFERROR(VLOOKUP(C69,Parametres!A$60:B$62,2,FALSE),0%)</f>
        <v>1</v>
      </c>
      <c r="E69" s="58"/>
      <c r="F69" s="58">
        <v>11000</v>
      </c>
      <c r="G69" s="58"/>
      <c r="H69" s="58">
        <v>3000</v>
      </c>
      <c r="I69" s="58">
        <v>3000</v>
      </c>
      <c r="J69" s="58">
        <v>3000</v>
      </c>
      <c r="K69" s="58">
        <v>3000</v>
      </c>
      <c r="L69" s="58">
        <v>3000</v>
      </c>
      <c r="M69" s="58">
        <v>3000</v>
      </c>
      <c r="N69" s="58">
        <v>3000</v>
      </c>
      <c r="O69" s="58">
        <v>3000</v>
      </c>
      <c r="P69" s="58">
        <v>3000</v>
      </c>
      <c r="Q69" s="58">
        <v>3000</v>
      </c>
      <c r="R69" s="58">
        <v>3000</v>
      </c>
      <c r="S69" s="58">
        <v>3000</v>
      </c>
      <c r="T69" s="58">
        <v>3000</v>
      </c>
      <c r="U69" s="58">
        <v>3000</v>
      </c>
      <c r="V69" s="58">
        <v>3000</v>
      </c>
      <c r="W69" s="58">
        <v>3000</v>
      </c>
      <c r="X69" s="58">
        <v>3000</v>
      </c>
      <c r="Y69" s="58">
        <v>3000</v>
      </c>
      <c r="Z69" s="58">
        <v>3000</v>
      </c>
      <c r="AA69" s="58">
        <v>3000</v>
      </c>
      <c r="AB69" s="58">
        <v>3000</v>
      </c>
    </row>
    <row r="70" spans="1:28" s="15" customFormat="1" ht="15.6" hidden="1" customHeight="1" outlineLevel="1" x14ac:dyDescent="0.25">
      <c r="A70" s="56" t="s">
        <v>161</v>
      </c>
      <c r="B70" s="57" t="s">
        <v>26</v>
      </c>
      <c r="C70" s="57" t="s">
        <v>9</v>
      </c>
      <c r="D70" s="7">
        <f>IFERROR(VLOOKUP(C70,Parametres!A$60:B$62,2,FALSE),0%)</f>
        <v>1</v>
      </c>
      <c r="E70" s="58"/>
      <c r="F70" s="58"/>
      <c r="G70" s="58">
        <v>7888</v>
      </c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</row>
    <row r="71" spans="1:28" s="15" customFormat="1" ht="15.6" hidden="1" customHeight="1" outlineLevel="1" x14ac:dyDescent="0.25">
      <c r="A71" s="56" t="s">
        <v>205</v>
      </c>
      <c r="B71" s="57" t="s">
        <v>45</v>
      </c>
      <c r="C71" s="57" t="s">
        <v>8</v>
      </c>
      <c r="D71" s="7">
        <f>IFERROR(VLOOKUP(C71,Parametres!A$60:B$62,2,FALSE),0%)</f>
        <v>0.5</v>
      </c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>
        <v>4300</v>
      </c>
      <c r="Z71" s="58">
        <v>4300</v>
      </c>
      <c r="AA71" s="58">
        <v>4300</v>
      </c>
      <c r="AB71" s="58">
        <v>4300</v>
      </c>
    </row>
    <row r="72" spans="1:28" s="15" customFormat="1" ht="15.6" hidden="1" customHeight="1" outlineLevel="1" x14ac:dyDescent="0.25">
      <c r="A72" s="56" t="s">
        <v>206</v>
      </c>
      <c r="B72" s="57" t="s">
        <v>45</v>
      </c>
      <c r="C72" s="57" t="s">
        <v>8</v>
      </c>
      <c r="D72" s="7">
        <f>IFERROR(VLOOKUP(C72,Parametres!A$60:B$62,2,FALSE),0%)</f>
        <v>0.5</v>
      </c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>
        <v>2200</v>
      </c>
      <c r="Z72" s="58">
        <v>2200</v>
      </c>
      <c r="AA72" s="58">
        <v>2200</v>
      </c>
      <c r="AB72" s="58">
        <v>2200</v>
      </c>
    </row>
    <row r="73" spans="1:28" s="15" customFormat="1" ht="15.6" hidden="1" customHeight="1" outlineLevel="1" x14ac:dyDescent="0.25">
      <c r="A73" s="56" t="s">
        <v>207</v>
      </c>
      <c r="B73" s="57" t="s">
        <v>78</v>
      </c>
      <c r="C73" s="57" t="s">
        <v>8</v>
      </c>
      <c r="D73" s="7">
        <f>IFERROR(VLOOKUP(C73,Parametres!A$60:B$62,2,FALSE),0%)</f>
        <v>0.5</v>
      </c>
      <c r="E73" s="58"/>
      <c r="F73" s="58"/>
      <c r="G73" s="58"/>
      <c r="H73" s="58">
        <v>450</v>
      </c>
      <c r="I73" s="58">
        <v>450</v>
      </c>
      <c r="J73" s="58">
        <v>450</v>
      </c>
      <c r="K73" s="58">
        <v>450</v>
      </c>
      <c r="L73" s="58">
        <v>450</v>
      </c>
      <c r="M73" s="58">
        <v>450</v>
      </c>
      <c r="N73" s="58"/>
      <c r="O73" s="58"/>
      <c r="P73" s="58"/>
      <c r="Q73" s="58"/>
      <c r="R73" s="58"/>
      <c r="S73" s="58"/>
      <c r="T73" s="58">
        <v>450</v>
      </c>
      <c r="U73" s="58">
        <v>450</v>
      </c>
      <c r="V73" s="58">
        <v>450</v>
      </c>
      <c r="W73" s="58">
        <v>450</v>
      </c>
      <c r="X73" s="58">
        <v>450</v>
      </c>
      <c r="Y73" s="58">
        <v>450</v>
      </c>
      <c r="Z73" s="58"/>
      <c r="AA73" s="58"/>
      <c r="AB73" s="58"/>
    </row>
    <row r="74" spans="1:28" s="15" customFormat="1" ht="15.6" hidden="1" customHeight="1" outlineLevel="1" x14ac:dyDescent="0.25">
      <c r="A74" s="56" t="s">
        <v>217</v>
      </c>
      <c r="B74" s="57"/>
      <c r="C74" s="57"/>
      <c r="D74" s="7">
        <f>IFERROR(VLOOKUP(C74,Parametres!A$60:B$62,2,FALSE),0%)</f>
        <v>0</v>
      </c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</row>
    <row r="75" spans="1:28" s="73" customFormat="1" ht="14.45" hidden="1" customHeight="1" outlineLevel="1" x14ac:dyDescent="0.25">
      <c r="A75" s="74" t="s">
        <v>219</v>
      </c>
      <c r="B75" s="75"/>
      <c r="C75" s="75"/>
      <c r="D75" s="7">
        <f>IFERROR(VLOOKUP(C75,Parametres!A$60:B$62,2,FALSE),0%)</f>
        <v>0</v>
      </c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</row>
    <row r="76" spans="1:28" s="15" customFormat="1" ht="15.6" hidden="1" customHeight="1" outlineLevel="1" x14ac:dyDescent="0.25">
      <c r="A76" s="41" t="s">
        <v>68</v>
      </c>
      <c r="B76" s="42"/>
      <c r="C76" s="42"/>
      <c r="D76" s="7"/>
      <c r="E76" s="59"/>
      <c r="F76" s="59">
        <f>2144.5+145</f>
        <v>2289.5</v>
      </c>
      <c r="G76" s="59">
        <f>2841/2</f>
        <v>1420.5</v>
      </c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</row>
    <row r="77" spans="1:28" s="15" customFormat="1" ht="15.6" hidden="1" customHeight="1" outlineLevel="1" x14ac:dyDescent="0.25">
      <c r="A77" s="20" t="s">
        <v>67</v>
      </c>
      <c r="B77" s="21"/>
      <c r="C77" s="21"/>
      <c r="D77" s="60">
        <v>0.75</v>
      </c>
      <c r="E77" s="22"/>
      <c r="F77" s="22"/>
      <c r="G77" s="22"/>
      <c r="H77" s="22">
        <f>(SUMPRODUCT((($B$69:$B$75)=Salaire_net)*($D$69:$D$75)*(E$69:E$75))+SUMPRODUCT((($B$69:$B$75)=Salaire_net)*($D$69:$D$75)*(F$69:F$75))+SUMPRODUCT((($B$69:$B$75)=Salaire_net)*($D$69:$D$75)*(G$69:G$75)))*$D77</f>
        <v>8250</v>
      </c>
      <c r="I77" s="22"/>
      <c r="J77" s="22"/>
      <c r="K77" s="22">
        <f>(SUMPRODUCT((($B$69:$B$75)=Salaire_net)*($D$69:$D$75)*(H$69:H$75))+SUMPRODUCT((($B$69:$B$75)=Salaire_net)*($D$69:$D$75)*(I$69:I$75))+SUMPRODUCT((($B$69:$B$75)=Salaire_net)*($D$69:$D$75)*(J$69:J$75)))*$D77</f>
        <v>6750</v>
      </c>
      <c r="L77" s="22"/>
      <c r="M77" s="22"/>
      <c r="N77" s="22">
        <f>(SUMPRODUCT((($B$69:$B$75)=Salaire_net)*($D$69:$D$75)*(K$69:K$75))+SUMPRODUCT((($B$69:$B$75)=Salaire_net)*($D$69:$D$75)*(L$69:L$75))+SUMPRODUCT((($B$69:$B$75)=Salaire_net)*($D$69:$D$75)*(M$69:M$75)))*$D77</f>
        <v>6750</v>
      </c>
      <c r="O77" s="22"/>
      <c r="P77" s="22"/>
      <c r="Q77" s="22">
        <f>(SUMPRODUCT((($B$69:$B$75)=Salaire_net)*($D$69:$D$75)*(N$69:N$75))+SUMPRODUCT((($B$69:$B$75)=Salaire_net)*($D$69:$D$75)*(O$69:O$75))+SUMPRODUCT((($B$69:$B$75)=Salaire_net)*($D$69:$D$75)*(P$69:P$75)))*$D77</f>
        <v>6750</v>
      </c>
      <c r="R77" s="22"/>
      <c r="S77" s="22"/>
      <c r="T77" s="22">
        <f>(SUMPRODUCT((($B$69:$B$75)=Salaire_net)*($D$69:$D$75)*(Q$69:Q$75))+SUMPRODUCT((($B$69:$B$75)=Salaire_net)*($D$69:$D$75)*(R$69:R$75))+SUMPRODUCT((($B$69:$B$75)=Salaire_net)*($D$69:$D$75)*(S$69:S$75)))*$D77</f>
        <v>6750</v>
      </c>
      <c r="U77" s="22"/>
      <c r="V77" s="22"/>
      <c r="W77" s="22">
        <f>(SUMPRODUCT((($B$69:$B$75)=Salaire_net)*($D$69:$D$75)*(T$69:T$75))+SUMPRODUCT((($B$69:$B$75)=Salaire_net)*($D$69:$D$75)*(U$69:U$75))+SUMPRODUCT((($B$69:$B$75)=Salaire_net)*($D$69:$D$75)*(V$69:V$75)))*$D77</f>
        <v>6750</v>
      </c>
      <c r="X77" s="22"/>
      <c r="Y77" s="22"/>
      <c r="Z77" s="22">
        <f>(SUMPRODUCT((($B$69:$B$75)=Salaire_net)*($D$69:$D$75)*(W$69:W$75))+SUMPRODUCT((($B$69:$B$75)=Salaire_net)*($D$69:$D$75)*(X$69:X$75))+SUMPRODUCT((($B$69:$B$75)=Salaire_net)*($D$69:$D$75)*(Y$69:Y$75)))*$D77</f>
        <v>9187.5</v>
      </c>
      <c r="AA77" s="22"/>
      <c r="AB77" s="22"/>
    </row>
    <row r="78" spans="1:28" ht="15.6" customHeight="1" collapsed="1" x14ac:dyDescent="0.25">
      <c r="A78" s="106" t="s">
        <v>43</v>
      </c>
      <c r="B78" s="107" t="s">
        <v>66</v>
      </c>
      <c r="C78" s="108" t="str">
        <f>Delai_reactivite&amp;" mois"</f>
        <v>3 mois</v>
      </c>
      <c r="D78" s="109"/>
      <c r="E78" s="117">
        <f t="shared" ref="E78:AB78" ca="1" si="15">IF(DATE(E$1,E$2-Delai_reactivite,1)&lt;=TODAY(),SUM(E79:E88),SUMPRODUCT(E79:E88,$D79:$D88))+IF(DATE(E$1,E$2,1)&lt;=TODAY(),E89,E90)</f>
        <v>0</v>
      </c>
      <c r="F78" s="117">
        <f t="shared" ca="1" si="15"/>
        <v>3241.34</v>
      </c>
      <c r="G78" s="117">
        <f t="shared" ca="1" si="15"/>
        <v>7021.34</v>
      </c>
      <c r="H78" s="117">
        <f t="shared" ca="1" si="15"/>
        <v>538.64</v>
      </c>
      <c r="I78" s="117">
        <f t="shared" ca="1" si="15"/>
        <v>2321.34</v>
      </c>
      <c r="J78" s="117">
        <f t="shared" ca="1" si="15"/>
        <v>2321.34</v>
      </c>
      <c r="K78" s="117">
        <f t="shared" ca="1" si="15"/>
        <v>5621.34</v>
      </c>
      <c r="L78" s="117">
        <f t="shared" ca="1" si="15"/>
        <v>2321.34</v>
      </c>
      <c r="M78" s="117">
        <f t="shared" ca="1" si="15"/>
        <v>3121.34</v>
      </c>
      <c r="N78" s="117">
        <f t="shared" ca="1" si="15"/>
        <v>8771.34</v>
      </c>
      <c r="O78" s="117">
        <f t="shared" ca="1" si="15"/>
        <v>2321.34</v>
      </c>
      <c r="P78" s="117">
        <f t="shared" ca="1" si="15"/>
        <v>2321.34</v>
      </c>
      <c r="Q78" s="117">
        <f t="shared" ca="1" si="15"/>
        <v>7271.34</v>
      </c>
      <c r="R78" s="117">
        <f t="shared" ca="1" si="15"/>
        <v>2321.34</v>
      </c>
      <c r="S78" s="117">
        <f t="shared" ca="1" si="15"/>
        <v>7221.34</v>
      </c>
      <c r="T78" s="117">
        <f t="shared" ca="1" si="15"/>
        <v>8771.34</v>
      </c>
      <c r="U78" s="117">
        <f t="shared" ca="1" si="15"/>
        <v>2321.34</v>
      </c>
      <c r="V78" s="117">
        <f t="shared" ca="1" si="15"/>
        <v>2321.34</v>
      </c>
      <c r="W78" s="117">
        <f t="shared" ca="1" si="15"/>
        <v>7271.34</v>
      </c>
      <c r="X78" s="117">
        <f t="shared" ca="1" si="15"/>
        <v>2321.34</v>
      </c>
      <c r="Y78" s="117">
        <f t="shared" ca="1" si="15"/>
        <v>22321.34</v>
      </c>
      <c r="Z78" s="117">
        <f t="shared" ca="1" si="15"/>
        <v>8771.34</v>
      </c>
      <c r="AA78" s="117">
        <f t="shared" ca="1" si="15"/>
        <v>2321.34</v>
      </c>
      <c r="AB78" s="117">
        <f t="shared" ca="1" si="15"/>
        <v>2321.34</v>
      </c>
    </row>
    <row r="79" spans="1:28" s="15" customFormat="1" ht="15.6" hidden="1" customHeight="1" outlineLevel="1" x14ac:dyDescent="0.25">
      <c r="A79" s="56" t="s">
        <v>145</v>
      </c>
      <c r="B79" s="57" t="s">
        <v>40</v>
      </c>
      <c r="C79" s="57" t="s">
        <v>9</v>
      </c>
      <c r="D79" s="7">
        <f>IFERROR(VLOOKUP(C79,Parametres!A$60:B$62,2,FALSE),0%)</f>
        <v>1</v>
      </c>
      <c r="E79" s="58"/>
      <c r="F79" s="58">
        <v>66.34</v>
      </c>
      <c r="G79" s="58">
        <v>66.34</v>
      </c>
      <c r="H79" s="58">
        <v>66.34</v>
      </c>
      <c r="I79" s="58">
        <v>66.34</v>
      </c>
      <c r="J79" s="58">
        <v>66.34</v>
      </c>
      <c r="K79" s="58">
        <v>66.34</v>
      </c>
      <c r="L79" s="58">
        <v>66.34</v>
      </c>
      <c r="M79" s="58">
        <v>66.34</v>
      </c>
      <c r="N79" s="58">
        <v>66.34</v>
      </c>
      <c r="O79" s="58">
        <v>66.34</v>
      </c>
      <c r="P79" s="58">
        <v>66.34</v>
      </c>
      <c r="Q79" s="58">
        <v>66.34</v>
      </c>
      <c r="R79" s="58">
        <v>66.34</v>
      </c>
      <c r="S79" s="58">
        <v>66.34</v>
      </c>
      <c r="T79" s="58">
        <v>66.34</v>
      </c>
      <c r="U79" s="58">
        <v>66.34</v>
      </c>
      <c r="V79" s="58">
        <v>66.34</v>
      </c>
      <c r="W79" s="58">
        <v>66.34</v>
      </c>
      <c r="X79" s="58">
        <v>66.34</v>
      </c>
      <c r="Y79" s="58">
        <v>66.34</v>
      </c>
      <c r="Z79" s="58">
        <v>66.34</v>
      </c>
      <c r="AA79" s="58">
        <v>66.34</v>
      </c>
      <c r="AB79" s="58">
        <v>66.34</v>
      </c>
    </row>
    <row r="80" spans="1:28" s="15" customFormat="1" ht="15.6" hidden="1" customHeight="1" outlineLevel="1" x14ac:dyDescent="0.25">
      <c r="A80" s="56" t="s">
        <v>146</v>
      </c>
      <c r="B80" s="57" t="s">
        <v>40</v>
      </c>
      <c r="C80" s="57" t="s">
        <v>9</v>
      </c>
      <c r="D80" s="7">
        <f>IFERROR(VLOOKUP(C80,Parametres!A$60:B$62,2,FALSE),0%)</f>
        <v>1</v>
      </c>
      <c r="E80" s="58"/>
      <c r="F80" s="58">
        <v>55</v>
      </c>
      <c r="G80" s="58">
        <v>55</v>
      </c>
      <c r="H80" s="58">
        <v>55</v>
      </c>
      <c r="I80" s="58">
        <v>55</v>
      </c>
      <c r="J80" s="58">
        <v>55</v>
      </c>
      <c r="K80" s="58">
        <v>55</v>
      </c>
      <c r="L80" s="58">
        <v>55</v>
      </c>
      <c r="M80" s="58">
        <v>55</v>
      </c>
      <c r="N80" s="58">
        <v>55</v>
      </c>
      <c r="O80" s="58">
        <v>55</v>
      </c>
      <c r="P80" s="58">
        <v>55</v>
      </c>
      <c r="Q80" s="58">
        <v>55</v>
      </c>
      <c r="R80" s="58">
        <v>55</v>
      </c>
      <c r="S80" s="58">
        <v>55</v>
      </c>
      <c r="T80" s="58">
        <v>55</v>
      </c>
      <c r="U80" s="58">
        <v>55</v>
      </c>
      <c r="V80" s="58">
        <v>55</v>
      </c>
      <c r="W80" s="58">
        <v>55</v>
      </c>
      <c r="X80" s="58">
        <v>55</v>
      </c>
      <c r="Y80" s="58">
        <v>55</v>
      </c>
      <c r="Z80" s="58">
        <v>55</v>
      </c>
      <c r="AA80" s="58">
        <v>55</v>
      </c>
      <c r="AB80" s="58">
        <v>55</v>
      </c>
    </row>
    <row r="81" spans="1:28" s="15" customFormat="1" ht="15.6" hidden="1" customHeight="1" outlineLevel="1" x14ac:dyDescent="0.25">
      <c r="A81" s="56" t="s">
        <v>155</v>
      </c>
      <c r="B81" s="57" t="s">
        <v>40</v>
      </c>
      <c r="C81" s="57" t="s">
        <v>9</v>
      </c>
      <c r="D81" s="7">
        <f>IFERROR(VLOOKUP(C81,Parametres!A$60:B$62,2,FALSE),0%)</f>
        <v>1</v>
      </c>
      <c r="E81" s="58"/>
      <c r="F81" s="58"/>
      <c r="G81" s="58">
        <v>2000</v>
      </c>
      <c r="H81" s="58">
        <v>417.3</v>
      </c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</row>
    <row r="82" spans="1:28" s="15" customFormat="1" ht="15.6" hidden="1" customHeight="1" outlineLevel="1" x14ac:dyDescent="0.25">
      <c r="A82" s="56" t="s">
        <v>159</v>
      </c>
      <c r="B82" s="57" t="s">
        <v>40</v>
      </c>
      <c r="C82" s="57" t="s">
        <v>9</v>
      </c>
      <c r="D82" s="7">
        <f>IFERROR(VLOOKUP(C82,Parametres!A$60:B$62,2,FALSE),0%)</f>
        <v>1</v>
      </c>
      <c r="E82" s="58"/>
      <c r="F82" s="58">
        <v>720</v>
      </c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</row>
    <row r="83" spans="1:28" s="15" customFormat="1" ht="15.6" hidden="1" customHeight="1" outlineLevel="1" x14ac:dyDescent="0.25">
      <c r="A83" s="56" t="s">
        <v>165</v>
      </c>
      <c r="B83" s="57" t="s">
        <v>40</v>
      </c>
      <c r="C83" s="57" t="s">
        <v>9</v>
      </c>
      <c r="D83" s="7">
        <f>IFERROR(VLOOKUP(C83,Parametres!A$60:B$62,2,FALSE),0%)</f>
        <v>1</v>
      </c>
      <c r="E83" s="58"/>
      <c r="F83" s="58">
        <v>2400</v>
      </c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</row>
    <row r="84" spans="1:28" s="15" customFormat="1" ht="15.6" hidden="1" customHeight="1" outlineLevel="1" x14ac:dyDescent="0.25">
      <c r="A84" s="56" t="s">
        <v>166</v>
      </c>
      <c r="B84" s="57" t="s">
        <v>40</v>
      </c>
      <c r="C84" s="57" t="s">
        <v>9</v>
      </c>
      <c r="D84" s="7">
        <f>IFERROR(VLOOKUP(C84,Parametres!A$60:B$62,2,FALSE),0%)</f>
        <v>1</v>
      </c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</row>
    <row r="85" spans="1:28" s="15" customFormat="1" ht="15.6" hidden="1" customHeight="1" outlineLevel="1" x14ac:dyDescent="0.25">
      <c r="A85" s="56" t="s">
        <v>204</v>
      </c>
      <c r="B85" s="57" t="s">
        <v>45</v>
      </c>
      <c r="C85" s="57" t="s">
        <v>9</v>
      </c>
      <c r="D85" s="7">
        <f>IFERROR(VLOOKUP(C85,Parametres!A$60:B$62,2,FALSE),0%)</f>
        <v>1</v>
      </c>
      <c r="E85" s="58"/>
      <c r="F85" s="58"/>
      <c r="G85" s="58"/>
      <c r="H85" s="58"/>
      <c r="I85" s="58">
        <v>2200</v>
      </c>
      <c r="J85" s="58">
        <v>2200</v>
      </c>
      <c r="K85" s="58">
        <v>2200</v>
      </c>
      <c r="L85" s="58">
        <v>2200</v>
      </c>
      <c r="M85" s="58">
        <v>2200</v>
      </c>
      <c r="N85" s="58">
        <v>2200</v>
      </c>
      <c r="O85" s="58">
        <v>2200</v>
      </c>
      <c r="P85" s="58">
        <v>2200</v>
      </c>
      <c r="Q85" s="58">
        <v>2200</v>
      </c>
      <c r="R85" s="58">
        <v>2200</v>
      </c>
      <c r="S85" s="58">
        <v>2200</v>
      </c>
      <c r="T85" s="58">
        <v>2200</v>
      </c>
      <c r="U85" s="58">
        <v>2200</v>
      </c>
      <c r="V85" s="58">
        <v>2200</v>
      </c>
      <c r="W85" s="58">
        <v>2200</v>
      </c>
      <c r="X85" s="58">
        <v>2200</v>
      </c>
      <c r="Y85" s="58">
        <v>2200</v>
      </c>
      <c r="Z85" s="58">
        <v>2200</v>
      </c>
      <c r="AA85" s="58">
        <v>2200</v>
      </c>
      <c r="AB85" s="58">
        <v>2200</v>
      </c>
    </row>
    <row r="86" spans="1:28" s="15" customFormat="1" ht="15.6" hidden="1" customHeight="1" outlineLevel="1" x14ac:dyDescent="0.25">
      <c r="A86" s="56" t="s">
        <v>214</v>
      </c>
      <c r="B86" s="57" t="s">
        <v>40</v>
      </c>
      <c r="C86" s="57" t="s">
        <v>9</v>
      </c>
      <c r="D86" s="7">
        <f>IFERROR(VLOOKUP(C86,Parametres!A$60:B$62,2,FALSE),0%)</f>
        <v>1</v>
      </c>
      <c r="E86" s="58"/>
      <c r="F86" s="58"/>
      <c r="G86" s="58">
        <v>4900</v>
      </c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>
        <v>4900</v>
      </c>
      <c r="T86" s="58"/>
      <c r="U86" s="58"/>
      <c r="V86" s="58"/>
      <c r="W86" s="58"/>
      <c r="X86" s="58"/>
      <c r="Y86" s="58"/>
      <c r="Z86" s="58"/>
      <c r="AA86" s="58"/>
      <c r="AB86" s="58"/>
    </row>
    <row r="87" spans="1:28" s="15" customFormat="1" ht="15.6" hidden="1" customHeight="1" outlineLevel="1" x14ac:dyDescent="0.25">
      <c r="A87" s="56" t="s">
        <v>215</v>
      </c>
      <c r="B87" s="57" t="s">
        <v>40</v>
      </c>
      <c r="C87" s="57" t="s">
        <v>9</v>
      </c>
      <c r="D87" s="7">
        <f>IFERROR(VLOOKUP(C87,Parametres!A$60:B$62,2,FALSE),0%)</f>
        <v>1</v>
      </c>
      <c r="E87" s="58"/>
      <c r="F87" s="58"/>
      <c r="G87" s="58"/>
      <c r="H87" s="58"/>
      <c r="I87" s="58"/>
      <c r="J87" s="58"/>
      <c r="K87" s="58"/>
      <c r="L87" s="58"/>
      <c r="M87" s="58">
        <v>800</v>
      </c>
      <c r="N87" s="58">
        <v>1500</v>
      </c>
      <c r="O87" s="58"/>
      <c r="P87" s="58"/>
      <c r="Q87" s="58"/>
      <c r="R87" s="58"/>
      <c r="S87" s="58"/>
      <c r="T87" s="58">
        <v>1500</v>
      </c>
      <c r="U87" s="58"/>
      <c r="V87" s="58"/>
      <c r="W87" s="58"/>
      <c r="X87" s="58"/>
      <c r="Y87" s="58">
        <v>20000</v>
      </c>
      <c r="Z87" s="58">
        <v>1500</v>
      </c>
      <c r="AA87" s="58"/>
      <c r="AB87" s="58"/>
    </row>
    <row r="88" spans="1:28" s="73" customFormat="1" ht="14.45" hidden="1" customHeight="1" outlineLevel="1" x14ac:dyDescent="0.25">
      <c r="A88" s="74" t="s">
        <v>219</v>
      </c>
      <c r="B88" s="75"/>
      <c r="C88" s="75"/>
      <c r="D88" s="7">
        <f>IFERROR(VLOOKUP(C88,Parametres!A$60:B$62,2,FALSE),0%)</f>
        <v>0</v>
      </c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</row>
    <row r="89" spans="1:28" s="15" customFormat="1" ht="15.6" hidden="1" customHeight="1" outlineLevel="1" x14ac:dyDescent="0.25">
      <c r="A89" s="41" t="s">
        <v>68</v>
      </c>
      <c r="B89" s="42"/>
      <c r="C89" s="42"/>
      <c r="D89" s="7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</row>
    <row r="90" spans="1:28" s="15" customFormat="1" ht="15.6" hidden="1" customHeight="1" outlineLevel="1" x14ac:dyDescent="0.25">
      <c r="A90" s="20" t="s">
        <v>67</v>
      </c>
      <c r="B90" s="21"/>
      <c r="C90" s="21"/>
      <c r="D90" s="60">
        <v>0.75</v>
      </c>
      <c r="E90" s="22"/>
      <c r="F90" s="22"/>
      <c r="G90" s="22"/>
      <c r="H90" s="22">
        <f>(SUMPRODUCT((($B$79:$B$88)=Salaire_net)*($D$79:$D$88)*(E$79:E$88))+SUMPRODUCT((($B$79:$B$88)=Salaire_net)*($D$79:$D$88)*(F$79:F$88))+SUMPRODUCT((($B$79:$B$88)=Salaire_net)*($D$79:$D$88)*(G$79:G$88)))*$D90</f>
        <v>0</v>
      </c>
      <c r="I90" s="22"/>
      <c r="J90" s="22"/>
      <c r="K90" s="22">
        <f>(SUMPRODUCT((($B$79:$B$88)=Salaire_net)*($D$79:$D$88)*(H$79:H$88))+SUMPRODUCT((($B$79:$B$88)=Salaire_net)*($D$79:$D$88)*(I$79:I$88))+SUMPRODUCT((($B$79:$B$88)=Salaire_net)*($D$79:$D$88)*(J$79:J$88)))*$D90</f>
        <v>3300</v>
      </c>
      <c r="L90" s="22"/>
      <c r="M90" s="22"/>
      <c r="N90" s="22">
        <f>(SUMPRODUCT((($B$79:$B$88)=Salaire_net)*($D$79:$D$88)*(K$79:K$88))+SUMPRODUCT((($B$79:$B$88)=Salaire_net)*($D$79:$D$88)*(L$79:L$88))+SUMPRODUCT((($B$79:$B$88)=Salaire_net)*($D$79:$D$88)*(M$79:M$88)))*$D90</f>
        <v>4950</v>
      </c>
      <c r="O90" s="22"/>
      <c r="P90" s="22"/>
      <c r="Q90" s="22">
        <f>(SUMPRODUCT((($B$79:$B$88)=Salaire_net)*($D$79:$D$88)*(N$79:N$88))+SUMPRODUCT((($B$79:$B$88)=Salaire_net)*($D$79:$D$88)*(O$79:O$88))+SUMPRODUCT((($B$79:$B$88)=Salaire_net)*($D$79:$D$88)*(P$79:P$88)))*$D90</f>
        <v>4950</v>
      </c>
      <c r="R90" s="22"/>
      <c r="S90" s="22"/>
      <c r="T90" s="22">
        <f>(SUMPRODUCT((($B$79:$B$88)=Salaire_net)*($D$79:$D$88)*(Q$79:Q$88))+SUMPRODUCT((($B$79:$B$88)=Salaire_net)*($D$79:$D$88)*(R$79:R$88))+SUMPRODUCT((($B$79:$B$88)=Salaire_net)*($D$79:$D$88)*(S$79:S$88)))*$D90</f>
        <v>4950</v>
      </c>
      <c r="U90" s="22"/>
      <c r="V90" s="22"/>
      <c r="W90" s="22">
        <f>(SUMPRODUCT((($B$79:$B$88)=Salaire_net)*($D$79:$D$88)*(T$79:T$88))+SUMPRODUCT((($B$79:$B$88)=Salaire_net)*($D$79:$D$88)*(U$79:U$88))+SUMPRODUCT((($B$79:$B$88)=Salaire_net)*($D$79:$D$88)*(V$79:V$88)))*$D90</f>
        <v>4950</v>
      </c>
      <c r="X90" s="22"/>
      <c r="Y90" s="22"/>
      <c r="Z90" s="22">
        <f>(SUMPRODUCT((($B$79:$B$88)=Salaire_net)*($D$79:$D$88)*(W$79:W$88))+SUMPRODUCT((($B$79:$B$88)=Salaire_net)*($D$79:$D$88)*(X$79:X$88))+SUMPRODUCT((($B$79:$B$88)=Salaire_net)*($D$79:$D$88)*(Y$79:Y$88)))*$D90</f>
        <v>4950</v>
      </c>
      <c r="AA90" s="22"/>
      <c r="AB90" s="22"/>
    </row>
    <row r="91" spans="1:28" ht="15.6" customHeight="1" collapsed="1" x14ac:dyDescent="0.25">
      <c r="A91" s="106" t="s">
        <v>44</v>
      </c>
      <c r="B91" s="107" t="s">
        <v>66</v>
      </c>
      <c r="C91" s="108" t="str">
        <f>Delai_reactivite&amp;" mois"</f>
        <v>3 mois</v>
      </c>
      <c r="D91" s="109"/>
      <c r="E91" s="117">
        <f t="shared" ref="E91:AB91" ca="1" si="16">IF(DATE(E$1,E$2-Delai_reactivite,1)&lt;=TODAY(),SUM(E92:E106),SUMPRODUCT(E92:E106,$D92:$D106))+IF(DATE(E$1,E$2,1)&lt;=TODAY(),E107,E108)</f>
        <v>0</v>
      </c>
      <c r="F91" s="117">
        <f t="shared" ca="1" si="16"/>
        <v>2991</v>
      </c>
      <c r="G91" s="117">
        <f t="shared" ca="1" si="16"/>
        <v>7304.12</v>
      </c>
      <c r="H91" s="117">
        <f t="shared" ca="1" si="16"/>
        <v>5261</v>
      </c>
      <c r="I91" s="117">
        <f t="shared" ca="1" si="16"/>
        <v>2349</v>
      </c>
      <c r="J91" s="117">
        <f t="shared" ca="1" si="16"/>
        <v>2349</v>
      </c>
      <c r="K91" s="117">
        <f t="shared" ca="1" si="16"/>
        <v>2349</v>
      </c>
      <c r="L91" s="117">
        <f t="shared" ca="1" si="16"/>
        <v>1949</v>
      </c>
      <c r="M91" s="117">
        <f t="shared" ca="1" si="16"/>
        <v>1949</v>
      </c>
      <c r="N91" s="117">
        <f t="shared" ca="1" si="16"/>
        <v>3949</v>
      </c>
      <c r="O91" s="117">
        <f t="shared" ca="1" si="16"/>
        <v>1949</v>
      </c>
      <c r="P91" s="117">
        <f t="shared" ca="1" si="16"/>
        <v>1949</v>
      </c>
      <c r="Q91" s="117">
        <f t="shared" ca="1" si="16"/>
        <v>1949</v>
      </c>
      <c r="R91" s="117">
        <f t="shared" ca="1" si="16"/>
        <v>1949</v>
      </c>
      <c r="S91" s="117">
        <f t="shared" ca="1" si="16"/>
        <v>1949</v>
      </c>
      <c r="T91" s="117">
        <f t="shared" ca="1" si="16"/>
        <v>1949</v>
      </c>
      <c r="U91" s="117">
        <f t="shared" ca="1" si="16"/>
        <v>1949</v>
      </c>
      <c r="V91" s="117">
        <f t="shared" ca="1" si="16"/>
        <v>1949</v>
      </c>
      <c r="W91" s="117">
        <f t="shared" ca="1" si="16"/>
        <v>1949</v>
      </c>
      <c r="X91" s="117">
        <f t="shared" ca="1" si="16"/>
        <v>1949</v>
      </c>
      <c r="Y91" s="117">
        <f t="shared" ca="1" si="16"/>
        <v>4149</v>
      </c>
      <c r="Z91" s="117">
        <f t="shared" ca="1" si="16"/>
        <v>2149</v>
      </c>
      <c r="AA91" s="117">
        <f t="shared" ca="1" si="16"/>
        <v>2149</v>
      </c>
      <c r="AB91" s="117">
        <f t="shared" ca="1" si="16"/>
        <v>2149</v>
      </c>
    </row>
    <row r="92" spans="1:28" s="15" customFormat="1" ht="15.6" hidden="1" customHeight="1" outlineLevel="1" x14ac:dyDescent="0.25">
      <c r="A92" s="56" t="s">
        <v>144</v>
      </c>
      <c r="B92" s="57" t="s">
        <v>94</v>
      </c>
      <c r="C92" s="57" t="s">
        <v>9</v>
      </c>
      <c r="D92" s="7">
        <f>IFERROR(VLOOKUP(C92,Parametres!A$60:B$62,2,FALSE),0%)</f>
        <v>1</v>
      </c>
      <c r="E92" s="58"/>
      <c r="F92" s="58"/>
      <c r="G92" s="58">
        <v>60.32</v>
      </c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</row>
    <row r="93" spans="1:28" s="15" customFormat="1" ht="15.6" hidden="1" customHeight="1" outlineLevel="1" x14ac:dyDescent="0.25">
      <c r="A93" s="56" t="s">
        <v>147</v>
      </c>
      <c r="B93" s="57" t="s">
        <v>94</v>
      </c>
      <c r="C93" s="57" t="s">
        <v>9</v>
      </c>
      <c r="D93" s="7">
        <f>IFERROR(VLOOKUP(C93,Parametres!A$60:B$62,2,FALSE),0%)</f>
        <v>1</v>
      </c>
      <c r="E93" s="58"/>
      <c r="F93" s="58">
        <v>59</v>
      </c>
      <c r="G93" s="58">
        <v>59</v>
      </c>
      <c r="H93" s="58">
        <v>59</v>
      </c>
      <c r="I93" s="58">
        <v>59</v>
      </c>
      <c r="J93" s="58">
        <v>59</v>
      </c>
      <c r="K93" s="58">
        <v>59</v>
      </c>
      <c r="L93" s="58">
        <v>59</v>
      </c>
      <c r="M93" s="58">
        <v>59</v>
      </c>
      <c r="N93" s="58">
        <v>59</v>
      </c>
      <c r="O93" s="58">
        <v>59</v>
      </c>
      <c r="P93" s="58">
        <v>59</v>
      </c>
      <c r="Q93" s="58">
        <v>59</v>
      </c>
      <c r="R93" s="58">
        <v>59</v>
      </c>
      <c r="S93" s="58">
        <v>59</v>
      </c>
      <c r="T93" s="58">
        <v>59</v>
      </c>
      <c r="U93" s="58">
        <v>59</v>
      </c>
      <c r="V93" s="58">
        <v>59</v>
      </c>
      <c r="W93" s="58">
        <v>59</v>
      </c>
      <c r="X93" s="58">
        <v>59</v>
      </c>
      <c r="Y93" s="58">
        <v>59</v>
      </c>
      <c r="Z93" s="58">
        <v>59</v>
      </c>
      <c r="AA93" s="58">
        <v>59</v>
      </c>
      <c r="AB93" s="58">
        <v>59</v>
      </c>
    </row>
    <row r="94" spans="1:28" s="15" customFormat="1" ht="15.6" hidden="1" customHeight="1" outlineLevel="1" x14ac:dyDescent="0.25">
      <c r="A94" s="56" t="s">
        <v>149</v>
      </c>
      <c r="B94" s="57" t="s">
        <v>42</v>
      </c>
      <c r="C94" s="57" t="s">
        <v>9</v>
      </c>
      <c r="D94" s="7">
        <f>IFERROR(VLOOKUP(C94,Parametres!A$60:B$62,2,FALSE),0%)</f>
        <v>1</v>
      </c>
      <c r="E94" s="58"/>
      <c r="F94" s="58">
        <v>500</v>
      </c>
      <c r="G94" s="58">
        <v>500</v>
      </c>
      <c r="H94" s="58">
        <v>500</v>
      </c>
      <c r="I94" s="58">
        <v>500</v>
      </c>
      <c r="J94" s="58">
        <v>500</v>
      </c>
      <c r="K94" s="58">
        <v>500</v>
      </c>
      <c r="L94" s="58">
        <v>500</v>
      </c>
      <c r="M94" s="58">
        <v>500</v>
      </c>
      <c r="N94" s="58">
        <v>500</v>
      </c>
      <c r="O94" s="58">
        <v>500</v>
      </c>
      <c r="P94" s="58">
        <v>500</v>
      </c>
      <c r="Q94" s="58">
        <v>500</v>
      </c>
      <c r="R94" s="58">
        <v>500</v>
      </c>
      <c r="S94" s="58">
        <v>500</v>
      </c>
      <c r="T94" s="58">
        <v>500</v>
      </c>
      <c r="U94" s="58">
        <v>500</v>
      </c>
      <c r="V94" s="58">
        <v>500</v>
      </c>
      <c r="W94" s="58">
        <v>500</v>
      </c>
      <c r="X94" s="58">
        <v>500</v>
      </c>
      <c r="Y94" s="58">
        <v>500</v>
      </c>
      <c r="Z94" s="58">
        <v>500</v>
      </c>
      <c r="AA94" s="58">
        <v>500</v>
      </c>
      <c r="AB94" s="58">
        <v>500</v>
      </c>
    </row>
    <row r="95" spans="1:28" s="15" customFormat="1" ht="15.6" hidden="1" customHeight="1" outlineLevel="1" x14ac:dyDescent="0.25">
      <c r="A95" s="56" t="s">
        <v>152</v>
      </c>
      <c r="B95" s="57" t="s">
        <v>94</v>
      </c>
      <c r="C95" s="57" t="s">
        <v>9</v>
      </c>
      <c r="D95" s="7">
        <f>IFERROR(VLOOKUP(C95,Parametres!A$60:B$62,2,FALSE),0%)</f>
        <v>1</v>
      </c>
      <c r="E95" s="58"/>
      <c r="F95" s="58">
        <v>200</v>
      </c>
      <c r="G95" s="58">
        <v>200</v>
      </c>
      <c r="H95" s="58">
        <v>200</v>
      </c>
      <c r="I95" s="58">
        <v>200</v>
      </c>
      <c r="J95" s="58">
        <v>200</v>
      </c>
      <c r="K95" s="58">
        <v>200</v>
      </c>
      <c r="L95" s="58">
        <v>200</v>
      </c>
      <c r="M95" s="58">
        <v>200</v>
      </c>
      <c r="N95" s="58">
        <v>200</v>
      </c>
      <c r="O95" s="58">
        <v>200</v>
      </c>
      <c r="P95" s="58">
        <v>200</v>
      </c>
      <c r="Q95" s="58">
        <v>200</v>
      </c>
      <c r="R95" s="58">
        <v>200</v>
      </c>
      <c r="S95" s="58">
        <v>200</v>
      </c>
      <c r="T95" s="58">
        <v>200</v>
      </c>
      <c r="U95" s="58">
        <v>200</v>
      </c>
      <c r="V95" s="58">
        <v>200</v>
      </c>
      <c r="W95" s="58">
        <v>200</v>
      </c>
      <c r="X95" s="58">
        <v>200</v>
      </c>
      <c r="Y95" s="58">
        <v>200</v>
      </c>
      <c r="Z95" s="58">
        <v>200</v>
      </c>
      <c r="AA95" s="58">
        <v>200</v>
      </c>
      <c r="AB95" s="58">
        <v>200</v>
      </c>
    </row>
    <row r="96" spans="1:28" s="15" customFormat="1" ht="15.6" hidden="1" customHeight="1" outlineLevel="1" x14ac:dyDescent="0.25">
      <c r="A96" s="56" t="s">
        <v>154</v>
      </c>
      <c r="B96" s="57" t="s">
        <v>40</v>
      </c>
      <c r="C96" s="57" t="s">
        <v>9</v>
      </c>
      <c r="D96" s="7">
        <f>IFERROR(VLOOKUP(C96,Parametres!A$60:B$62,2,FALSE),0%)</f>
        <v>1</v>
      </c>
      <c r="E96" s="58"/>
      <c r="F96" s="58">
        <v>2232</v>
      </c>
      <c r="G96" s="58"/>
      <c r="H96" s="58">
        <v>672</v>
      </c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</row>
    <row r="97" spans="1:28" s="15" customFormat="1" ht="15.6" hidden="1" customHeight="1" outlineLevel="1" x14ac:dyDescent="0.25">
      <c r="A97" s="56" t="s">
        <v>156</v>
      </c>
      <c r="B97" s="57" t="s">
        <v>40</v>
      </c>
      <c r="C97" s="57" t="s">
        <v>9</v>
      </c>
      <c r="D97" s="7">
        <f>IFERROR(VLOOKUP(C97,Parametres!A$60:B$62,2,FALSE),0%)</f>
        <v>1</v>
      </c>
      <c r="E97" s="58"/>
      <c r="F97" s="58"/>
      <c r="G97" s="58"/>
      <c r="H97" s="58">
        <v>1440</v>
      </c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</row>
    <row r="98" spans="1:28" s="15" customFormat="1" ht="15.6" hidden="1" customHeight="1" outlineLevel="1" x14ac:dyDescent="0.25">
      <c r="A98" s="56" t="s">
        <v>157</v>
      </c>
      <c r="B98" s="57" t="s">
        <v>40</v>
      </c>
      <c r="C98" s="57" t="s">
        <v>8</v>
      </c>
      <c r="D98" s="7">
        <f>IFERROR(VLOOKUP(C98,Parametres!A$60:B$62,2,FALSE),0%)</f>
        <v>0.5</v>
      </c>
      <c r="E98" s="58"/>
      <c r="F98" s="58"/>
      <c r="G98" s="58">
        <v>240</v>
      </c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</row>
    <row r="99" spans="1:28" s="15" customFormat="1" ht="15.6" hidden="1" customHeight="1" outlineLevel="1" x14ac:dyDescent="0.25">
      <c r="A99" s="56" t="s">
        <v>158</v>
      </c>
      <c r="B99" s="57" t="s">
        <v>40</v>
      </c>
      <c r="C99" s="57" t="s">
        <v>9</v>
      </c>
      <c r="D99" s="7">
        <f>IFERROR(VLOOKUP(C99,Parametres!A$60:B$62,2,FALSE),0%)</f>
        <v>1</v>
      </c>
      <c r="E99" s="58"/>
      <c r="F99" s="58"/>
      <c r="G99" s="58">
        <v>184.8</v>
      </c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</row>
    <row r="100" spans="1:28" s="15" customFormat="1" ht="15.6" hidden="1" customHeight="1" outlineLevel="1" x14ac:dyDescent="0.25">
      <c r="A100" s="56" t="s">
        <v>169</v>
      </c>
      <c r="B100" s="57" t="s">
        <v>40</v>
      </c>
      <c r="C100" s="57" t="s">
        <v>9</v>
      </c>
      <c r="D100" s="7">
        <f>IFERROR(VLOOKUP(C100,Parametres!A$60:B$62,2,FALSE),0%)</f>
        <v>1</v>
      </c>
      <c r="E100" s="58"/>
      <c r="F100" s="58"/>
      <c r="G100" s="58">
        <v>1200</v>
      </c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</row>
    <row r="101" spans="1:28" s="15" customFormat="1" ht="15.6" hidden="1" customHeight="1" outlineLevel="1" x14ac:dyDescent="0.25">
      <c r="A101" s="56" t="s">
        <v>170</v>
      </c>
      <c r="B101" s="57" t="s">
        <v>40</v>
      </c>
      <c r="C101" s="57" t="s">
        <v>9</v>
      </c>
      <c r="D101" s="7">
        <f>IFERROR(VLOOKUP(C101,Parametres!A$60:B$62,2,FALSE),0%)</f>
        <v>1</v>
      </c>
      <c r="E101" s="58"/>
      <c r="F101" s="58"/>
      <c r="G101" s="58">
        <v>4860</v>
      </c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</row>
    <row r="102" spans="1:28" s="15" customFormat="1" ht="15.6" hidden="1" customHeight="1" outlineLevel="1" x14ac:dyDescent="0.25">
      <c r="A102" s="56" t="s">
        <v>208</v>
      </c>
      <c r="B102" s="57" t="s">
        <v>65</v>
      </c>
      <c r="C102" s="57" t="s">
        <v>9</v>
      </c>
      <c r="D102" s="7">
        <f>IFERROR(VLOOKUP(C102,Parametres!A$60:B$62,2,FALSE),0%)</f>
        <v>1</v>
      </c>
      <c r="E102" s="58"/>
      <c r="F102" s="58"/>
      <c r="G102" s="58"/>
      <c r="H102" s="58">
        <v>600</v>
      </c>
      <c r="I102" s="58">
        <v>600</v>
      </c>
      <c r="J102" s="58">
        <v>600</v>
      </c>
      <c r="K102" s="58">
        <v>600</v>
      </c>
      <c r="L102" s="58">
        <v>600</v>
      </c>
      <c r="M102" s="58">
        <v>600</v>
      </c>
      <c r="N102" s="58">
        <v>600</v>
      </c>
      <c r="O102" s="58">
        <v>600</v>
      </c>
      <c r="P102" s="58">
        <v>600</v>
      </c>
      <c r="Q102" s="58">
        <v>600</v>
      </c>
      <c r="R102" s="58">
        <v>600</v>
      </c>
      <c r="S102" s="58">
        <v>600</v>
      </c>
      <c r="T102" s="58">
        <v>600</v>
      </c>
      <c r="U102" s="58">
        <v>600</v>
      </c>
      <c r="V102" s="58">
        <v>600</v>
      </c>
      <c r="W102" s="58">
        <v>600</v>
      </c>
      <c r="X102" s="58">
        <v>600</v>
      </c>
      <c r="Y102" s="58">
        <v>600</v>
      </c>
      <c r="Z102" s="58">
        <v>600</v>
      </c>
      <c r="AA102" s="58">
        <v>600</v>
      </c>
      <c r="AB102" s="58">
        <v>600</v>
      </c>
    </row>
    <row r="103" spans="1:28" s="15" customFormat="1" ht="15.6" hidden="1" customHeight="1" outlineLevel="1" x14ac:dyDescent="0.25">
      <c r="A103" s="56" t="s">
        <v>209</v>
      </c>
      <c r="B103" s="57" t="s">
        <v>94</v>
      </c>
      <c r="C103" s="57" t="s">
        <v>9</v>
      </c>
      <c r="D103" s="7">
        <f>IFERROR(VLOOKUP(C103,Parametres!A$60:B$62,2,FALSE),0%)</f>
        <v>1</v>
      </c>
      <c r="E103" s="58"/>
      <c r="F103" s="58"/>
      <c r="G103" s="58"/>
      <c r="H103" s="58">
        <v>190</v>
      </c>
      <c r="I103" s="58">
        <v>190</v>
      </c>
      <c r="J103" s="58">
        <v>190</v>
      </c>
      <c r="K103" s="58">
        <v>190</v>
      </c>
      <c r="L103" s="58">
        <v>190</v>
      </c>
      <c r="M103" s="58">
        <v>190</v>
      </c>
      <c r="N103" s="58">
        <v>190</v>
      </c>
      <c r="O103" s="58">
        <v>190</v>
      </c>
      <c r="P103" s="58">
        <v>190</v>
      </c>
      <c r="Q103" s="58">
        <v>190</v>
      </c>
      <c r="R103" s="58">
        <v>190</v>
      </c>
      <c r="S103" s="58">
        <v>190</v>
      </c>
      <c r="T103" s="58">
        <v>190</v>
      </c>
      <c r="U103" s="58">
        <v>190</v>
      </c>
      <c r="V103" s="58">
        <v>190</v>
      </c>
      <c r="W103" s="58">
        <v>190</v>
      </c>
      <c r="X103" s="58">
        <v>190</v>
      </c>
      <c r="Y103" s="58">
        <v>190</v>
      </c>
      <c r="Z103" s="58">
        <v>190</v>
      </c>
      <c r="AA103" s="58">
        <v>190</v>
      </c>
      <c r="AB103" s="58">
        <v>190</v>
      </c>
    </row>
    <row r="104" spans="1:28" s="15" customFormat="1" ht="15.6" hidden="1" customHeight="1" outlineLevel="1" x14ac:dyDescent="0.25">
      <c r="A104" s="56" t="s">
        <v>211</v>
      </c>
      <c r="B104" s="57" t="s">
        <v>27</v>
      </c>
      <c r="C104" s="57" t="s">
        <v>9</v>
      </c>
      <c r="D104" s="7">
        <f>IFERROR(VLOOKUP(C104,Parametres!A$60:B$62,2,FALSE),0%)</f>
        <v>1</v>
      </c>
      <c r="E104" s="58"/>
      <c r="F104" s="58"/>
      <c r="G104" s="58"/>
      <c r="H104" s="58">
        <v>800</v>
      </c>
      <c r="I104" s="58"/>
      <c r="J104" s="58"/>
      <c r="K104" s="58"/>
      <c r="L104" s="58"/>
      <c r="M104" s="58"/>
      <c r="N104" s="58">
        <v>2000</v>
      </c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>
        <v>2000</v>
      </c>
      <c r="Z104" s="58"/>
      <c r="AA104" s="58"/>
      <c r="AB104" s="58"/>
    </row>
    <row r="105" spans="1:28" s="15" customFormat="1" ht="15.6" hidden="1" customHeight="1" outlineLevel="1" x14ac:dyDescent="0.25">
      <c r="A105" s="56" t="s">
        <v>212</v>
      </c>
      <c r="B105" s="57" t="s">
        <v>42</v>
      </c>
      <c r="C105" s="57" t="s">
        <v>8</v>
      </c>
      <c r="D105" s="7">
        <f>IFERROR(VLOOKUP(C105,Parametres!A$60:B$62,2,FALSE),0%)</f>
        <v>0.5</v>
      </c>
      <c r="E105" s="58"/>
      <c r="F105" s="58"/>
      <c r="G105" s="58"/>
      <c r="H105" s="58">
        <v>800</v>
      </c>
      <c r="I105" s="58">
        <v>800</v>
      </c>
      <c r="J105" s="58">
        <v>800</v>
      </c>
      <c r="K105" s="58">
        <v>800</v>
      </c>
      <c r="L105" s="58">
        <v>800</v>
      </c>
      <c r="M105" s="58">
        <v>800</v>
      </c>
      <c r="N105" s="58">
        <v>800</v>
      </c>
      <c r="O105" s="58">
        <v>800</v>
      </c>
      <c r="P105" s="58">
        <v>800</v>
      </c>
      <c r="Q105" s="58">
        <v>800</v>
      </c>
      <c r="R105" s="58">
        <v>800</v>
      </c>
      <c r="S105" s="58">
        <v>800</v>
      </c>
      <c r="T105" s="58">
        <v>800</v>
      </c>
      <c r="U105" s="58">
        <v>800</v>
      </c>
      <c r="V105" s="58">
        <v>800</v>
      </c>
      <c r="W105" s="58">
        <v>800</v>
      </c>
      <c r="X105" s="58">
        <v>800</v>
      </c>
      <c r="Y105" s="58">
        <v>1200</v>
      </c>
      <c r="Z105" s="58">
        <v>1200</v>
      </c>
      <c r="AA105" s="58">
        <v>1200</v>
      </c>
      <c r="AB105" s="58">
        <v>1200</v>
      </c>
    </row>
    <row r="106" spans="1:28" s="73" customFormat="1" ht="14.45" hidden="1" customHeight="1" outlineLevel="1" x14ac:dyDescent="0.25">
      <c r="A106" s="74" t="s">
        <v>219</v>
      </c>
      <c r="B106" s="75"/>
      <c r="C106" s="75"/>
      <c r="D106" s="7">
        <f>IFERROR(VLOOKUP(C106,Parametres!A$60:B$62,2,FALSE),0%)</f>
        <v>0</v>
      </c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</row>
    <row r="107" spans="1:28" s="15" customFormat="1" ht="15.6" hidden="1" customHeight="1" outlineLevel="1" x14ac:dyDescent="0.25">
      <c r="A107" s="41" t="s">
        <v>68</v>
      </c>
      <c r="B107" s="42"/>
      <c r="C107" s="42"/>
      <c r="D107" s="7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</row>
    <row r="108" spans="1:28" s="15" customFormat="1" ht="15.6" hidden="1" customHeight="1" outlineLevel="1" x14ac:dyDescent="0.25">
      <c r="A108" s="20" t="s">
        <v>67</v>
      </c>
      <c r="B108" s="21"/>
      <c r="C108" s="21"/>
      <c r="D108" s="60">
        <v>0.75</v>
      </c>
      <c r="E108" s="22"/>
      <c r="F108" s="22"/>
      <c r="G108" s="22"/>
      <c r="H108" s="22">
        <f>(SUMPRODUCT((($B$92:$B$105)=Salaire_net)*($D$92:$D$105)*(E$92:E$105))+SUMPRODUCT((($B$92:$B$105)=Salaire_net)*($D$92:$D$105)*(F$92:F$105))+SUMPRODUCT((($B$92:$B$105)=Salaire_net)*($D$92:$D$105)*(G$92:G$105)))*$D108</f>
        <v>0</v>
      </c>
      <c r="I108" s="22"/>
      <c r="J108" s="22"/>
      <c r="K108" s="22">
        <f>(SUMPRODUCT((($B$92:$B$105)=Salaire_net)*($D$92:$D$105)*(H$92:H$105))+SUMPRODUCT((($B$92:$B$105)=Salaire_net)*($D$92:$D$105)*(I$92:I$105))+SUMPRODUCT((($B$92:$B$105)=Salaire_net)*($D$92:$D$105)*(J$92:J$105)))*$D108</f>
        <v>0</v>
      </c>
      <c r="L108" s="22"/>
      <c r="M108" s="22"/>
      <c r="N108" s="22">
        <f>(SUMPRODUCT((($B$92:$B$105)=Salaire_net)*($D$92:$D$105)*(K$92:K$105))+SUMPRODUCT((($B$92:$B$105)=Salaire_net)*($D$92:$D$105)*(L$92:L$105))+SUMPRODUCT((($B$92:$B$105)=Salaire_net)*($D$92:$D$105)*(M$92:M$105)))*$D108</f>
        <v>0</v>
      </c>
      <c r="O108" s="22"/>
      <c r="P108" s="22"/>
      <c r="Q108" s="22">
        <f>(SUMPRODUCT((($B$92:$B$105)=Salaire_net)*($D$92:$D$105)*(N$92:N$105))+SUMPRODUCT((($B$92:$B$105)=Salaire_net)*($D$92:$D$105)*(O$92:O$105))+SUMPRODUCT((($B$92:$B$105)=Salaire_net)*($D$92:$D$105)*(P$92:P$105)))*$D108</f>
        <v>0</v>
      </c>
      <c r="R108" s="22"/>
      <c r="S108" s="22"/>
      <c r="T108" s="22">
        <f>(SUMPRODUCT((($B$92:$B$105)=Salaire_net)*($D$92:$D$105)*(Q$92:Q$105))+SUMPRODUCT((($B$92:$B$105)=Salaire_net)*($D$92:$D$105)*(R$92:R$105))+SUMPRODUCT((($B$92:$B$105)=Salaire_net)*($D$92:$D$105)*(S$92:S$105)))*$D108</f>
        <v>0</v>
      </c>
      <c r="U108" s="22"/>
      <c r="V108" s="22"/>
      <c r="W108" s="22">
        <f>(SUMPRODUCT((($B$92:$B$105)=Salaire_net)*($D$92:$D$105)*(T$92:T$105))+SUMPRODUCT((($B$92:$B$105)=Salaire_net)*($D$92:$D$105)*(U$92:U$105))+SUMPRODUCT((($B$92:$B$105)=Salaire_net)*($D$92:$D$105)*(V$92:V$105)))*$D108</f>
        <v>0</v>
      </c>
      <c r="X108" s="22"/>
      <c r="Y108" s="22"/>
      <c r="Z108" s="22">
        <f>(SUMPRODUCT((($B$92:$B$105)=Salaire_net)*($D$92:$D$105)*(W$92:W$105))+SUMPRODUCT((($B$92:$B$105)=Salaire_net)*($D$92:$D$105)*(X$92:X$105))+SUMPRODUCT((($B$92:$B$105)=Salaire_net)*($D$92:$D$105)*(Y$92:Y$105)))*$D108</f>
        <v>0</v>
      </c>
      <c r="AA108" s="22"/>
      <c r="AB108" s="22"/>
    </row>
    <row r="109" spans="1:28" ht="15.6" customHeight="1" collapsed="1" x14ac:dyDescent="0.25">
      <c r="A109" s="106" t="s">
        <v>46</v>
      </c>
      <c r="B109" s="107" t="s">
        <v>66</v>
      </c>
      <c r="C109" s="108" t="str">
        <f>Delai_reactivite&amp;" mois"</f>
        <v>3 mois</v>
      </c>
      <c r="D109" s="109"/>
      <c r="E109" s="117">
        <f t="shared" ref="E109:AB109" ca="1" si="17">IF(DATE(E$1,E$2-Delai_reactivite,1)&lt;=TODAY(),SUM(E110:E115),SUMPRODUCT(E110:E115,$D110:$D115))</f>
        <v>0</v>
      </c>
      <c r="F109" s="117">
        <f t="shared" ca="1" si="17"/>
        <v>0</v>
      </c>
      <c r="G109" s="117">
        <f t="shared" ca="1" si="17"/>
        <v>0</v>
      </c>
      <c r="H109" s="117">
        <f t="shared" ca="1" si="17"/>
        <v>0</v>
      </c>
      <c r="I109" s="117">
        <f t="shared" ca="1" si="17"/>
        <v>0</v>
      </c>
      <c r="J109" s="117">
        <f t="shared" ca="1" si="17"/>
        <v>0</v>
      </c>
      <c r="K109" s="117">
        <f t="shared" ca="1" si="17"/>
        <v>0</v>
      </c>
      <c r="L109" s="117">
        <f t="shared" ca="1" si="17"/>
        <v>0</v>
      </c>
      <c r="M109" s="117">
        <f t="shared" ca="1" si="17"/>
        <v>0</v>
      </c>
      <c r="N109" s="117">
        <f t="shared" ca="1" si="17"/>
        <v>0</v>
      </c>
      <c r="O109" s="117">
        <f t="shared" ca="1" si="17"/>
        <v>0</v>
      </c>
      <c r="P109" s="117">
        <f t="shared" ca="1" si="17"/>
        <v>0</v>
      </c>
      <c r="Q109" s="117">
        <f t="shared" ca="1" si="17"/>
        <v>0</v>
      </c>
      <c r="R109" s="117">
        <f t="shared" ca="1" si="17"/>
        <v>0</v>
      </c>
      <c r="S109" s="117">
        <f t="shared" ca="1" si="17"/>
        <v>0</v>
      </c>
      <c r="T109" s="117">
        <f t="shared" ca="1" si="17"/>
        <v>0</v>
      </c>
      <c r="U109" s="117">
        <f t="shared" ca="1" si="17"/>
        <v>0</v>
      </c>
      <c r="V109" s="117">
        <f t="shared" ca="1" si="17"/>
        <v>0</v>
      </c>
      <c r="W109" s="117">
        <f t="shared" ca="1" si="17"/>
        <v>0</v>
      </c>
      <c r="X109" s="117">
        <f t="shared" ca="1" si="17"/>
        <v>0</v>
      </c>
      <c r="Y109" s="117">
        <f t="shared" ca="1" si="17"/>
        <v>0</v>
      </c>
      <c r="Z109" s="117">
        <f t="shared" ca="1" si="17"/>
        <v>0</v>
      </c>
      <c r="AA109" s="117">
        <f t="shared" ca="1" si="17"/>
        <v>0</v>
      </c>
      <c r="AB109" s="117">
        <f t="shared" ca="1" si="17"/>
        <v>0</v>
      </c>
    </row>
    <row r="110" spans="1:28" s="15" customFormat="1" ht="15.6" hidden="1" customHeight="1" outlineLevel="1" x14ac:dyDescent="0.25">
      <c r="A110" s="61" t="s">
        <v>47</v>
      </c>
      <c r="B110" s="62" t="s">
        <v>72</v>
      </c>
      <c r="C110" s="57" t="s">
        <v>9</v>
      </c>
      <c r="D110" s="7">
        <f>IFERROR(VLOOKUP(C110,Parametres!A$60:B$62,2,FALSE),0%)</f>
        <v>1</v>
      </c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</row>
    <row r="111" spans="1:28" s="15" customFormat="1" ht="15.6" hidden="1" customHeight="1" outlineLevel="1" x14ac:dyDescent="0.25">
      <c r="A111" s="61" t="s">
        <v>48</v>
      </c>
      <c r="B111" s="62" t="s">
        <v>72</v>
      </c>
      <c r="C111" s="57"/>
      <c r="D111" s="7">
        <f>IFERROR(VLOOKUP(C111,Parametres!A$60:B$62,2,FALSE),0%)</f>
        <v>0</v>
      </c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</row>
    <row r="112" spans="1:28" s="15" customFormat="1" ht="15.6" hidden="1" customHeight="1" outlineLevel="1" x14ac:dyDescent="0.25">
      <c r="A112" s="61" t="s">
        <v>49</v>
      </c>
      <c r="B112" s="62" t="s">
        <v>72</v>
      </c>
      <c r="C112" s="57"/>
      <c r="D112" s="7">
        <f>IFERROR(VLOOKUP(C112,Parametres!A$60:B$62,2,FALSE),0%)</f>
        <v>0</v>
      </c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</row>
    <row r="113" spans="1:28" s="15" customFormat="1" ht="15.6" hidden="1" customHeight="1" outlineLevel="1" x14ac:dyDescent="0.25">
      <c r="A113" s="61" t="s">
        <v>50</v>
      </c>
      <c r="B113" s="62" t="s">
        <v>72</v>
      </c>
      <c r="C113" s="57"/>
      <c r="D113" s="7">
        <f>IFERROR(VLOOKUP(C113,Parametres!A$60:B$62,2,FALSE),0%)</f>
        <v>0</v>
      </c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</row>
    <row r="114" spans="1:28" s="15" customFormat="1" ht="15.6" hidden="1" customHeight="1" outlineLevel="1" x14ac:dyDescent="0.25">
      <c r="A114" s="61" t="s">
        <v>51</v>
      </c>
      <c r="B114" s="62" t="s">
        <v>72</v>
      </c>
      <c r="C114" s="57"/>
      <c r="D114" s="7">
        <f>IFERROR(VLOOKUP(C114,Parametres!A$60:B$62,2,FALSE),0%)</f>
        <v>0</v>
      </c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</row>
    <row r="115" spans="1:28" s="73" customFormat="1" ht="14.45" hidden="1" customHeight="1" outlineLevel="1" x14ac:dyDescent="0.25">
      <c r="A115" s="74" t="s">
        <v>219</v>
      </c>
      <c r="B115" s="116" t="s">
        <v>72</v>
      </c>
      <c r="C115" s="75"/>
      <c r="D115" s="7">
        <f>IFERROR(VLOOKUP(C115,Parametres!A$60:B$62,2,FALSE),0%)</f>
        <v>0</v>
      </c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</row>
    <row r="116" spans="1:28" ht="15.6" customHeight="1" collapsed="1" x14ac:dyDescent="0.25">
      <c r="A116" s="106" t="s">
        <v>174</v>
      </c>
      <c r="B116" s="107" t="s">
        <v>66</v>
      </c>
      <c r="C116" s="108" t="str">
        <f>Delai_reactivite&amp;" mois"</f>
        <v>3 mois</v>
      </c>
      <c r="D116" s="109"/>
      <c r="E116" s="117">
        <f t="shared" ref="E116:P116" si="18">SUM(E117:E126)</f>
        <v>0</v>
      </c>
      <c r="F116" s="117">
        <f t="shared" si="18"/>
        <v>0</v>
      </c>
      <c r="G116" s="117">
        <f t="shared" si="18"/>
        <v>0</v>
      </c>
      <c r="H116" s="117">
        <f t="shared" si="18"/>
        <v>0</v>
      </c>
      <c r="I116" s="117">
        <f t="shared" si="18"/>
        <v>0</v>
      </c>
      <c r="J116" s="117">
        <f t="shared" si="18"/>
        <v>0</v>
      </c>
      <c r="K116" s="117">
        <f t="shared" si="18"/>
        <v>0</v>
      </c>
      <c r="L116" s="117">
        <f t="shared" si="18"/>
        <v>0</v>
      </c>
      <c r="M116" s="117">
        <f t="shared" si="18"/>
        <v>0</v>
      </c>
      <c r="N116" s="117">
        <f t="shared" si="18"/>
        <v>0</v>
      </c>
      <c r="O116" s="117">
        <f t="shared" si="18"/>
        <v>0</v>
      </c>
      <c r="P116" s="117">
        <f t="shared" si="18"/>
        <v>0</v>
      </c>
      <c r="Q116" s="117">
        <f t="shared" ref="Q116" si="19">SUM(Q117:Q126)</f>
        <v>0</v>
      </c>
      <c r="R116" s="117">
        <f t="shared" ref="R116" si="20">SUM(R117:R126)</f>
        <v>0</v>
      </c>
      <c r="S116" s="117">
        <f t="shared" ref="S116" si="21">SUM(S117:S126)</f>
        <v>0</v>
      </c>
      <c r="T116" s="117">
        <f t="shared" ref="T116" si="22">SUM(T117:T126)</f>
        <v>0</v>
      </c>
      <c r="U116" s="117">
        <f t="shared" ref="U116" si="23">SUM(U117:U126)</f>
        <v>0</v>
      </c>
      <c r="V116" s="117">
        <f t="shared" ref="V116" si="24">SUM(V117:V126)</f>
        <v>0</v>
      </c>
      <c r="W116" s="117">
        <f t="shared" ref="W116" si="25">SUM(W117:W126)</f>
        <v>0</v>
      </c>
      <c r="X116" s="117">
        <f t="shared" ref="X116" si="26">SUM(X117:X126)</f>
        <v>0</v>
      </c>
      <c r="Y116" s="117">
        <f t="shared" ref="Y116" si="27">SUM(Y117:Y126)</f>
        <v>0</v>
      </c>
      <c r="Z116" s="117">
        <f t="shared" ref="Z116" si="28">SUM(Z117:Z126)</f>
        <v>0</v>
      </c>
      <c r="AA116" s="117">
        <f t="shared" ref="AA116" si="29">SUM(AA117:AA126)</f>
        <v>0</v>
      </c>
      <c r="AB116" s="117">
        <f t="shared" ref="AB116" si="30">SUM(AB117:AB126)</f>
        <v>0</v>
      </c>
    </row>
    <row r="117" spans="1:28" s="15" customFormat="1" ht="15.6" hidden="1" customHeight="1" outlineLevel="1" x14ac:dyDescent="0.25">
      <c r="A117" s="63" t="s">
        <v>52</v>
      </c>
      <c r="B117" s="64" t="s">
        <v>73</v>
      </c>
      <c r="C117" s="65" t="s">
        <v>74</v>
      </c>
      <c r="D117" s="24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</row>
    <row r="118" spans="1:28" s="15" customFormat="1" ht="15.6" hidden="1" customHeight="1" outlineLevel="1" x14ac:dyDescent="0.25">
      <c r="A118" s="66" t="s">
        <v>53</v>
      </c>
      <c r="B118" s="67" t="s">
        <v>75</v>
      </c>
      <c r="C118" s="68" t="s">
        <v>76</v>
      </c>
      <c r="D118" s="25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</row>
    <row r="119" spans="1:28" s="15" customFormat="1" ht="15.6" hidden="1" customHeight="1" outlineLevel="1" x14ac:dyDescent="0.25">
      <c r="A119" s="63" t="s">
        <v>54</v>
      </c>
      <c r="B119" s="64" t="s">
        <v>73</v>
      </c>
      <c r="C119" s="65" t="s">
        <v>74</v>
      </c>
      <c r="D119" s="24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</row>
    <row r="120" spans="1:28" s="15" customFormat="1" ht="15.6" hidden="1" customHeight="1" outlineLevel="1" x14ac:dyDescent="0.25">
      <c r="A120" s="66" t="s">
        <v>55</v>
      </c>
      <c r="B120" s="67" t="s">
        <v>75</v>
      </c>
      <c r="C120" s="68" t="s">
        <v>76</v>
      </c>
      <c r="D120" s="25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  <c r="AB120" s="70"/>
    </row>
    <row r="121" spans="1:28" s="15" customFormat="1" ht="15.6" hidden="1" customHeight="1" outlineLevel="1" x14ac:dyDescent="0.25">
      <c r="A121" s="63" t="s">
        <v>56</v>
      </c>
      <c r="B121" s="64" t="s">
        <v>73</v>
      </c>
      <c r="C121" s="65" t="s">
        <v>74</v>
      </c>
      <c r="D121" s="24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</row>
    <row r="122" spans="1:28" s="15" customFormat="1" ht="15.6" hidden="1" customHeight="1" outlineLevel="1" x14ac:dyDescent="0.25">
      <c r="A122" s="66" t="s">
        <v>57</v>
      </c>
      <c r="B122" s="67" t="s">
        <v>75</v>
      </c>
      <c r="C122" s="68" t="s">
        <v>76</v>
      </c>
      <c r="D122" s="25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</row>
    <row r="123" spans="1:28" s="15" customFormat="1" ht="15.6" hidden="1" customHeight="1" outlineLevel="1" x14ac:dyDescent="0.25">
      <c r="A123" s="63" t="s">
        <v>58</v>
      </c>
      <c r="B123" s="64" t="s">
        <v>73</v>
      </c>
      <c r="C123" s="65" t="s">
        <v>74</v>
      </c>
      <c r="D123" s="24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</row>
    <row r="124" spans="1:28" s="15" customFormat="1" ht="15.6" hidden="1" customHeight="1" outlineLevel="1" x14ac:dyDescent="0.25">
      <c r="A124" s="66" t="s">
        <v>59</v>
      </c>
      <c r="B124" s="67" t="s">
        <v>75</v>
      </c>
      <c r="C124" s="68" t="s">
        <v>76</v>
      </c>
      <c r="D124" s="25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</row>
    <row r="125" spans="1:28" s="15" customFormat="1" ht="15.6" hidden="1" customHeight="1" outlineLevel="1" x14ac:dyDescent="0.25">
      <c r="A125" s="63" t="s">
        <v>60</v>
      </c>
      <c r="B125" s="64" t="s">
        <v>73</v>
      </c>
      <c r="C125" s="65" t="s">
        <v>74</v>
      </c>
      <c r="D125" s="24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  <c r="AA125" s="69"/>
      <c r="AB125" s="69"/>
    </row>
    <row r="126" spans="1:28" s="15" customFormat="1" ht="15.6" hidden="1" customHeight="1" outlineLevel="1" x14ac:dyDescent="0.25">
      <c r="A126" s="66" t="s">
        <v>61</v>
      </c>
      <c r="B126" s="67" t="s">
        <v>75</v>
      </c>
      <c r="C126" s="68" t="s">
        <v>76</v>
      </c>
      <c r="D126" s="25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  <c r="AB126" s="70"/>
    </row>
    <row r="127" spans="1:28" s="16" customFormat="1" ht="15.6" customHeight="1" collapsed="1" x14ac:dyDescent="0.25">
      <c r="B127" s="17"/>
      <c r="C127" s="17"/>
      <c r="D127" s="18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</row>
    <row r="128" spans="1:28" s="153" customFormat="1" ht="15.6" customHeight="1" x14ac:dyDescent="0.25">
      <c r="A128" s="150" t="s">
        <v>114</v>
      </c>
      <c r="B128" s="151"/>
      <c r="C128" s="161" t="s">
        <v>112</v>
      </c>
      <c r="D128" s="162"/>
      <c r="E128" s="152">
        <f ca="1">E5+E13-E39-E130</f>
        <v>-56678.27</v>
      </c>
      <c r="F128" s="152">
        <f t="shared" ref="F128:AB128" ca="1" si="31">F5+F13-F39-IF(DATE(F$1,F$2,1)&gt;TODAY(),F134,F135)</f>
        <v>26339.300000000003</v>
      </c>
      <c r="G128" s="152">
        <f t="shared" ca="1" si="31"/>
        <v>4856.9699999999939</v>
      </c>
      <c r="H128" s="152">
        <f t="shared" ca="1" si="31"/>
        <v>25596.663333333323</v>
      </c>
      <c r="I128" s="152">
        <f t="shared" ca="1" si="31"/>
        <v>30410.332777777767</v>
      </c>
      <c r="J128" s="152">
        <f t="shared" ca="1" si="31"/>
        <v>23239.945277777766</v>
      </c>
      <c r="K128" s="152">
        <f t="shared" ca="1" si="31"/>
        <v>-6674.3380555555632</v>
      </c>
      <c r="L128" s="152">
        <f t="shared" ca="1" si="31"/>
        <v>-18508.954722222232</v>
      </c>
      <c r="M128" s="152">
        <f t="shared" ca="1" si="31"/>
        <v>3615.495437326123</v>
      </c>
      <c r="N128" s="152">
        <f t="shared" ca="1" si="31"/>
        <v>-29695.403200376379</v>
      </c>
      <c r="O128" s="152">
        <f t="shared" ca="1" si="31"/>
        <v>-21094.973607713993</v>
      </c>
      <c r="P128" s="152">
        <f t="shared" ca="1" si="31"/>
        <v>-21868.645553713279</v>
      </c>
      <c r="Q128" s="152">
        <f t="shared" ca="1" si="31"/>
        <v>-67112.756664824381</v>
      </c>
      <c r="R128" s="152">
        <f t="shared" ca="1" si="31"/>
        <v>-74562.678887046612</v>
      </c>
      <c r="S128" s="152">
        <f t="shared" ca="1" si="31"/>
        <v>-40970.181664824384</v>
      </c>
      <c r="T128" s="152">
        <f t="shared" ca="1" si="31"/>
        <v>-57709.746930473382</v>
      </c>
      <c r="U128" s="152">
        <f t="shared" ca="1" si="31"/>
        <v>-89204.872279717063</v>
      </c>
      <c r="V128" s="152">
        <f t="shared" ca="1" si="31"/>
        <v>-81716.405613050389</v>
      </c>
      <c r="W128" s="152">
        <f t="shared" ca="1" si="31"/>
        <v>-104819.17227971707</v>
      </c>
      <c r="X128" s="152">
        <f t="shared" ca="1" si="31"/>
        <v>-129888.03477971707</v>
      </c>
      <c r="Y128" s="152">
        <f t="shared" ca="1" si="31"/>
        <v>-47159.749980986118</v>
      </c>
      <c r="Z128" s="152">
        <f t="shared" ca="1" si="31"/>
        <v>-85676.643627996818</v>
      </c>
      <c r="AA128" s="152">
        <f t="shared" ca="1" si="31"/>
        <v>-83195.898489107931</v>
      </c>
      <c r="AB128" s="152">
        <f t="shared" ca="1" si="31"/>
        <v>-81221.399877996824</v>
      </c>
    </row>
    <row r="129" spans="1:28" s="16" customFormat="1" x14ac:dyDescent="0.25">
      <c r="B129" s="17"/>
      <c r="C129" s="17"/>
      <c r="D129" s="18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</row>
    <row r="130" spans="1:28" ht="15.6" customHeight="1" x14ac:dyDescent="0.25">
      <c r="A130" s="4" t="s">
        <v>63</v>
      </c>
      <c r="B130" s="6"/>
      <c r="C130" s="6"/>
      <c r="D130" s="8"/>
      <c r="E130" s="149">
        <f ca="1">IF(DATE(E$1,E$2,1)&gt;TODAY(),E134,E135)</f>
        <v>0</v>
      </c>
      <c r="F130" s="149">
        <f t="shared" ref="F130:AB130" ca="1" si="32">IF(DATE(F$1,F$2,1)&gt;TODAY(),F134,F135)</f>
        <v>-6000</v>
      </c>
      <c r="G130" s="149">
        <f t="shared" ca="1" si="32"/>
        <v>-6000</v>
      </c>
      <c r="H130" s="149">
        <f t="shared" ca="1" si="32"/>
        <v>0</v>
      </c>
      <c r="I130" s="149">
        <f t="shared" ca="1" si="32"/>
        <v>-2293.3844444444453</v>
      </c>
      <c r="J130" s="149">
        <f t="shared" ca="1" si="32"/>
        <v>420.04749999999967</v>
      </c>
      <c r="K130" s="149">
        <f t="shared" ca="1" si="32"/>
        <v>-1125.0566666666668</v>
      </c>
      <c r="L130" s="149">
        <f t="shared" ca="1" si="32"/>
        <v>-1360.7233333333329</v>
      </c>
      <c r="M130" s="149">
        <f t="shared" ca="1" si="32"/>
        <v>-2199.2233333333338</v>
      </c>
      <c r="N130" s="149">
        <f t="shared" ca="1" si="32"/>
        <v>3320.8711377025038</v>
      </c>
      <c r="O130" s="149">
        <f t="shared" ca="1" si="32"/>
        <v>-910.83791666666639</v>
      </c>
      <c r="P130" s="149">
        <f t="shared" ca="1" si="32"/>
        <v>1281.5986126659532</v>
      </c>
      <c r="Q130" s="149">
        <f t="shared" ca="1" si="32"/>
        <v>84.65444444444438</v>
      </c>
      <c r="R130" s="149">
        <f t="shared" ca="1" si="32"/>
        <v>-3439.0761111111105</v>
      </c>
      <c r="S130" s="149">
        <f t="shared" ca="1" si="32"/>
        <v>-1814.8330555555558</v>
      </c>
      <c r="T130" s="149">
        <f t="shared" ca="1" si="32"/>
        <v>5296.2773611111106</v>
      </c>
      <c r="U130" s="149">
        <f t="shared" ca="1" si="32"/>
        <v>2180.2853492436861</v>
      </c>
      <c r="V130" s="149">
        <f t="shared" ca="1" si="32"/>
        <v>-4885.8066666666655</v>
      </c>
      <c r="W130" s="149">
        <f t="shared" ca="1" si="32"/>
        <v>433.77666666666664</v>
      </c>
      <c r="X130" s="149">
        <f t="shared" ca="1" si="32"/>
        <v>309.33499999999913</v>
      </c>
      <c r="Y130" s="149">
        <f t="shared" ca="1" si="32"/>
        <v>-4126.5879166666673</v>
      </c>
      <c r="Z130" s="149">
        <f t="shared" ca="1" si="32"/>
        <v>13100.282813677382</v>
      </c>
      <c r="AA130" s="149">
        <f t="shared" ca="1" si="32"/>
        <v>257.64819444444583</v>
      </c>
      <c r="AB130" s="149">
        <f t="shared" ca="1" si="32"/>
        <v>456.39888888888891</v>
      </c>
    </row>
    <row r="131" spans="1:28" ht="15.6" hidden="1" customHeight="1" outlineLevel="1" x14ac:dyDescent="0.25">
      <c r="A131" s="47" t="s">
        <v>101</v>
      </c>
      <c r="B131" s="48"/>
      <c r="C131" s="49"/>
      <c r="D131" s="71">
        <v>0.2</v>
      </c>
      <c r="E131" s="32">
        <f t="shared" ref="E131:AB131" ca="1" si="33">E14*TVA_VENTES/(1+TVA_VENTES)</f>
        <v>0</v>
      </c>
      <c r="F131" s="32">
        <f t="shared" ca="1" si="33"/>
        <v>744.80000000000007</v>
      </c>
      <c r="G131" s="32">
        <f t="shared" ca="1" si="33"/>
        <v>3167.2000000000003</v>
      </c>
      <c r="H131" s="32">
        <f t="shared" ca="1" si="33"/>
        <v>1070</v>
      </c>
      <c r="I131" s="32">
        <f t="shared" ca="1" si="33"/>
        <v>2900</v>
      </c>
      <c r="J131" s="32">
        <f t="shared" ca="1" si="33"/>
        <v>1337.5</v>
      </c>
      <c r="K131" s="32">
        <f t="shared" ca="1" si="33"/>
        <v>1070</v>
      </c>
      <c r="L131" s="32">
        <f t="shared" ca="1" si="33"/>
        <v>0</v>
      </c>
      <c r="M131" s="32">
        <f t="shared" ca="1" si="33"/>
        <v>7053.3333333333339</v>
      </c>
      <c r="N131" s="32">
        <f t="shared" ca="1" si="33"/>
        <v>2062.5</v>
      </c>
      <c r="O131" s="32">
        <f t="shared" ca="1" si="33"/>
        <v>3605.2500000000005</v>
      </c>
      <c r="P131" s="32">
        <f t="shared" ca="1" si="33"/>
        <v>2466.5277777777778</v>
      </c>
      <c r="Q131" s="32">
        <f t="shared" ca="1" si="33"/>
        <v>2015.5555555555559</v>
      </c>
      <c r="R131" s="32">
        <f t="shared" ca="1" si="33"/>
        <v>2840.5555555555557</v>
      </c>
      <c r="S131" s="32">
        <f t="shared" ca="1" si="33"/>
        <v>9975.4861111111113</v>
      </c>
      <c r="T131" s="32">
        <f t="shared" ca="1" si="33"/>
        <v>7292.1527777777783</v>
      </c>
      <c r="U131" s="32">
        <f t="shared" ca="1" si="33"/>
        <v>2952.0833333333335</v>
      </c>
      <c r="V131" s="32">
        <f t="shared" ca="1" si="33"/>
        <v>2952.0833333333335</v>
      </c>
      <c r="W131" s="32">
        <f t="shared" ca="1" si="33"/>
        <v>2809.5833333333335</v>
      </c>
      <c r="X131" s="32">
        <f t="shared" ca="1" si="33"/>
        <v>278.81944444444451</v>
      </c>
      <c r="Y131" s="32">
        <f t="shared" ca="1" si="33"/>
        <v>21019.444444444449</v>
      </c>
      <c r="Z131" s="32">
        <f t="shared" ca="1" si="33"/>
        <v>3623.8194444444453</v>
      </c>
      <c r="AA131" s="32">
        <f t="shared" ca="1" si="33"/>
        <v>3568.0555555555561</v>
      </c>
      <c r="AB131" s="32">
        <f t="shared" ca="1" si="33"/>
        <v>3512.291666666667</v>
      </c>
    </row>
    <row r="132" spans="1:28" ht="15.6" hidden="1" customHeight="1" outlineLevel="1" x14ac:dyDescent="0.25">
      <c r="A132" s="47" t="s">
        <v>102</v>
      </c>
      <c r="B132" s="48"/>
      <c r="C132" s="49"/>
      <c r="D132" s="71">
        <v>0.2</v>
      </c>
      <c r="E132" s="32">
        <f ca="1">(SUM(E41,E58,E68,E78,E91)-SUMIF(B$13:B$128,Parametres!$A44,E$13:E$128)-IF(DATE(E1,E2+1,1)&lt;TODAY(),SUM(E56,E66,E76,E89,E107),SUM(E57,E67,E77,E90,E108)))*TVA_ACHAT/(1+TVA_ACHAT)</f>
        <v>0</v>
      </c>
      <c r="F132" s="32">
        <f ca="1">(SUM(F41,F58,F68,F78,F91)-SUMIF(C$13:C$128,Parametres!$A44,F$13:F$128)-IF(DATE(F1,F2+1,1)&lt;TODAY(),SUM(F56,F66,F76,F89,F107),SUM(F57,F67,F77,F90,F108)))*TVA_ACHAT/(1+TVA_ACHAT)</f>
        <v>8812.0383333333339</v>
      </c>
      <c r="G132" s="32">
        <f ca="1">(SUM(G41,G58,G68,G78,G91)-SUMIF(D$13:D$128,Parametres!$A44,G$13:G$128)-IF(DATE(G1,G2+1,1)&lt;TODAY(),SUM(G56,G66,G76,G89,G107),SUM(G57,G67,G77,G90,G108)))*TVA_ACHAT/(1+TVA_ACHAT)</f>
        <v>7274.088333333334</v>
      </c>
      <c r="H132" s="32">
        <f ca="1">(SUM(H41,H58,H68,H78,H91)-SUMIF(E$13:E$128,Parametres!$A44,H$13:H$128)-IF(DATE(H1,H2+1,1)&lt;TODAY(),SUM(H56,H66,H76,H89,H107),SUM(H57,H67,H77,H90,H108)))*TVA_ACHAT/(1+TVA_ACHAT)</f>
        <v>3363.3844444444453</v>
      </c>
      <c r="I132" s="32">
        <f ca="1">(SUM(I41,I58,I68,I78,I91)-SUMIF(F$13:F$128,Parametres!$A44,I$13:I$128)-IF(DATE(I1,I2+1,1)&lt;TODAY(),SUM(I56,I66,I76,I89,I107),SUM(I57,I67,I77,I90,I108)))*TVA_ACHAT/(1+TVA_ACHAT)</f>
        <v>2479.9525000000003</v>
      </c>
      <c r="J132" s="32">
        <f ca="1">(SUM(J41,J58,J68,J78,J91)-SUMIF(G$13:G$128,Parametres!$A44,J$13:J$128)-IF(DATE(J1,J2+1,1)&lt;TODAY(),SUM(J56,J66,J76,J89,J107),SUM(J57,J67,J77,J90,J108)))*TVA_ACHAT/(1+TVA_ACHAT)</f>
        <v>2462.5566666666668</v>
      </c>
      <c r="K132" s="32">
        <f ca="1">(SUM(K41,K58,K68,K78,K91)-SUMIF(H$13:H$128,Parametres!$A44,K$13:K$128)-IF(DATE(K1,K2+1,1)&lt;TODAY(),SUM(K56,K66,K76,K89,K107),SUM(K57,K67,K77,K90,K108)))*TVA_ACHAT/(1+TVA_ACHAT)</f>
        <v>2430.7233333333329</v>
      </c>
      <c r="L132" s="32">
        <f ca="1">(SUM(L41,L58,L68,L78,L91)-SUMIF(I$13:I$128,Parametres!$A44,L$13:L$128)-IF(DATE(L1,L2+1,1)&lt;TODAY(),SUM(L56,L66,L76,L89,L107),SUM(L57,L67,L77,L90,L108)))*TVA_ACHAT/(1+TVA_ACHAT)</f>
        <v>2199.2233333333338</v>
      </c>
      <c r="M132" s="32">
        <f ca="1">(SUM(M41,M58,M68,M78,M91)-SUMIF(J$13:J$128,Parametres!$A44,M$13:M$128)-IF(DATE(M1,M2+1,1)&lt;TODAY(),SUM(M56,M66,M76,M89,M107),SUM(M57,M67,M77,M90,M108)))*TVA_ACHAT/(1+TVA_ACHAT)</f>
        <v>3732.4621956308301</v>
      </c>
      <c r="N132" s="32">
        <f ca="1">(SUM(N41,N58,N68,N78,N91)-SUMIF(K$13:K$128,Parametres!$A44,N$13:N$128)-IF(DATE(N1,N2+1,1)&lt;TODAY(),SUM(N56,N66,N76,N89,N107),SUM(N57,N67,N77,N90,N108)))*TVA_ACHAT/(1+TVA_ACHAT)</f>
        <v>2973.3379166666664</v>
      </c>
      <c r="O132" s="32">
        <f ca="1">(SUM(O41,O58,O68,O78,O91)-SUMIF(L$13:L$128,Parametres!$A44,O$13:O$128)-IF(DATE(O1,O2+1,1)&lt;TODAY(),SUM(O56,O66,O76,O89,O107),SUM(O57,O67,O77,O90,O108)))*TVA_ACHAT/(1+TVA_ACHAT)</f>
        <v>2323.6513873340473</v>
      </c>
      <c r="P132" s="32">
        <f ca="1">(SUM(P41,P58,P68,P78,P91)-SUMIF(M$13:M$128,Parametres!$A44,P$13:P$128)-IF(DATE(P1,P2+1,1)&lt;TODAY(),SUM(P56,P66,P76,P89,P107),SUM(P57,P67,P77,P90,P108)))*TVA_ACHAT/(1+TVA_ACHAT)</f>
        <v>2381.8733333333334</v>
      </c>
      <c r="Q132" s="32">
        <f ca="1">(SUM(Q41,Q58,Q68,Q78,Q91)-SUMIF(N$13:N$128,Parametres!$A44,Q$13:Q$128)-IF(DATE(Q1,Q2+1,1)&lt;TODAY(),SUM(Q56,Q66,Q76,Q89,Q107),SUM(Q57,Q67,Q77,Q90,Q108)))*TVA_ACHAT/(1+TVA_ACHAT)</f>
        <v>5454.6316666666662</v>
      </c>
      <c r="R132" s="32">
        <f ca="1">(SUM(R41,R58,R68,R78,R91)-SUMIF(O$13:O$128,Parametres!$A44,R$13:R$128)-IF(DATE(R1,R2+1,1)&lt;TODAY(),SUM(R56,R66,R76,R89,R107),SUM(R57,R67,R77,R90,R108)))*TVA_ACHAT/(1+TVA_ACHAT)</f>
        <v>4655.3886111111115</v>
      </c>
      <c r="S132" s="32">
        <f ca="1">(SUM(S41,S58,S68,S78,S91)-SUMIF(P$13:P$128,Parametres!$A44,S$13:S$128)-IF(DATE(S1,S2+1,1)&lt;TODAY(),SUM(S56,S66,S76,S89,S107),SUM(S57,S67,S77,S90,S108)))*TVA_ACHAT/(1+TVA_ACHAT)</f>
        <v>4679.2087500000007</v>
      </c>
      <c r="T132" s="32">
        <f ca="1">(SUM(T41,T58,T68,T78,T91)-SUMIF(Q$13:Q$128,Parametres!$A44,T$13:T$128)-IF(DATE(T1,T2+1,1)&lt;TODAY(),SUM(T56,T66,T76,T89,T107),SUM(T57,T67,T77,T90,T108)))*TVA_ACHAT/(1+TVA_ACHAT)</f>
        <v>5111.8674285340921</v>
      </c>
      <c r="U132" s="32">
        <f ca="1">(SUM(U41,U58,U68,U78,U91)-SUMIF(R$13:R$128,Parametres!$A44,U$13:U$128)-IF(DATE(U1,U2+1,1)&lt;TODAY(),SUM(U56,U66,U76,U89,U107),SUM(U57,U67,U77,U90,U108)))*TVA_ACHAT/(1+TVA_ACHAT)</f>
        <v>7837.8899999999994</v>
      </c>
      <c r="V132" s="32">
        <f ca="1">(SUM(V41,V58,V68,V78,V91)-SUMIF(S$13:S$128,Parametres!$A44,V$13:V$128)-IF(DATE(V1,V2+1,1)&lt;TODAY(),SUM(V56,V66,V76,V89,V107),SUM(V57,V67,V77,V90,V108)))*TVA_ACHAT/(1+TVA_ACHAT)</f>
        <v>2518.3066666666668</v>
      </c>
      <c r="W132" s="32">
        <f ca="1">(SUM(W41,W58,W68,W78,W91)-SUMIF(T$13:T$128,Parametres!$A44,W$13:W$128)-IF(DATE(W1,W2+1,1)&lt;TODAY(),SUM(W56,W66,W76,W89,W107),SUM(W57,W67,W77,W90,W108)))*TVA_ACHAT/(1+TVA_ACHAT)</f>
        <v>2500.2483333333344</v>
      </c>
      <c r="X132" s="32">
        <f ca="1">(SUM(X41,X58,X68,X78,X91)-SUMIF(U$13:U$128,Parametres!$A44,X$13:X$128)-IF(DATE(X1,X2+1,1)&lt;TODAY(),SUM(X56,X66,X76,X89,X107),SUM(X57,X67,X77,X90,X108)))*TVA_ACHAT/(1+TVA_ACHAT)</f>
        <v>4405.4073611111116</v>
      </c>
      <c r="Y132" s="32">
        <f ca="1">(SUM(Y41,Y58,Y68,Y78,Y91)-SUMIF(V$13:V$128,Parametres!$A44,Y$13:Y$128)-IF(DATE(Y1,Y2+1,1)&lt;TODAY(),SUM(Y56,Y66,Y76,Y89,Y107),SUM(Y57,Y67,Y77,Y90,Y108)))*TVA_ACHAT/(1+TVA_ACHAT)</f>
        <v>7919.1616307670656</v>
      </c>
      <c r="Z132" s="32">
        <f ca="1">(SUM(Z41,Z58,Z68,Z78,Z91)-SUMIF(W$13:W$128,Parametres!$A44,Z$13:Z$128)-IF(DATE(Z1,Z2+1,1)&lt;TODAY(),SUM(Z56,Z66,Z76,Z89,Z107),SUM(Z57,Z67,Z77,Z90,Z108)))*TVA_ACHAT/(1+TVA_ACHAT)</f>
        <v>3366.1712499999994</v>
      </c>
      <c r="AA132" s="32">
        <f ca="1">(SUM(AA41,AA58,AA68,AA78,AA91)-SUMIF(X$13:X$128,Parametres!$A44,AA$13:AA$128)-IF(DATE(AA1,AA2+1,1)&lt;TODAY(),SUM(AA56,AA66,AA76,AA89,AA107),SUM(AA57,AA67,AA77,AA90,AA108)))*TVA_ACHAT/(1+TVA_ACHAT)</f>
        <v>3111.6566666666672</v>
      </c>
      <c r="AB132" s="32">
        <f ca="1">(SUM(AB41,AB58,AB68,AB78,AB91)-SUMIF(Y$13:Y$128,Parametres!$A44,AB$13:AB$128)-IF(DATE(AB1,AB2+1,1)&lt;TODAY(),SUM(AB56,AB66,AB76,AB89,AB107),SUM(AB57,AB67,AB77,AB90,AB108)))*TVA_ACHAT/(1+TVA_ACHAT)</f>
        <v>3107.1420833333336</v>
      </c>
    </row>
    <row r="133" spans="1:28" ht="15.6" hidden="1" customHeight="1" outlineLevel="1" x14ac:dyDescent="0.25">
      <c r="A133" s="47" t="s">
        <v>103</v>
      </c>
      <c r="B133" s="48"/>
      <c r="C133" s="49"/>
      <c r="D133" s="71">
        <v>0.2</v>
      </c>
      <c r="E133" s="32">
        <f t="shared" ref="E133:AB133" ca="1" si="34">E109*TVA_INVESTS/(1+TVA_INVESTS)</f>
        <v>0</v>
      </c>
      <c r="F133" s="32">
        <f t="shared" ca="1" si="34"/>
        <v>0</v>
      </c>
      <c r="G133" s="32">
        <f t="shared" ca="1" si="34"/>
        <v>0</v>
      </c>
      <c r="H133" s="32">
        <f t="shared" ca="1" si="34"/>
        <v>0</v>
      </c>
      <c r="I133" s="32">
        <f t="shared" ca="1" si="34"/>
        <v>0</v>
      </c>
      <c r="J133" s="32">
        <f t="shared" ca="1" si="34"/>
        <v>0</v>
      </c>
      <c r="K133" s="32">
        <f t="shared" ca="1" si="34"/>
        <v>0</v>
      </c>
      <c r="L133" s="32">
        <f t="shared" ca="1" si="34"/>
        <v>0</v>
      </c>
      <c r="M133" s="32">
        <f t="shared" ca="1" si="34"/>
        <v>0</v>
      </c>
      <c r="N133" s="32">
        <f t="shared" ca="1" si="34"/>
        <v>0</v>
      </c>
      <c r="O133" s="32">
        <f t="shared" ca="1" si="34"/>
        <v>0</v>
      </c>
      <c r="P133" s="32">
        <f t="shared" ca="1" si="34"/>
        <v>0</v>
      </c>
      <c r="Q133" s="32">
        <f t="shared" ca="1" si="34"/>
        <v>0</v>
      </c>
      <c r="R133" s="32">
        <f t="shared" ca="1" si="34"/>
        <v>0</v>
      </c>
      <c r="S133" s="32">
        <f t="shared" ca="1" si="34"/>
        <v>0</v>
      </c>
      <c r="T133" s="32">
        <f t="shared" ca="1" si="34"/>
        <v>0</v>
      </c>
      <c r="U133" s="32">
        <f t="shared" ca="1" si="34"/>
        <v>0</v>
      </c>
      <c r="V133" s="32">
        <f t="shared" ca="1" si="34"/>
        <v>0</v>
      </c>
      <c r="W133" s="32">
        <f t="shared" ca="1" si="34"/>
        <v>0</v>
      </c>
      <c r="X133" s="32">
        <f t="shared" ca="1" si="34"/>
        <v>0</v>
      </c>
      <c r="Y133" s="32">
        <f t="shared" ca="1" si="34"/>
        <v>0</v>
      </c>
      <c r="Z133" s="32">
        <f t="shared" ca="1" si="34"/>
        <v>0</v>
      </c>
      <c r="AA133" s="32">
        <f t="shared" ca="1" si="34"/>
        <v>0</v>
      </c>
      <c r="AB133" s="32">
        <f t="shared" ca="1" si="34"/>
        <v>0</v>
      </c>
    </row>
    <row r="134" spans="1:28" s="15" customFormat="1" ht="15.6" hidden="1" customHeight="1" outlineLevel="1" x14ac:dyDescent="0.25">
      <c r="A134" s="76" t="s">
        <v>62</v>
      </c>
      <c r="B134" s="77"/>
      <c r="C134" s="78"/>
      <c r="D134" s="79"/>
      <c r="E134" s="80"/>
      <c r="F134" s="80">
        <f t="shared" ref="F134:G134" ca="1" si="35">SUM(E131)-SUM(E132:E133)</f>
        <v>0</v>
      </c>
      <c r="G134" s="80">
        <f t="shared" ca="1" si="35"/>
        <v>-8067.2383333333337</v>
      </c>
      <c r="H134" s="80">
        <f ca="1">SUM(G131)-SUM(G132:G133)</f>
        <v>-4106.8883333333342</v>
      </c>
      <c r="I134" s="80">
        <f t="shared" ref="I134:AB134" ca="1" si="36">SUM(H131)-SUM(H132:H133)</f>
        <v>-2293.3844444444453</v>
      </c>
      <c r="J134" s="80">
        <f t="shared" ca="1" si="36"/>
        <v>420.04749999999967</v>
      </c>
      <c r="K134" s="80">
        <f t="shared" ca="1" si="36"/>
        <v>-1125.0566666666668</v>
      </c>
      <c r="L134" s="80">
        <f t="shared" ca="1" si="36"/>
        <v>-1360.7233333333329</v>
      </c>
      <c r="M134" s="80">
        <f t="shared" ca="1" si="36"/>
        <v>-2199.2233333333338</v>
      </c>
      <c r="N134" s="80">
        <f t="shared" ca="1" si="36"/>
        <v>3320.8711377025038</v>
      </c>
      <c r="O134" s="80">
        <f t="shared" ca="1" si="36"/>
        <v>-910.83791666666639</v>
      </c>
      <c r="P134" s="80">
        <f t="shared" ca="1" si="36"/>
        <v>1281.5986126659532</v>
      </c>
      <c r="Q134" s="80">
        <f t="shared" ca="1" si="36"/>
        <v>84.65444444444438</v>
      </c>
      <c r="R134" s="80">
        <f t="shared" ca="1" si="36"/>
        <v>-3439.0761111111105</v>
      </c>
      <c r="S134" s="80">
        <f t="shared" ca="1" si="36"/>
        <v>-1814.8330555555558</v>
      </c>
      <c r="T134" s="80">
        <f t="shared" ca="1" si="36"/>
        <v>5296.2773611111106</v>
      </c>
      <c r="U134" s="80">
        <f t="shared" ca="1" si="36"/>
        <v>2180.2853492436861</v>
      </c>
      <c r="V134" s="80">
        <f t="shared" ca="1" si="36"/>
        <v>-4885.8066666666655</v>
      </c>
      <c r="W134" s="80">
        <f t="shared" ca="1" si="36"/>
        <v>433.77666666666664</v>
      </c>
      <c r="X134" s="80">
        <f t="shared" ca="1" si="36"/>
        <v>309.33499999999913</v>
      </c>
      <c r="Y134" s="80">
        <f t="shared" ca="1" si="36"/>
        <v>-4126.5879166666673</v>
      </c>
      <c r="Z134" s="80">
        <f t="shared" ca="1" si="36"/>
        <v>13100.282813677382</v>
      </c>
      <c r="AA134" s="80">
        <f t="shared" ca="1" si="36"/>
        <v>257.64819444444583</v>
      </c>
      <c r="AB134" s="80">
        <f t="shared" ca="1" si="36"/>
        <v>456.39888888888891</v>
      </c>
    </row>
    <row r="135" spans="1:28" ht="15.6" hidden="1" customHeight="1" outlineLevel="1" x14ac:dyDescent="0.25">
      <c r="A135" s="119" t="s">
        <v>173</v>
      </c>
      <c r="B135" s="120"/>
      <c r="C135" s="120"/>
      <c r="D135" s="121"/>
      <c r="E135" s="118"/>
      <c r="F135" s="118">
        <v>-6000</v>
      </c>
      <c r="G135" s="118">
        <v>-6000</v>
      </c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8"/>
      <c r="U135" s="118"/>
      <c r="V135" s="118"/>
      <c r="W135" s="118"/>
      <c r="X135" s="118"/>
      <c r="Y135" s="118"/>
      <c r="Z135" s="118"/>
      <c r="AA135" s="118"/>
      <c r="AB135" s="118"/>
    </row>
    <row r="136" spans="1:28" s="16" customFormat="1" collapsed="1" x14ac:dyDescent="0.25">
      <c r="B136" s="17"/>
      <c r="C136" s="17"/>
      <c r="D136" s="18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</row>
    <row r="137" spans="1:28" x14ac:dyDescent="0.25">
      <c r="A137" s="5" t="s">
        <v>2</v>
      </c>
      <c r="B137" s="34"/>
      <c r="D137" s="10"/>
      <c r="N137" s="11"/>
      <c r="O137" s="11"/>
      <c r="P137" s="11"/>
    </row>
    <row r="138" spans="1:28" x14ac:dyDescent="0.25">
      <c r="A138" s="39" t="s">
        <v>116</v>
      </c>
      <c r="B138" s="40"/>
      <c r="D138" s="10"/>
      <c r="N138" s="11"/>
      <c r="O138" s="11"/>
      <c r="P138" s="11"/>
    </row>
    <row r="139" spans="1:28" x14ac:dyDescent="0.25">
      <c r="A139" s="50" t="s">
        <v>93</v>
      </c>
      <c r="B139" s="51"/>
      <c r="D139" s="10"/>
      <c r="N139" s="11"/>
      <c r="O139" s="11"/>
      <c r="P139" s="11"/>
    </row>
    <row r="140" spans="1:28" x14ac:dyDescent="0.25">
      <c r="A140" s="13" t="s">
        <v>117</v>
      </c>
      <c r="B140" s="35"/>
      <c r="D140" s="10"/>
      <c r="N140" s="11"/>
      <c r="O140" s="11"/>
      <c r="P140" s="11"/>
    </row>
    <row r="141" spans="1:28" x14ac:dyDescent="0.25">
      <c r="A141" s="33" t="s">
        <v>118</v>
      </c>
      <c r="B141" s="36"/>
      <c r="D141" s="10"/>
      <c r="N141" s="11"/>
      <c r="O141" s="11"/>
      <c r="P141" s="11"/>
    </row>
    <row r="142" spans="1:28" x14ac:dyDescent="0.25">
      <c r="A142" s="37" t="s">
        <v>136</v>
      </c>
      <c r="B142" s="38"/>
    </row>
  </sheetData>
  <sheetProtection password="B3DB" sheet="1" objects="1" scenarios="1"/>
  <mergeCells count="3">
    <mergeCell ref="C13:D13"/>
    <mergeCell ref="C39:D39"/>
    <mergeCell ref="C128:D128"/>
  </mergeCells>
  <conditionalFormatting sqref="E117:AB126 E110:AB114 E135:AB135 E32:AB36 E42:AB46 E56:AB56 E66:AB66 E89:AB89 E107:AB107 E15:AB19 E7:AB9 E79:AB83 E76:AB76 E92:AB96 E59:AB63 E69:AB73">
    <cfRule type="expression" dxfId="33" priority="106">
      <formula>IF(DATE(E$1,E$2+1,1)&lt;TODAY(),TRUE,FALSE)</formula>
    </cfRule>
  </conditionalFormatting>
  <conditionalFormatting sqref="E20:AB20">
    <cfRule type="expression" dxfId="32" priority="36">
      <formula>IF(DATE(E$1,E$2+1,1)&lt;TODAY(),TRUE,FALSE)</formula>
    </cfRule>
  </conditionalFormatting>
  <conditionalFormatting sqref="E21:AB21">
    <cfRule type="expression" dxfId="31" priority="35">
      <formula>IF(DATE(E$1,E$2+1,1)&lt;TODAY(),TRUE,FALSE)</formula>
    </cfRule>
  </conditionalFormatting>
  <conditionalFormatting sqref="E97:AB97">
    <cfRule type="expression" dxfId="30" priority="34">
      <formula>IF(DATE(E$1,E$2+1,1)&lt;TODAY(),TRUE,FALSE)</formula>
    </cfRule>
  </conditionalFormatting>
  <conditionalFormatting sqref="E98:AB98">
    <cfRule type="expression" dxfId="29" priority="33">
      <formula>IF(DATE(E$1,E$2+1,1)&lt;TODAY(),TRUE,FALSE)</formula>
    </cfRule>
  </conditionalFormatting>
  <conditionalFormatting sqref="E99:AB99">
    <cfRule type="expression" dxfId="28" priority="32">
      <formula>IF(DATE(E$1,E$2+1,1)&lt;TODAY(),TRUE,FALSE)</formula>
    </cfRule>
  </conditionalFormatting>
  <conditionalFormatting sqref="E84:AB84">
    <cfRule type="expression" dxfId="27" priority="31">
      <formula>IF(DATE(E$1,E$2+1,1)&lt;TODAY(),TRUE,FALSE)</formula>
    </cfRule>
  </conditionalFormatting>
  <conditionalFormatting sqref="E47:AB47">
    <cfRule type="expression" dxfId="26" priority="30">
      <formula>IF(DATE(E$1,E$2+1,1)&lt;TODAY(),TRUE,FALSE)</formula>
    </cfRule>
  </conditionalFormatting>
  <conditionalFormatting sqref="E100:AB100">
    <cfRule type="expression" dxfId="25" priority="29">
      <formula>IF(DATE(E$1,E$2+1,1)&lt;TODAY(),TRUE,FALSE)</formula>
    </cfRule>
  </conditionalFormatting>
  <conditionalFormatting sqref="E101:AB101">
    <cfRule type="expression" dxfId="24" priority="28">
      <formula>IF(DATE(E$1,E$2+1,1)&lt;TODAY(),TRUE,FALSE)</formula>
    </cfRule>
  </conditionalFormatting>
  <conditionalFormatting sqref="E48:AB48">
    <cfRule type="expression" dxfId="23" priority="27">
      <formula>IF(DATE(E$1,E$2+1,1)&lt;TODAY(),TRUE,FALSE)</formula>
    </cfRule>
  </conditionalFormatting>
  <conditionalFormatting sqref="E22:AB22">
    <cfRule type="expression" dxfId="22" priority="26">
      <formula>IF(DATE(E$1,E$2+1,1)&lt;TODAY(),TRUE,FALSE)</formula>
    </cfRule>
  </conditionalFormatting>
  <conditionalFormatting sqref="E23:AB23">
    <cfRule type="expression" dxfId="21" priority="25">
      <formula>IF(DATE(E$1,E$2+1,1)&lt;TODAY(),TRUE,FALSE)</formula>
    </cfRule>
  </conditionalFormatting>
  <conditionalFormatting sqref="E24:AB24">
    <cfRule type="expression" dxfId="20" priority="24">
      <formula>IF(DATE(E$1,E$2+1,1)&lt;TODAY(),TRUE,FALSE)</formula>
    </cfRule>
  </conditionalFormatting>
  <conditionalFormatting sqref="E25:AB25">
    <cfRule type="expression" dxfId="19" priority="23">
      <formula>IF(DATE(E$1,E$2+1,1)&lt;TODAY(),TRUE,FALSE)</formula>
    </cfRule>
  </conditionalFormatting>
  <conditionalFormatting sqref="E26:AB26">
    <cfRule type="expression" dxfId="18" priority="22">
      <formula>IF(DATE(E$1,E$2+1,1)&lt;TODAY(),TRUE,FALSE)</formula>
    </cfRule>
  </conditionalFormatting>
  <conditionalFormatting sqref="E27:AB27">
    <cfRule type="expression" dxfId="17" priority="21">
      <formula>IF(DATE(E$1,E$2+1,1)&lt;TODAY(),TRUE,FALSE)</formula>
    </cfRule>
  </conditionalFormatting>
  <conditionalFormatting sqref="E28:AB28">
    <cfRule type="expression" dxfId="16" priority="20">
      <formula>IF(DATE(E$1,E$2+1,1)&lt;TODAY(),TRUE,FALSE)</formula>
    </cfRule>
  </conditionalFormatting>
  <conditionalFormatting sqref="E29:AB29">
    <cfRule type="expression" dxfId="15" priority="19">
      <formula>IF(DATE(E$1,E$2+1,1)&lt;TODAY(),TRUE,FALSE)</formula>
    </cfRule>
  </conditionalFormatting>
  <conditionalFormatting sqref="E49:AB49">
    <cfRule type="expression" dxfId="14" priority="18">
      <formula>IF(DATE(E$1,E$2+1,1)&lt;TODAY(),TRUE,FALSE)</formula>
    </cfRule>
  </conditionalFormatting>
  <conditionalFormatting sqref="E50:AB50">
    <cfRule type="expression" dxfId="13" priority="17">
      <formula>IF(DATE(E$1,E$2+1,1)&lt;TODAY(),TRUE,FALSE)</formula>
    </cfRule>
  </conditionalFormatting>
  <conditionalFormatting sqref="E51:AB51">
    <cfRule type="expression" dxfId="12" priority="16">
      <formula>IF(DATE(E$1,E$2+1,1)&lt;TODAY(),TRUE,FALSE)</formula>
    </cfRule>
  </conditionalFormatting>
  <conditionalFormatting sqref="E52:AB52">
    <cfRule type="expression" dxfId="11" priority="15">
      <formula>IF(DATE(E$1,E$2+1,1)&lt;TODAY(),TRUE,FALSE)</formula>
    </cfRule>
  </conditionalFormatting>
  <conditionalFormatting sqref="E53:AB53">
    <cfRule type="expression" dxfId="10" priority="14">
      <formula>IF(DATE(E$1,E$2+1,1)&lt;TODAY(),TRUE,FALSE)</formula>
    </cfRule>
  </conditionalFormatting>
  <conditionalFormatting sqref="E54:AB54">
    <cfRule type="expression" dxfId="9" priority="13">
      <formula>IF(DATE(E$1,E$2+1,1)&lt;TODAY(),TRUE,FALSE)</formula>
    </cfRule>
  </conditionalFormatting>
  <conditionalFormatting sqref="E85:AB85">
    <cfRule type="expression" dxfId="8" priority="12">
      <formula>IF(DATE(E$1,E$2+1,1)&lt;TODAY(),TRUE,FALSE)</formula>
    </cfRule>
  </conditionalFormatting>
  <conditionalFormatting sqref="E102:AB102">
    <cfRule type="expression" dxfId="7" priority="11">
      <formula>IF(DATE(E$1,E$2+1,1)&lt;TODAY(),TRUE,FALSE)</formula>
    </cfRule>
  </conditionalFormatting>
  <conditionalFormatting sqref="E103:AB103">
    <cfRule type="expression" dxfId="6" priority="10">
      <formula>IF(DATE(E$1,E$2+1,1)&lt;TODAY(),TRUE,FALSE)</formula>
    </cfRule>
  </conditionalFormatting>
  <conditionalFormatting sqref="E104:AB104">
    <cfRule type="expression" dxfId="5" priority="9">
      <formula>IF(DATE(E$1,E$2+1,1)&lt;TODAY(),TRUE,FALSE)</formula>
    </cfRule>
  </conditionalFormatting>
  <conditionalFormatting sqref="E105:AB105">
    <cfRule type="expression" dxfId="4" priority="8">
      <formula>IF(DATE(E$1,E$2+1,1)&lt;TODAY(),TRUE,FALSE)</formula>
    </cfRule>
  </conditionalFormatting>
  <conditionalFormatting sqref="E64:AB64">
    <cfRule type="expression" dxfId="3" priority="7">
      <formula>IF(DATE(E$1,E$2+1,1)&lt;TODAY(),TRUE,FALSE)</formula>
    </cfRule>
  </conditionalFormatting>
  <conditionalFormatting sqref="E86:AB86">
    <cfRule type="expression" dxfId="2" priority="6">
      <formula>IF(DATE(E$1,E$2+1,1)&lt;TODAY(),TRUE,FALSE)</formula>
    </cfRule>
  </conditionalFormatting>
  <conditionalFormatting sqref="E87:AB87">
    <cfRule type="expression" dxfId="1" priority="5">
      <formula>IF(DATE(E$1,E$2+1,1)&lt;TODAY(),TRUE,FALSE)</formula>
    </cfRule>
  </conditionalFormatting>
  <conditionalFormatting sqref="E74:AB74">
    <cfRule type="expression" dxfId="0" priority="4">
      <formula>IF(DATE(E$1,E$2+1,1)&lt;TODAY(),TRUE,FALSE)</formula>
    </cfRule>
  </conditionalFormatting>
  <dataValidations count="7">
    <dataValidation type="list" allowBlank="1" showInputMessage="1" showErrorMessage="1" sqref="C110:C115 C79:C88 C59:C65 C69:C75 C92:C106">
      <formula1>Variabilisation_sans_variable</formula1>
    </dataValidation>
    <dataValidation type="list" allowBlank="1" showInputMessage="1" showErrorMessage="1" sqref="B69:B75 B79:B88 B59:B65 B92:B106">
      <formula1>Nature_autres_depenses</formula1>
    </dataValidation>
    <dataValidation type="list" allowBlank="1" showInputMessage="1" showErrorMessage="1" sqref="C42:C55">
      <formula1>Variabilisation_variable</formula1>
    </dataValidation>
    <dataValidation type="list" allowBlank="1" showInputMessage="1" showErrorMessage="1" sqref="B42:B55">
      <formula1>Nature_depenses_CA</formula1>
    </dataValidation>
    <dataValidation type="list" allowBlank="1" showInputMessage="1" showErrorMessage="1" sqref="B15:B29">
      <formula1>Nature_CA</formula1>
    </dataValidation>
    <dataValidation type="list" allowBlank="1" showInputMessage="1" showErrorMessage="1" sqref="C15:C30 C32:C37">
      <formula1>Probabilite_encaissement</formula1>
    </dataValidation>
    <dataValidation type="list" allowBlank="1" showInputMessage="1" showErrorMessage="1" sqref="B32:B37">
      <formula1>Nature_autres_encaissements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8" fitToHeight="17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Parametres!$A$80:$A$83</xm:f>
          </x14:formula1>
          <xm:sqref>B1</xm:sqref>
        </x14:dataValidation>
        <x14:dataValidation type="list" allowBlank="1" showInputMessage="1" showErrorMessage="1">
          <x14:formula1>
            <xm:f>Parametres!$A$28:$A$33</xm:f>
          </x14:formula1>
          <xm:sqref>C30</xm:sqref>
        </x14:dataValidation>
        <x14:dataValidation type="list" allowBlank="1" showInputMessage="1" showErrorMessage="1">
          <x14:formula1>
            <xm:f>Parametres!$A$8:$A$16</xm:f>
          </x14:formula1>
          <xm:sqref>B30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Y2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8" sqref="H18"/>
    </sheetView>
  </sheetViews>
  <sheetFormatPr baseColWidth="10" defaultColWidth="10.625" defaultRowHeight="15.75" x14ac:dyDescent="0.25"/>
  <cols>
    <col min="1" max="1" width="36.25" style="129" bestFit="1" customWidth="1"/>
    <col min="2" max="25" width="12.25" style="130" customWidth="1"/>
    <col min="26" max="16384" width="10.625" style="129"/>
  </cols>
  <sheetData>
    <row r="1" spans="1:25" x14ac:dyDescent="0.25">
      <c r="A1" s="144"/>
      <c r="B1" s="145">
        <f>Tresorerie!E4</f>
        <v>42736</v>
      </c>
      <c r="C1" s="145">
        <f>Tresorerie!F4</f>
        <v>42767</v>
      </c>
      <c r="D1" s="145">
        <f>Tresorerie!G4</f>
        <v>42795</v>
      </c>
      <c r="E1" s="145">
        <f>Tresorerie!H4</f>
        <v>42826</v>
      </c>
      <c r="F1" s="145">
        <f>Tresorerie!I4</f>
        <v>42856</v>
      </c>
      <c r="G1" s="145">
        <f>Tresorerie!J4</f>
        <v>42887</v>
      </c>
      <c r="H1" s="145">
        <f>Tresorerie!K4</f>
        <v>42917</v>
      </c>
      <c r="I1" s="145">
        <f>Tresorerie!L4</f>
        <v>42948</v>
      </c>
      <c r="J1" s="145">
        <f>Tresorerie!M4</f>
        <v>42979</v>
      </c>
      <c r="K1" s="145">
        <f>Tresorerie!N4</f>
        <v>43009</v>
      </c>
      <c r="L1" s="145">
        <f>Tresorerie!O4</f>
        <v>43040</v>
      </c>
      <c r="M1" s="145">
        <f>Tresorerie!P4</f>
        <v>43070</v>
      </c>
      <c r="N1" s="145">
        <f>Tresorerie!Q4</f>
        <v>43101</v>
      </c>
      <c r="O1" s="145">
        <f>Tresorerie!R4</f>
        <v>43132</v>
      </c>
      <c r="P1" s="145">
        <f>Tresorerie!S4</f>
        <v>43160</v>
      </c>
      <c r="Q1" s="145">
        <f>Tresorerie!T4</f>
        <v>43191</v>
      </c>
      <c r="R1" s="145">
        <f>Tresorerie!U4</f>
        <v>43221</v>
      </c>
      <c r="S1" s="145">
        <f>Tresorerie!V4</f>
        <v>43252</v>
      </c>
      <c r="T1" s="145">
        <f>Tresorerie!W4</f>
        <v>43282</v>
      </c>
      <c r="U1" s="145">
        <f>Tresorerie!X4</f>
        <v>43313</v>
      </c>
      <c r="V1" s="145">
        <f>Tresorerie!Y4</f>
        <v>43344</v>
      </c>
      <c r="W1" s="145">
        <f>Tresorerie!Z4</f>
        <v>43374</v>
      </c>
      <c r="X1" s="145">
        <f>Tresorerie!AA4</f>
        <v>43405</v>
      </c>
      <c r="Y1" s="145">
        <f>Tresorerie!AB4</f>
        <v>43435</v>
      </c>
    </row>
    <row r="2" spans="1:25" s="141" customFormat="1" x14ac:dyDescent="0.25">
      <c r="A2" s="139" t="str">
        <f>Tresorerie!A14</f>
        <v>CHIFFRE D'AFFAIRES TTC</v>
      </c>
      <c r="B2" s="140">
        <f ca="1">Tresorerie!E14</f>
        <v>0</v>
      </c>
      <c r="C2" s="140">
        <f ca="1">Tresorerie!F14</f>
        <v>4468.8</v>
      </c>
      <c r="D2" s="140">
        <f ca="1">Tresorerie!G14</f>
        <v>19003.2</v>
      </c>
      <c r="E2" s="140">
        <f ca="1">Tresorerie!H14</f>
        <v>6420</v>
      </c>
      <c r="F2" s="140">
        <f ca="1">Tresorerie!I14</f>
        <v>17400</v>
      </c>
      <c r="G2" s="140">
        <f ca="1">Tresorerie!J14</f>
        <v>8025</v>
      </c>
      <c r="H2" s="140">
        <f ca="1">Tresorerie!K14</f>
        <v>6420</v>
      </c>
      <c r="I2" s="140">
        <f ca="1">Tresorerie!L14</f>
        <v>0</v>
      </c>
      <c r="J2" s="140">
        <f ca="1">Tresorerie!M14</f>
        <v>42320</v>
      </c>
      <c r="K2" s="140">
        <f ca="1">Tresorerie!N14</f>
        <v>12375</v>
      </c>
      <c r="L2" s="140">
        <f ca="1">Tresorerie!O14</f>
        <v>21631.5</v>
      </c>
      <c r="M2" s="140">
        <f ca="1">Tresorerie!P14</f>
        <v>14799.166666666666</v>
      </c>
      <c r="N2" s="140">
        <f ca="1">Tresorerie!Q14</f>
        <v>12093.333333333334</v>
      </c>
      <c r="O2" s="140">
        <f ca="1">Tresorerie!R14</f>
        <v>17043.333333333332</v>
      </c>
      <c r="P2" s="140">
        <f ca="1">Tresorerie!S14</f>
        <v>59852.916666666664</v>
      </c>
      <c r="Q2" s="140">
        <f ca="1">Tresorerie!T14</f>
        <v>43752.916666666664</v>
      </c>
      <c r="R2" s="140">
        <f ca="1">Tresorerie!U14</f>
        <v>17712.5</v>
      </c>
      <c r="S2" s="140">
        <f ca="1">Tresorerie!V14</f>
        <v>17712.5</v>
      </c>
      <c r="T2" s="140">
        <f ca="1">Tresorerie!W14</f>
        <v>16857.5</v>
      </c>
      <c r="U2" s="140">
        <f ca="1">Tresorerie!X14</f>
        <v>1672.9166666666667</v>
      </c>
      <c r="V2" s="140">
        <f ca="1">Tresorerie!Y14</f>
        <v>126116.66666666667</v>
      </c>
      <c r="W2" s="140">
        <f ca="1">Tresorerie!Z14</f>
        <v>21742.916666666668</v>
      </c>
      <c r="X2" s="140">
        <f ca="1">Tresorerie!AA14</f>
        <v>21408.333333333332</v>
      </c>
      <c r="Y2" s="140">
        <f ca="1">Tresorerie!AB14</f>
        <v>21073.75</v>
      </c>
    </row>
    <row r="3" spans="1:25" x14ac:dyDescent="0.25">
      <c r="A3" s="133" t="str">
        <f>Parametres!$A8</f>
        <v>Acétate</v>
      </c>
      <c r="B3" s="134">
        <f ca="1">IF(DATE(YEAR(B$1),MONTH(B$1)+1,1)&lt;=TODAY(),SUMIF(Tresorerie!$B$15:$B$30,$A3,Tresorerie!E$15:E$30),SUMPRODUCT((Tresorerie!$B$15:$B$30=$A3)*Tresorerie!$D$15:$D$30*Tresorerie!E$15:E$30))</f>
        <v>0</v>
      </c>
      <c r="C3" s="134">
        <f ca="1">IF(DATE(YEAR(C$1),MONTH(C$1)+1,1)&lt;=TODAY(),SUMIF(Tresorerie!$B$15:$B$30,$A3,Tresorerie!F$15:F$30),SUMPRODUCT((Tresorerie!$B$15:$B$30=$A3)*Tresorerie!$D$15:$D$30*Tresorerie!F$15:F$30))</f>
        <v>4468.8</v>
      </c>
      <c r="D3" s="134">
        <f ca="1">IF(DATE(YEAR(D$1),MONTH(D$1)+1,1)&lt;=TODAY(),SUMIF(Tresorerie!$B$15:$B$30,$A3,Tresorerie!G$15:G$30),SUMPRODUCT((Tresorerie!$B$15:$B$30=$A3)*Tresorerie!$D$15:$D$30*Tresorerie!G$15:G$30))</f>
        <v>19003.2</v>
      </c>
      <c r="E3" s="134">
        <f ca="1">IF(DATE(YEAR(E$1),MONTH(E$1)+1,1)&lt;=TODAY(),SUMIF(Tresorerie!$B$15:$B$30,$A3,Tresorerie!H$15:H$30),SUMPRODUCT((Tresorerie!$B$15:$B$30=$A3)*Tresorerie!$D$15:$D$30*Tresorerie!H$15:H$30))</f>
        <v>6420</v>
      </c>
      <c r="F3" s="134">
        <f ca="1">IF(DATE(YEAR(F$1),MONTH(F$1)+1,1)&lt;=TODAY(),SUMIF(Tresorerie!$B$15:$B$30,$A3,Tresorerie!I$15:I$30),SUMPRODUCT((Tresorerie!$B$15:$B$30=$A3)*Tresorerie!$D$15:$D$30*Tresorerie!I$15:I$30))</f>
        <v>8025</v>
      </c>
      <c r="G3" s="134">
        <f ca="1">IF(DATE(YEAR(G$1),MONTH(G$1)+1,1)&lt;=TODAY(),SUMIF(Tresorerie!$B$15:$B$30,$A3,Tresorerie!J$15:J$30),SUMPRODUCT((Tresorerie!$B$15:$B$30=$A3)*Tresorerie!$D$15:$D$30*Tresorerie!J$15:J$30))</f>
        <v>8025</v>
      </c>
      <c r="H3" s="134">
        <f ca="1">IF(DATE(YEAR(H$1),MONTH(H$1)+1,1)&lt;=TODAY(),SUMIF(Tresorerie!$B$15:$B$30,$A3,Tresorerie!K$15:K$30),SUMPRODUCT((Tresorerie!$B$15:$B$30=$A3)*Tresorerie!$D$15:$D$30*Tresorerie!K$15:K$30))</f>
        <v>6420</v>
      </c>
      <c r="I3" s="134">
        <f ca="1">IF(DATE(YEAR(I$1),MONTH(I$1)+1,1)&lt;=TODAY(),SUMIF(Tresorerie!$B$15:$B$30,$A3,Tresorerie!L$15:L$30),SUMPRODUCT((Tresorerie!$B$15:$B$30=$A3)*Tresorerie!$D$15:$D$30*Tresorerie!L$15:L$30))</f>
        <v>0</v>
      </c>
      <c r="J3" s="134">
        <f ca="1">IF(DATE(YEAR(J$1),MONTH(J$1)+1,1)&lt;=TODAY(),SUMIF(Tresorerie!$B$15:$B$30,$A3,Tresorerie!M$15:M$30),SUMPRODUCT((Tresorerie!$B$15:$B$30=$A3)*Tresorerie!$D$15:$D$30*Tresorerie!M$15:M$30))</f>
        <v>11235</v>
      </c>
      <c r="K3" s="134">
        <f ca="1">IF(DATE(YEAR(K$1),MONTH(K$1)+1,1)&lt;=TODAY(),SUMIF(Tresorerie!$B$15:$B$30,$A3,Tresorerie!N$15:N$30),SUMPRODUCT((Tresorerie!$B$15:$B$30=$A3)*Tresorerie!$D$15:$D$30*Tresorerie!N$15:N$30))</f>
        <v>8025</v>
      </c>
      <c r="L3" s="134">
        <f ca="1">IF(DATE(YEAR(L$1),MONTH(L$1)+1,1)&lt;=TODAY(),SUMIF(Tresorerie!$B$15:$B$30,$A3,Tresorerie!O$15:O$30),SUMPRODUCT((Tresorerie!$B$15:$B$30=$A3)*Tresorerie!$D$15:$D$30*Tresorerie!O$15:O$30))</f>
        <v>8025</v>
      </c>
      <c r="M3" s="134">
        <f ca="1">IF(DATE(YEAR(M$1),MONTH(M$1)+1,1)&lt;=TODAY(),SUMIF(Tresorerie!$B$15:$B$30,$A3,Tresorerie!P$15:P$30),SUMPRODUCT((Tresorerie!$B$15:$B$30=$A3)*Tresorerie!$D$15:$D$30*Tresorerie!P$15:P$30))</f>
        <v>6420</v>
      </c>
      <c r="N3" s="134">
        <f ca="1">IF(DATE(YEAR(N$1),MONTH(N$1)+1,1)&lt;=TODAY(),SUMIF(Tresorerie!$B$15:$B$30,$A3,Tresorerie!Q$15:Q$30),SUMPRODUCT((Tresorerie!$B$15:$B$30=$A3)*Tresorerie!$D$15:$D$30*Tresorerie!Q$15:Q$30))</f>
        <v>6420</v>
      </c>
      <c r="O3" s="134">
        <f ca="1">IF(DATE(YEAR(O$1),MONTH(O$1)+1,1)&lt;=TODAY(),SUMIF(Tresorerie!$B$15:$B$30,$A3,Tresorerie!R$15:R$30),SUMPRODUCT((Tresorerie!$B$15:$B$30=$A3)*Tresorerie!$D$15:$D$30*Tresorerie!R$15:R$30))</f>
        <v>9630</v>
      </c>
      <c r="P3" s="134">
        <f ca="1">IF(DATE(YEAR(P$1),MONTH(P$1)+1,1)&lt;=TODAY(),SUMIF(Tresorerie!$B$15:$B$30,$A3,Tresorerie!S$15:S$30),SUMPRODUCT((Tresorerie!$B$15:$B$30=$A3)*Tresorerie!$D$15:$D$30*Tresorerie!S$15:S$30))</f>
        <v>9630</v>
      </c>
      <c r="Q3" s="134">
        <f ca="1">IF(DATE(YEAR(Q$1),MONTH(Q$1)+1,1)&lt;=TODAY(),SUMIF(Tresorerie!$B$15:$B$30,$A3,Tresorerie!T$15:T$30),SUMPRODUCT((Tresorerie!$B$15:$B$30=$A3)*Tresorerie!$D$15:$D$30*Tresorerie!T$15:T$30))</f>
        <v>9630</v>
      </c>
      <c r="R3" s="134">
        <f ca="1">IF(DATE(YEAR(R$1),MONTH(R$1)+1,1)&lt;=TODAY(),SUMIF(Tresorerie!$B$15:$B$30,$A3,Tresorerie!U$15:U$30),SUMPRODUCT((Tresorerie!$B$15:$B$30=$A3)*Tresorerie!$D$15:$D$30*Tresorerie!U$15:U$30))</f>
        <v>9630</v>
      </c>
      <c r="S3" s="134">
        <f ca="1">IF(DATE(YEAR(S$1),MONTH(S$1)+1,1)&lt;=TODAY(),SUMIF(Tresorerie!$B$15:$B$30,$A3,Tresorerie!V$15:V$30),SUMPRODUCT((Tresorerie!$B$15:$B$30=$A3)*Tresorerie!$D$15:$D$30*Tresorerie!V$15:V$30))</f>
        <v>9630</v>
      </c>
      <c r="T3" s="134">
        <f ca="1">IF(DATE(YEAR(T$1),MONTH(T$1)+1,1)&lt;=TODAY(),SUMIF(Tresorerie!$B$15:$B$30,$A3,Tresorerie!W$15:W$30),SUMPRODUCT((Tresorerie!$B$15:$B$30=$A3)*Tresorerie!$D$15:$D$30*Tresorerie!W$15:W$30))</f>
        <v>9630</v>
      </c>
      <c r="U3" s="134">
        <f ca="1">IF(DATE(YEAR(U$1),MONTH(U$1)+1,1)&lt;=TODAY(),SUMIF(Tresorerie!$B$15:$B$30,$A3,Tresorerie!X$15:X$30),SUMPRODUCT((Tresorerie!$B$15:$B$30=$A3)*Tresorerie!$D$15:$D$30*Tresorerie!X$15:X$30))</f>
        <v>0</v>
      </c>
      <c r="V3" s="134">
        <f ca="1">IF(DATE(YEAR(V$1),MONTH(V$1)+1,1)&lt;=TODAY(),SUMIF(Tresorerie!$B$15:$B$30,$A3,Tresorerie!Y$15:Y$30),SUMPRODUCT((Tresorerie!$B$15:$B$30=$A3)*Tresorerie!$D$15:$D$30*Tresorerie!Y$15:Y$30))</f>
        <v>19260</v>
      </c>
      <c r="W3" s="134">
        <f ca="1">IF(DATE(YEAR(W$1),MONTH(W$1)+1,1)&lt;=TODAY(),SUMIF(Tresorerie!$B$15:$B$30,$A3,Tresorerie!Z$15:Z$30),SUMPRODUCT((Tresorerie!$B$15:$B$30=$A3)*Tresorerie!$D$15:$D$30*Tresorerie!Z$15:Z$30))</f>
        <v>9630</v>
      </c>
      <c r="X3" s="134">
        <f ca="1">IF(DATE(YEAR(X$1),MONTH(X$1)+1,1)&lt;=TODAY(),SUMIF(Tresorerie!$B$15:$B$30,$A3,Tresorerie!AA$15:AA$30),SUMPRODUCT((Tresorerie!$B$15:$B$30=$A3)*Tresorerie!$D$15:$D$30*Tresorerie!AA$15:AA$30))</f>
        <v>9630</v>
      </c>
      <c r="Y3" s="134">
        <f ca="1">IF(DATE(YEAR(Y$1),MONTH(Y$1)+1,1)&lt;=TODAY(),SUMIF(Tresorerie!$B$15:$B$30,$A3,Tresorerie!AB$15:AB$30),SUMPRODUCT((Tresorerie!$B$15:$B$30=$A3)*Tresorerie!$D$15:$D$30*Tresorerie!AB$15:AB$30))</f>
        <v>9630</v>
      </c>
    </row>
    <row r="4" spans="1:25" x14ac:dyDescent="0.25">
      <c r="A4" s="135" t="str">
        <f>Parametres!$A9</f>
        <v>Injectés</v>
      </c>
      <c r="B4" s="136">
        <f ca="1">IF(DATE(YEAR(B$1),MONTH(B$1)+1,1)&lt;=TODAY(),SUMIF(Tresorerie!$B$15:$B$30,$A4,Tresorerie!E$15:E$30),SUMPRODUCT((Tresorerie!$B$15:$B$30=$A4)*Tresorerie!$D$15:$D$30*Tresorerie!E$15:E$30))</f>
        <v>0</v>
      </c>
      <c r="C4" s="136">
        <f ca="1">IF(DATE(YEAR(C$1),MONTH(C$1)+1,1)&lt;=TODAY(),SUMIF(Tresorerie!$B$15:$B$30,$A4,Tresorerie!F$15:F$30),SUMPRODUCT((Tresorerie!$B$15:$B$30=$A4)*Tresorerie!$D$15:$D$30*Tresorerie!F$15:F$30))</f>
        <v>0</v>
      </c>
      <c r="D4" s="136">
        <f ca="1">IF(DATE(YEAR(D$1),MONTH(D$1)+1,1)&lt;=TODAY(),SUMIF(Tresorerie!$B$15:$B$30,$A4,Tresorerie!G$15:G$30),SUMPRODUCT((Tresorerie!$B$15:$B$30=$A4)*Tresorerie!$D$15:$D$30*Tresorerie!G$15:G$30))</f>
        <v>0</v>
      </c>
      <c r="E4" s="136">
        <f ca="1">IF(DATE(YEAR(E$1),MONTH(E$1)+1,1)&lt;=TODAY(),SUMIF(Tresorerie!$B$15:$B$30,$A4,Tresorerie!H$15:H$30),SUMPRODUCT((Tresorerie!$B$15:$B$30=$A4)*Tresorerie!$D$15:$D$30*Tresorerie!H$15:H$30))</f>
        <v>0</v>
      </c>
      <c r="F4" s="136">
        <f ca="1">IF(DATE(YEAR(F$1),MONTH(F$1)+1,1)&lt;=TODAY(),SUMIF(Tresorerie!$B$15:$B$30,$A4,Tresorerie!I$15:I$30),SUMPRODUCT((Tresorerie!$B$15:$B$30=$A4)*Tresorerie!$D$15:$D$30*Tresorerie!I$15:I$30))</f>
        <v>0</v>
      </c>
      <c r="G4" s="136">
        <f ca="1">IF(DATE(YEAR(G$1),MONTH(G$1)+1,1)&lt;=TODAY(),SUMIF(Tresorerie!$B$15:$B$30,$A4,Tresorerie!J$15:J$30),SUMPRODUCT((Tresorerie!$B$15:$B$30=$A4)*Tresorerie!$D$15:$D$30*Tresorerie!J$15:J$30))</f>
        <v>0</v>
      </c>
      <c r="H4" s="136">
        <f ca="1">IF(DATE(YEAR(H$1),MONTH(H$1)+1,1)&lt;=TODAY(),SUMIF(Tresorerie!$B$15:$B$30,$A4,Tresorerie!K$15:K$30),SUMPRODUCT((Tresorerie!$B$15:$B$30=$A4)*Tresorerie!$D$15:$D$30*Tresorerie!K$15:K$30))</f>
        <v>0</v>
      </c>
      <c r="I4" s="136">
        <f ca="1">IF(DATE(YEAR(I$1),MONTH(I$1)+1,1)&lt;=TODAY(),SUMIF(Tresorerie!$B$15:$B$30,$A4,Tresorerie!L$15:L$30),SUMPRODUCT((Tresorerie!$B$15:$B$30=$A4)*Tresorerie!$D$15:$D$30*Tresorerie!L$15:L$30))</f>
        <v>0</v>
      </c>
      <c r="J4" s="136">
        <f ca="1">IF(DATE(YEAR(J$1),MONTH(J$1)+1,1)&lt;=TODAY(),SUMIF(Tresorerie!$B$15:$B$30,$A4,Tresorerie!M$15:M$30),SUMPRODUCT((Tresorerie!$B$15:$B$30=$A4)*Tresorerie!$D$15:$D$30*Tresorerie!M$15:M$30))</f>
        <v>6960</v>
      </c>
      <c r="K4" s="136">
        <f ca="1">IF(DATE(YEAR(K$1),MONTH(K$1)+1,1)&lt;=TODAY(),SUMIF(Tresorerie!$B$15:$B$30,$A4,Tresorerie!N$15:N$30),SUMPRODUCT((Tresorerie!$B$15:$B$30=$A4)*Tresorerie!$D$15:$D$30*Tresorerie!N$15:N$30))</f>
        <v>4350</v>
      </c>
      <c r="L4" s="136">
        <f ca="1">IF(DATE(YEAR(L$1),MONTH(L$1)+1,1)&lt;=TODAY(),SUMIF(Tresorerie!$B$15:$B$30,$A4,Tresorerie!O$15:O$30),SUMPRODUCT((Tresorerie!$B$15:$B$30=$A4)*Tresorerie!$D$15:$D$30*Tresorerie!O$15:O$30))</f>
        <v>4350</v>
      </c>
      <c r="M4" s="136">
        <f ca="1">IF(DATE(YEAR(M$1),MONTH(M$1)+1,1)&lt;=TODAY(),SUMIF(Tresorerie!$B$15:$B$30,$A4,Tresorerie!P$15:P$30),SUMPRODUCT((Tresorerie!$B$15:$B$30=$A4)*Tresorerie!$D$15:$D$30*Tresorerie!P$15:P$30))</f>
        <v>3480</v>
      </c>
      <c r="N4" s="136">
        <f ca="1">IF(DATE(YEAR(N$1),MONTH(N$1)+1,1)&lt;=TODAY(),SUMIF(Tresorerie!$B$15:$B$30,$A4,Tresorerie!Q$15:Q$30),SUMPRODUCT((Tresorerie!$B$15:$B$30=$A4)*Tresorerie!$D$15:$D$30*Tresorerie!Q$15:Q$30))</f>
        <v>3480</v>
      </c>
      <c r="O4" s="136">
        <f ca="1">IF(DATE(YEAR(O$1),MONTH(O$1)+1,1)&lt;=TODAY(),SUMIF(Tresorerie!$B$15:$B$30,$A4,Tresorerie!R$15:R$30),SUMPRODUCT((Tresorerie!$B$15:$B$30=$A4)*Tresorerie!$D$15:$D$30*Tresorerie!R$15:R$30))</f>
        <v>5220</v>
      </c>
      <c r="P4" s="136">
        <f ca="1">IF(DATE(YEAR(P$1),MONTH(P$1)+1,1)&lt;=TODAY(),SUMIF(Tresorerie!$B$15:$B$30,$A4,Tresorerie!S$15:S$30),SUMPRODUCT((Tresorerie!$B$15:$B$30=$A4)*Tresorerie!$D$15:$D$30*Tresorerie!S$15:S$30))</f>
        <v>5220</v>
      </c>
      <c r="Q4" s="136">
        <f ca="1">IF(DATE(YEAR(Q$1),MONTH(Q$1)+1,1)&lt;=TODAY(),SUMIF(Tresorerie!$B$15:$B$30,$A4,Tresorerie!T$15:T$30),SUMPRODUCT((Tresorerie!$B$15:$B$30=$A4)*Tresorerie!$D$15:$D$30*Tresorerie!T$15:T$30))</f>
        <v>5220</v>
      </c>
      <c r="R4" s="136">
        <f ca="1">IF(DATE(YEAR(R$1),MONTH(R$1)+1,1)&lt;=TODAY(),SUMIF(Tresorerie!$B$15:$B$30,$A4,Tresorerie!U$15:U$30),SUMPRODUCT((Tresorerie!$B$15:$B$30=$A4)*Tresorerie!$D$15:$D$30*Tresorerie!U$15:U$30))</f>
        <v>5220</v>
      </c>
      <c r="S4" s="136">
        <f ca="1">IF(DATE(YEAR(S$1),MONTH(S$1)+1,1)&lt;=TODAY(),SUMIF(Tresorerie!$B$15:$B$30,$A4,Tresorerie!V$15:V$30),SUMPRODUCT((Tresorerie!$B$15:$B$30=$A4)*Tresorerie!$D$15:$D$30*Tresorerie!V$15:V$30))</f>
        <v>5220</v>
      </c>
      <c r="T4" s="136">
        <f ca="1">IF(DATE(YEAR(T$1),MONTH(T$1)+1,1)&lt;=TODAY(),SUMIF(Tresorerie!$B$15:$B$30,$A4,Tresorerie!W$15:W$30),SUMPRODUCT((Tresorerie!$B$15:$B$30=$A4)*Tresorerie!$D$15:$D$30*Tresorerie!W$15:W$30))</f>
        <v>5220</v>
      </c>
      <c r="U4" s="136">
        <f ca="1">IF(DATE(YEAR(U$1),MONTH(U$1)+1,1)&lt;=TODAY(),SUMIF(Tresorerie!$B$15:$B$30,$A4,Tresorerie!X$15:X$30),SUMPRODUCT((Tresorerie!$B$15:$B$30=$A4)*Tresorerie!$D$15:$D$30*Tresorerie!X$15:X$30))</f>
        <v>0</v>
      </c>
      <c r="V4" s="136">
        <f ca="1">IF(DATE(YEAR(V$1),MONTH(V$1)+1,1)&lt;=TODAY(),SUMIF(Tresorerie!$B$15:$B$30,$A4,Tresorerie!Y$15:Y$30),SUMPRODUCT((Tresorerie!$B$15:$B$30=$A4)*Tresorerie!$D$15:$D$30*Tresorerie!Y$15:Y$30))</f>
        <v>12180</v>
      </c>
      <c r="W4" s="136">
        <f ca="1">IF(DATE(YEAR(W$1),MONTH(W$1)+1,1)&lt;=TODAY(),SUMIF(Tresorerie!$B$15:$B$30,$A4,Tresorerie!Z$15:Z$30),SUMPRODUCT((Tresorerie!$B$15:$B$30=$A4)*Tresorerie!$D$15:$D$30*Tresorerie!Z$15:Z$30))</f>
        <v>10440</v>
      </c>
      <c r="X4" s="136">
        <f ca="1">IF(DATE(YEAR(X$1),MONTH(X$1)+1,1)&lt;=TODAY(),SUMIF(Tresorerie!$B$15:$B$30,$A4,Tresorerie!AA$15:AA$30),SUMPRODUCT((Tresorerie!$B$15:$B$30=$A4)*Tresorerie!$D$15:$D$30*Tresorerie!AA$15:AA$30))</f>
        <v>10440</v>
      </c>
      <c r="Y4" s="136">
        <f ca="1">IF(DATE(YEAR(Y$1),MONTH(Y$1)+1,1)&lt;=TODAY(),SUMIF(Tresorerie!$B$15:$B$30,$A4,Tresorerie!AB$15:AB$30),SUMPRODUCT((Tresorerie!$B$15:$B$30=$A4)*Tresorerie!$D$15:$D$30*Tresorerie!AB$15:AB$30))</f>
        <v>10440</v>
      </c>
    </row>
    <row r="5" spans="1:25" x14ac:dyDescent="0.25">
      <c r="A5" s="135" t="str">
        <f>Parametres!$A10</f>
        <v>Big Deal</v>
      </c>
      <c r="B5" s="136">
        <f ca="1">IF(DATE(YEAR(B$1),MONTH(B$1)+1,1)&lt;=TODAY(),SUMIF(Tresorerie!$B$15:$B$30,$A5,Tresorerie!E$15:E$30),SUMPRODUCT((Tresorerie!$B$15:$B$30=$A5)*Tresorerie!$D$15:$D$30*Tresorerie!E$15:E$30))</f>
        <v>0</v>
      </c>
      <c r="C5" s="136">
        <f ca="1">IF(DATE(YEAR(C$1),MONTH(C$1)+1,1)&lt;=TODAY(),SUMIF(Tresorerie!$B$15:$B$30,$A5,Tresorerie!F$15:F$30),SUMPRODUCT((Tresorerie!$B$15:$B$30=$A5)*Tresorerie!$D$15:$D$30*Tresorerie!F$15:F$30))</f>
        <v>0</v>
      </c>
      <c r="D5" s="136">
        <f ca="1">IF(DATE(YEAR(D$1),MONTH(D$1)+1,1)&lt;=TODAY(),SUMIF(Tresorerie!$B$15:$B$30,$A5,Tresorerie!G$15:G$30),SUMPRODUCT((Tresorerie!$B$15:$B$30=$A5)*Tresorerie!$D$15:$D$30*Tresorerie!G$15:G$30))</f>
        <v>0</v>
      </c>
      <c r="E5" s="136">
        <f ca="1">IF(DATE(YEAR(E$1),MONTH(E$1)+1,1)&lt;=TODAY(),SUMIF(Tresorerie!$B$15:$B$30,$A5,Tresorerie!H$15:H$30),SUMPRODUCT((Tresorerie!$B$15:$B$30=$A5)*Tresorerie!$D$15:$D$30*Tresorerie!H$15:H$30))</f>
        <v>0</v>
      </c>
      <c r="F5" s="136">
        <f ca="1">IF(DATE(YEAR(F$1),MONTH(F$1)+1,1)&lt;=TODAY(),SUMIF(Tresorerie!$B$15:$B$30,$A5,Tresorerie!I$15:I$30),SUMPRODUCT((Tresorerie!$B$15:$B$30=$A5)*Tresorerie!$D$15:$D$30*Tresorerie!I$15:I$30))</f>
        <v>0</v>
      </c>
      <c r="G5" s="136">
        <f ca="1">IF(DATE(YEAR(G$1),MONTH(G$1)+1,1)&lt;=TODAY(),SUMIF(Tresorerie!$B$15:$B$30,$A5,Tresorerie!J$15:J$30),SUMPRODUCT((Tresorerie!$B$15:$B$30=$A5)*Tresorerie!$D$15:$D$30*Tresorerie!J$15:J$30))</f>
        <v>0</v>
      </c>
      <c r="H5" s="136">
        <f ca="1">IF(DATE(YEAR(H$1),MONTH(H$1)+1,1)&lt;=TODAY(),SUMIF(Tresorerie!$B$15:$B$30,$A5,Tresorerie!K$15:K$30),SUMPRODUCT((Tresorerie!$B$15:$B$30=$A5)*Tresorerie!$D$15:$D$30*Tresorerie!K$15:K$30))</f>
        <v>0</v>
      </c>
      <c r="I5" s="136">
        <f ca="1">IF(DATE(YEAR(I$1),MONTH(I$1)+1,1)&lt;=TODAY(),SUMIF(Tresorerie!$B$15:$B$30,$A5,Tresorerie!L$15:L$30),SUMPRODUCT((Tresorerie!$B$15:$B$30=$A5)*Tresorerie!$D$15:$D$30*Tresorerie!L$15:L$30))</f>
        <v>0</v>
      </c>
      <c r="J5" s="136">
        <f ca="1">IF(DATE(YEAR(J$1),MONTH(J$1)+1,1)&lt;=TODAY(),SUMIF(Tresorerie!$B$15:$B$30,$A5,Tresorerie!M$15:M$30),SUMPRODUCT((Tresorerie!$B$15:$B$30=$A5)*Tresorerie!$D$15:$D$30*Tresorerie!M$15:M$30))</f>
        <v>8000</v>
      </c>
      <c r="K5" s="136">
        <f ca="1">IF(DATE(YEAR(K$1),MONTH(K$1)+1,1)&lt;=TODAY(),SUMIF(Tresorerie!$B$15:$B$30,$A5,Tresorerie!N$15:N$30),SUMPRODUCT((Tresorerie!$B$15:$B$30=$A5)*Tresorerie!$D$15:$D$30*Tresorerie!N$15:N$30))</f>
        <v>0</v>
      </c>
      <c r="L5" s="136">
        <f ca="1">IF(DATE(YEAR(L$1),MONTH(L$1)+1,1)&lt;=TODAY(),SUMIF(Tresorerie!$B$15:$B$30,$A5,Tresorerie!O$15:O$30),SUMPRODUCT((Tresorerie!$B$15:$B$30=$A5)*Tresorerie!$D$15:$D$30*Tresorerie!O$15:O$30))</f>
        <v>8000</v>
      </c>
      <c r="M5" s="136">
        <f ca="1">IF(DATE(YEAR(M$1),MONTH(M$1)+1,1)&lt;=TODAY(),SUMIF(Tresorerie!$B$15:$B$30,$A5,Tresorerie!P$15:P$30),SUMPRODUCT((Tresorerie!$B$15:$B$30=$A5)*Tresorerie!$D$15:$D$30*Tresorerie!P$15:P$30))</f>
        <v>0</v>
      </c>
      <c r="N5" s="136">
        <f ca="1">IF(DATE(YEAR(N$1),MONTH(N$1)+1,1)&lt;=TODAY(),SUMIF(Tresorerie!$B$15:$B$30,$A5,Tresorerie!Q$15:Q$30),SUMPRODUCT((Tresorerie!$B$15:$B$30=$A5)*Tresorerie!$D$15:$D$30*Tresorerie!Q$15:Q$30))</f>
        <v>0</v>
      </c>
      <c r="O5" s="136">
        <f ca="1">IF(DATE(YEAR(O$1),MONTH(O$1)+1,1)&lt;=TODAY(),SUMIF(Tresorerie!$B$15:$B$30,$A5,Tresorerie!R$15:R$30),SUMPRODUCT((Tresorerie!$B$15:$B$30=$A5)*Tresorerie!$D$15:$D$30*Tresorerie!R$15:R$30))</f>
        <v>0</v>
      </c>
      <c r="P5" s="136">
        <f ca="1">IF(DATE(YEAR(P$1),MONTH(P$1)+1,1)&lt;=TODAY(),SUMIF(Tresorerie!$B$15:$B$30,$A5,Tresorerie!S$15:S$30),SUMPRODUCT((Tresorerie!$B$15:$B$30=$A5)*Tresorerie!$D$15:$D$30*Tresorerie!S$15:S$30))</f>
        <v>0</v>
      </c>
      <c r="Q5" s="136">
        <f ca="1">IF(DATE(YEAR(Q$1),MONTH(Q$1)+1,1)&lt;=TODAY(),SUMIF(Tresorerie!$B$15:$B$30,$A5,Tresorerie!T$15:T$30),SUMPRODUCT((Tresorerie!$B$15:$B$30=$A5)*Tresorerie!$D$15:$D$30*Tresorerie!T$15:T$30))</f>
        <v>8000</v>
      </c>
      <c r="R5" s="136">
        <f ca="1">IF(DATE(YEAR(R$1),MONTH(R$1)+1,1)&lt;=TODAY(),SUMIF(Tresorerie!$B$15:$B$30,$A5,Tresorerie!U$15:U$30),SUMPRODUCT((Tresorerie!$B$15:$B$30=$A5)*Tresorerie!$D$15:$D$30*Tresorerie!U$15:U$30))</f>
        <v>0</v>
      </c>
      <c r="S5" s="136">
        <f ca="1">IF(DATE(YEAR(S$1),MONTH(S$1)+1,1)&lt;=TODAY(),SUMIF(Tresorerie!$B$15:$B$30,$A5,Tresorerie!V$15:V$30),SUMPRODUCT((Tresorerie!$B$15:$B$30=$A5)*Tresorerie!$D$15:$D$30*Tresorerie!V$15:V$30))</f>
        <v>0</v>
      </c>
      <c r="T5" s="136">
        <f ca="1">IF(DATE(YEAR(T$1),MONTH(T$1)+1,1)&lt;=TODAY(),SUMIF(Tresorerie!$B$15:$B$30,$A5,Tresorerie!W$15:W$30),SUMPRODUCT((Tresorerie!$B$15:$B$30=$A5)*Tresorerie!$D$15:$D$30*Tresorerie!W$15:W$30))</f>
        <v>0</v>
      </c>
      <c r="U5" s="136">
        <f ca="1">IF(DATE(YEAR(U$1),MONTH(U$1)+1,1)&lt;=TODAY(),SUMIF(Tresorerie!$B$15:$B$30,$A5,Tresorerie!X$15:X$30),SUMPRODUCT((Tresorerie!$B$15:$B$30=$A5)*Tresorerie!$D$15:$D$30*Tresorerie!X$15:X$30))</f>
        <v>0</v>
      </c>
      <c r="V5" s="136">
        <f ca="1">IF(DATE(YEAR(V$1),MONTH(V$1)+1,1)&lt;=TODAY(),SUMIF(Tresorerie!$B$15:$B$30,$A5,Tresorerie!Y$15:Y$30),SUMPRODUCT((Tresorerie!$B$15:$B$30=$A5)*Tresorerie!$D$15:$D$30*Tresorerie!Y$15:Y$30))</f>
        <v>8000</v>
      </c>
      <c r="W5" s="136">
        <f ca="1">IF(DATE(YEAR(W$1),MONTH(W$1)+1,1)&lt;=TODAY(),SUMIF(Tresorerie!$B$15:$B$30,$A5,Tresorerie!Z$15:Z$30),SUMPRODUCT((Tresorerie!$B$15:$B$30=$A5)*Tresorerie!$D$15:$D$30*Tresorerie!Z$15:Z$30))</f>
        <v>0</v>
      </c>
      <c r="X5" s="136">
        <f ca="1">IF(DATE(YEAR(X$1),MONTH(X$1)+1,1)&lt;=TODAY(),SUMIF(Tresorerie!$B$15:$B$30,$A5,Tresorerie!AA$15:AA$30),SUMPRODUCT((Tresorerie!$B$15:$B$30=$A5)*Tresorerie!$D$15:$D$30*Tresorerie!AA$15:AA$30))</f>
        <v>0</v>
      </c>
      <c r="Y5" s="136">
        <f ca="1">IF(DATE(YEAR(Y$1),MONTH(Y$1)+1,1)&lt;=TODAY(),SUMIF(Tresorerie!$B$15:$B$30,$A5,Tresorerie!AB$15:AB$30),SUMPRODUCT((Tresorerie!$B$15:$B$30=$A5)*Tresorerie!$D$15:$D$30*Tresorerie!AB$15:AB$30))</f>
        <v>0</v>
      </c>
    </row>
    <row r="6" spans="1:25" x14ac:dyDescent="0.25">
      <c r="A6" s="135" t="s">
        <v>179</v>
      </c>
      <c r="B6" s="136">
        <f ca="1">B2-SUM(B3:B5)</f>
        <v>0</v>
      </c>
      <c r="C6" s="136">
        <f ca="1">C2-SUM(C3:C5)</f>
        <v>0</v>
      </c>
      <c r="D6" s="136">
        <f t="shared" ref="D6:Y6" ca="1" si="0">D2-SUM(D3:D5)</f>
        <v>0</v>
      </c>
      <c r="E6" s="136">
        <f t="shared" ca="1" si="0"/>
        <v>0</v>
      </c>
      <c r="F6" s="136">
        <f t="shared" ca="1" si="0"/>
        <v>9375</v>
      </c>
      <c r="G6" s="136">
        <f t="shared" ca="1" si="0"/>
        <v>0</v>
      </c>
      <c r="H6" s="136">
        <f t="shared" ca="1" si="0"/>
        <v>0</v>
      </c>
      <c r="I6" s="136">
        <f t="shared" ca="1" si="0"/>
        <v>0</v>
      </c>
      <c r="J6" s="136">
        <f t="shared" ca="1" si="0"/>
        <v>16125</v>
      </c>
      <c r="K6" s="136">
        <f t="shared" ca="1" si="0"/>
        <v>0</v>
      </c>
      <c r="L6" s="136">
        <f t="shared" ca="1" si="0"/>
        <v>1256.5</v>
      </c>
      <c r="M6" s="136">
        <f t="shared" ca="1" si="0"/>
        <v>4899.1666666666661</v>
      </c>
      <c r="N6" s="136">
        <f t="shared" ca="1" si="0"/>
        <v>2193.3333333333339</v>
      </c>
      <c r="O6" s="136">
        <f t="shared" ca="1" si="0"/>
        <v>2193.3333333333321</v>
      </c>
      <c r="P6" s="136">
        <f t="shared" ca="1" si="0"/>
        <v>45002.916666666664</v>
      </c>
      <c r="Q6" s="136">
        <f t="shared" ca="1" si="0"/>
        <v>20902.916666666664</v>
      </c>
      <c r="R6" s="136">
        <f t="shared" ca="1" si="0"/>
        <v>2862.5</v>
      </c>
      <c r="S6" s="136">
        <f t="shared" ca="1" si="0"/>
        <v>2862.5</v>
      </c>
      <c r="T6" s="136">
        <f t="shared" ca="1" si="0"/>
        <v>2007.5</v>
      </c>
      <c r="U6" s="136">
        <f t="shared" ca="1" si="0"/>
        <v>1672.9166666666667</v>
      </c>
      <c r="V6" s="136">
        <f t="shared" ca="1" si="0"/>
        <v>86676.666666666672</v>
      </c>
      <c r="W6" s="136">
        <f t="shared" ca="1" si="0"/>
        <v>1672.9166666666679</v>
      </c>
      <c r="X6" s="136">
        <f t="shared" ca="1" si="0"/>
        <v>1338.3333333333321</v>
      </c>
      <c r="Y6" s="136">
        <f t="shared" ca="1" si="0"/>
        <v>1003.75</v>
      </c>
    </row>
    <row r="7" spans="1:25" s="141" customFormat="1" x14ac:dyDescent="0.25">
      <c r="A7" s="142" t="s">
        <v>176</v>
      </c>
      <c r="B7" s="143">
        <f ca="1">SUM(B8:B12)</f>
        <v>0</v>
      </c>
      <c r="C7" s="143">
        <f t="shared" ref="C7:Y7" ca="1" si="1">SUM(C8:C12)</f>
        <v>57451.229999999996</v>
      </c>
      <c r="D7" s="143">
        <f t="shared" ca="1" si="1"/>
        <v>46485.530000000006</v>
      </c>
      <c r="E7" s="143">
        <f t="shared" ca="1" si="1"/>
        <v>36680.306666666671</v>
      </c>
      <c r="F7" s="143">
        <f t="shared" ca="1" si="1"/>
        <v>14879.715</v>
      </c>
      <c r="G7" s="143">
        <f t="shared" ca="1" si="1"/>
        <v>14775.34</v>
      </c>
      <c r="H7" s="143">
        <f t="shared" ca="1" si="1"/>
        <v>37459.339999999997</v>
      </c>
      <c r="I7" s="143">
        <f t="shared" ca="1" si="1"/>
        <v>13195.34</v>
      </c>
      <c r="J7" s="143">
        <f t="shared" ca="1" si="1"/>
        <v>22394.773173784979</v>
      </c>
      <c r="K7" s="143">
        <f t="shared" ca="1" si="1"/>
        <v>42365.027499999997</v>
      </c>
      <c r="L7" s="143">
        <f t="shared" ca="1" si="1"/>
        <v>13941.908324004282</v>
      </c>
      <c r="M7" s="143">
        <f t="shared" ca="1" si="1"/>
        <v>14291.24</v>
      </c>
      <c r="N7" s="143">
        <f t="shared" ca="1" si="1"/>
        <v>57252.789999999994</v>
      </c>
      <c r="O7" s="143">
        <f t="shared" ca="1" si="1"/>
        <v>27932.331666666669</v>
      </c>
      <c r="P7" s="143">
        <f t="shared" ca="1" si="1"/>
        <v>28075.252499999999</v>
      </c>
      <c r="Q7" s="143">
        <f t="shared" ca="1" si="1"/>
        <v>55196.204571204551</v>
      </c>
      <c r="R7" s="143">
        <f t="shared" ca="1" si="1"/>
        <v>47027.34</v>
      </c>
      <c r="S7" s="143">
        <f t="shared" ca="1" si="1"/>
        <v>15109.84</v>
      </c>
      <c r="T7" s="143">
        <f t="shared" ca="1" si="1"/>
        <v>39526.490000000005</v>
      </c>
      <c r="U7" s="143">
        <f t="shared" ca="1" si="1"/>
        <v>26432.444166666668</v>
      </c>
      <c r="V7" s="143">
        <f t="shared" ca="1" si="1"/>
        <v>47514.969784602392</v>
      </c>
      <c r="W7" s="143">
        <f t="shared" ca="1" si="1"/>
        <v>47159.527499999997</v>
      </c>
      <c r="X7" s="143">
        <f t="shared" ca="1" si="1"/>
        <v>18669.940000000002</v>
      </c>
      <c r="Y7" s="143">
        <f t="shared" ca="1" si="1"/>
        <v>18642.852500000001</v>
      </c>
    </row>
    <row r="8" spans="1:25" x14ac:dyDescent="0.25">
      <c r="A8" s="133" t="str">
        <f>Tresorerie!A41</f>
        <v>CHARGES SUR CA TTC</v>
      </c>
      <c r="B8" s="134">
        <f ca="1">Tresorerie!E41</f>
        <v>0</v>
      </c>
      <c r="C8" s="134">
        <f ca="1">Tresorerie!F41</f>
        <v>24152.690000000002</v>
      </c>
      <c r="D8" s="134">
        <f ca="1">Tresorerie!G41</f>
        <v>16431.07</v>
      </c>
      <c r="E8" s="134">
        <f ca="1">Tresorerie!H41</f>
        <v>17730.666666666668</v>
      </c>
      <c r="F8" s="134">
        <f ca="1">Tresorerie!I41</f>
        <v>1059.375</v>
      </c>
      <c r="G8" s="134">
        <f ca="1">Tresorerie!J41</f>
        <v>955</v>
      </c>
      <c r="H8" s="134">
        <f ca="1">Tresorerie!K41</f>
        <v>764</v>
      </c>
      <c r="I8" s="134">
        <f ca="1">Tresorerie!L41</f>
        <v>0</v>
      </c>
      <c r="J8" s="134">
        <f ca="1">Tresorerie!M41</f>
        <v>8399.4331737849789</v>
      </c>
      <c r="K8" s="134">
        <f ca="1">Tresorerie!N41</f>
        <v>1369.6875</v>
      </c>
      <c r="L8" s="134">
        <f ca="1">Tresorerie!O41</f>
        <v>971.56832400428175</v>
      </c>
      <c r="M8" s="134">
        <f ca="1">Tresorerie!P41</f>
        <v>1320.9</v>
      </c>
      <c r="N8" s="134">
        <f ca="1">Tresorerie!Q41</f>
        <v>19757.45</v>
      </c>
      <c r="O8" s="134">
        <f ca="1">Tresorerie!R41</f>
        <v>14961.991666666669</v>
      </c>
      <c r="P8" s="134">
        <f ca="1">Tresorerie!S41</f>
        <v>7204.9125000000004</v>
      </c>
      <c r="Q8" s="134">
        <f ca="1">Tresorerie!T41</f>
        <v>11975.864571204547</v>
      </c>
      <c r="R8" s="134">
        <f ca="1">Tresorerie!U41</f>
        <v>33832</v>
      </c>
      <c r="S8" s="134">
        <f ca="1">Tresorerie!V41</f>
        <v>1914.5</v>
      </c>
      <c r="T8" s="134">
        <f ca="1">Tresorerie!W41</f>
        <v>1806.15</v>
      </c>
      <c r="U8" s="134">
        <f ca="1">Tresorerie!X41</f>
        <v>13237.104166666668</v>
      </c>
      <c r="V8" s="134">
        <f ca="1">Tresorerie!Y41</f>
        <v>8869.6297846023881</v>
      </c>
      <c r="W8" s="134">
        <f ca="1">Tresorerie!Z41</f>
        <v>2276.6875</v>
      </c>
      <c r="X8" s="134">
        <f ca="1">Tresorerie!AA41</f>
        <v>2249.6</v>
      </c>
      <c r="Y8" s="134">
        <f ca="1">Tresorerie!AB41</f>
        <v>2222.5124999999998</v>
      </c>
    </row>
    <row r="9" spans="1:25" x14ac:dyDescent="0.25">
      <c r="A9" s="135" t="str">
        <f>Tresorerie!A58</f>
        <v>CHARGES DEVELOPPEMENT PRODUITS TTC</v>
      </c>
      <c r="B9" s="136">
        <f ca="1">Tresorerie!E58</f>
        <v>0</v>
      </c>
      <c r="C9" s="136">
        <f ca="1">Tresorerie!F58</f>
        <v>13776.7</v>
      </c>
      <c r="D9" s="136">
        <f ca="1">Tresorerie!G58</f>
        <v>6420.5</v>
      </c>
      <c r="E9" s="136">
        <f ca="1">Tresorerie!H58</f>
        <v>9700</v>
      </c>
      <c r="F9" s="136">
        <f ca="1">Tresorerie!I58</f>
        <v>5700</v>
      </c>
      <c r="G9" s="136">
        <f ca="1">Tresorerie!J58</f>
        <v>5700</v>
      </c>
      <c r="H9" s="136">
        <f ca="1">Tresorerie!K58</f>
        <v>18525</v>
      </c>
      <c r="I9" s="136">
        <f ca="1">Tresorerie!L58</f>
        <v>5700</v>
      </c>
      <c r="J9" s="136">
        <f ca="1">Tresorerie!M58</f>
        <v>5700</v>
      </c>
      <c r="K9" s="136">
        <f ca="1">Tresorerie!N58</f>
        <v>18525</v>
      </c>
      <c r="L9" s="136">
        <f ca="1">Tresorerie!O58</f>
        <v>5700</v>
      </c>
      <c r="M9" s="136">
        <f ca="1">Tresorerie!P58</f>
        <v>5700</v>
      </c>
      <c r="N9" s="136">
        <f ca="1">Tresorerie!Q58</f>
        <v>18525</v>
      </c>
      <c r="O9" s="136">
        <f ca="1">Tresorerie!R58</f>
        <v>5700</v>
      </c>
      <c r="P9" s="136">
        <f ca="1">Tresorerie!S58</f>
        <v>8700</v>
      </c>
      <c r="Q9" s="136">
        <f ca="1">Tresorerie!T58</f>
        <v>22525</v>
      </c>
      <c r="R9" s="136">
        <f ca="1">Tresorerie!U58</f>
        <v>5700</v>
      </c>
      <c r="S9" s="136">
        <f ca="1">Tresorerie!V58</f>
        <v>5700</v>
      </c>
      <c r="T9" s="136">
        <f ca="1">Tresorerie!W58</f>
        <v>18525</v>
      </c>
      <c r="U9" s="136">
        <f ca="1">Tresorerie!X58</f>
        <v>5700</v>
      </c>
      <c r="V9" s="136">
        <f ca="1">Tresorerie!Y58</f>
        <v>5700</v>
      </c>
      <c r="W9" s="136">
        <f ca="1">Tresorerie!Z58</f>
        <v>18525</v>
      </c>
      <c r="X9" s="136">
        <f ca="1">Tresorerie!AA58</f>
        <v>5700</v>
      </c>
      <c r="Y9" s="136">
        <f ca="1">Tresorerie!AB58</f>
        <v>5700</v>
      </c>
    </row>
    <row r="10" spans="1:25" x14ac:dyDescent="0.25">
      <c r="A10" s="135" t="str">
        <f>Tresorerie!A68</f>
        <v>CHARGES BIZDEV TTC</v>
      </c>
      <c r="B10" s="136">
        <f ca="1">Tresorerie!E68</f>
        <v>0</v>
      </c>
      <c r="C10" s="136">
        <f ca="1">Tresorerie!F68</f>
        <v>13289.5</v>
      </c>
      <c r="D10" s="136">
        <f ca="1">Tresorerie!G68</f>
        <v>9308.5</v>
      </c>
      <c r="E10" s="136">
        <f ca="1">Tresorerie!H68</f>
        <v>3450</v>
      </c>
      <c r="F10" s="136">
        <f ca="1">Tresorerie!I68</f>
        <v>3450</v>
      </c>
      <c r="G10" s="136">
        <f ca="1">Tresorerie!J68</f>
        <v>3450</v>
      </c>
      <c r="H10" s="136">
        <f ca="1">Tresorerie!K68</f>
        <v>10200</v>
      </c>
      <c r="I10" s="136">
        <f ca="1">Tresorerie!L68</f>
        <v>3225</v>
      </c>
      <c r="J10" s="136">
        <f ca="1">Tresorerie!M68</f>
        <v>3225</v>
      </c>
      <c r="K10" s="136">
        <f ca="1">Tresorerie!N68</f>
        <v>9750</v>
      </c>
      <c r="L10" s="136">
        <f ca="1">Tresorerie!O68</f>
        <v>3000</v>
      </c>
      <c r="M10" s="136">
        <f ca="1">Tresorerie!P68</f>
        <v>3000</v>
      </c>
      <c r="N10" s="136">
        <f ca="1">Tresorerie!Q68</f>
        <v>9750</v>
      </c>
      <c r="O10" s="136">
        <f ca="1">Tresorerie!R68</f>
        <v>3000</v>
      </c>
      <c r="P10" s="136">
        <f ca="1">Tresorerie!S68</f>
        <v>3000</v>
      </c>
      <c r="Q10" s="136">
        <f ca="1">Tresorerie!T68</f>
        <v>9975</v>
      </c>
      <c r="R10" s="136">
        <f ca="1">Tresorerie!U68</f>
        <v>3225</v>
      </c>
      <c r="S10" s="136">
        <f ca="1">Tresorerie!V68</f>
        <v>3225</v>
      </c>
      <c r="T10" s="136">
        <f ca="1">Tresorerie!W68</f>
        <v>9975</v>
      </c>
      <c r="U10" s="136">
        <f ca="1">Tresorerie!X68</f>
        <v>3225</v>
      </c>
      <c r="V10" s="136">
        <f ca="1">Tresorerie!Y68</f>
        <v>6475</v>
      </c>
      <c r="W10" s="136">
        <f ca="1">Tresorerie!Z68</f>
        <v>15437.5</v>
      </c>
      <c r="X10" s="136">
        <f ca="1">Tresorerie!AA68</f>
        <v>6250</v>
      </c>
      <c r="Y10" s="136">
        <f ca="1">Tresorerie!AB68</f>
        <v>6250</v>
      </c>
    </row>
    <row r="11" spans="1:25" x14ac:dyDescent="0.25">
      <c r="A11" s="135" t="str">
        <f>Tresorerie!A78</f>
        <v>CHARGES COMMUNICATION TTC</v>
      </c>
      <c r="B11" s="136">
        <f ca="1">Tresorerie!E78</f>
        <v>0</v>
      </c>
      <c r="C11" s="136">
        <f ca="1">Tresorerie!F78</f>
        <v>3241.34</v>
      </c>
      <c r="D11" s="136">
        <f ca="1">Tresorerie!G78</f>
        <v>7021.34</v>
      </c>
      <c r="E11" s="136">
        <f ca="1">Tresorerie!H78</f>
        <v>538.64</v>
      </c>
      <c r="F11" s="136">
        <f ca="1">Tresorerie!I78</f>
        <v>2321.34</v>
      </c>
      <c r="G11" s="136">
        <f ca="1">Tresorerie!J78</f>
        <v>2321.34</v>
      </c>
      <c r="H11" s="136">
        <f ca="1">Tresorerie!K78</f>
        <v>5621.34</v>
      </c>
      <c r="I11" s="136">
        <f ca="1">Tresorerie!L78</f>
        <v>2321.34</v>
      </c>
      <c r="J11" s="136">
        <f ca="1">Tresorerie!M78</f>
        <v>3121.34</v>
      </c>
      <c r="K11" s="136">
        <f ca="1">Tresorerie!N78</f>
        <v>8771.34</v>
      </c>
      <c r="L11" s="136">
        <f ca="1">Tresorerie!O78</f>
        <v>2321.34</v>
      </c>
      <c r="M11" s="136">
        <f ca="1">Tresorerie!P78</f>
        <v>2321.34</v>
      </c>
      <c r="N11" s="136">
        <f ca="1">Tresorerie!Q78</f>
        <v>7271.34</v>
      </c>
      <c r="O11" s="136">
        <f ca="1">Tresorerie!R78</f>
        <v>2321.34</v>
      </c>
      <c r="P11" s="136">
        <f ca="1">Tresorerie!S78</f>
        <v>7221.34</v>
      </c>
      <c r="Q11" s="136">
        <f ca="1">Tresorerie!T78</f>
        <v>8771.34</v>
      </c>
      <c r="R11" s="136">
        <f ca="1">Tresorerie!U78</f>
        <v>2321.34</v>
      </c>
      <c r="S11" s="136">
        <f ca="1">Tresorerie!V78</f>
        <v>2321.34</v>
      </c>
      <c r="T11" s="136">
        <f ca="1">Tresorerie!W78</f>
        <v>7271.34</v>
      </c>
      <c r="U11" s="136">
        <f ca="1">Tresorerie!X78</f>
        <v>2321.34</v>
      </c>
      <c r="V11" s="136">
        <f ca="1">Tresorerie!Y78</f>
        <v>22321.34</v>
      </c>
      <c r="W11" s="136">
        <f ca="1">Tresorerie!Z78</f>
        <v>8771.34</v>
      </c>
      <c r="X11" s="136">
        <f ca="1">Tresorerie!AA78</f>
        <v>2321.34</v>
      </c>
      <c r="Y11" s="136">
        <f ca="1">Tresorerie!AB78</f>
        <v>2321.34</v>
      </c>
    </row>
    <row r="12" spans="1:25" x14ac:dyDescent="0.25">
      <c r="A12" s="137" t="str">
        <f>Tresorerie!A91</f>
        <v>CHARGES FONCTIONNEMENT TTC</v>
      </c>
      <c r="B12" s="138">
        <f ca="1">Tresorerie!E91</f>
        <v>0</v>
      </c>
      <c r="C12" s="138">
        <f ca="1">Tresorerie!F91</f>
        <v>2991</v>
      </c>
      <c r="D12" s="138">
        <f ca="1">Tresorerie!G91</f>
        <v>7304.12</v>
      </c>
      <c r="E12" s="138">
        <f ca="1">Tresorerie!H91</f>
        <v>5261</v>
      </c>
      <c r="F12" s="138">
        <f ca="1">Tresorerie!I91</f>
        <v>2349</v>
      </c>
      <c r="G12" s="138">
        <f ca="1">Tresorerie!J91</f>
        <v>2349</v>
      </c>
      <c r="H12" s="138">
        <f ca="1">Tresorerie!K91</f>
        <v>2349</v>
      </c>
      <c r="I12" s="138">
        <f ca="1">Tresorerie!L91</f>
        <v>1949</v>
      </c>
      <c r="J12" s="138">
        <f ca="1">Tresorerie!M91</f>
        <v>1949</v>
      </c>
      <c r="K12" s="138">
        <f ca="1">Tresorerie!N91</f>
        <v>3949</v>
      </c>
      <c r="L12" s="138">
        <f ca="1">Tresorerie!O91</f>
        <v>1949</v>
      </c>
      <c r="M12" s="138">
        <f ca="1">Tresorerie!P91</f>
        <v>1949</v>
      </c>
      <c r="N12" s="138">
        <f ca="1">Tresorerie!Q91</f>
        <v>1949</v>
      </c>
      <c r="O12" s="138">
        <f ca="1">Tresorerie!R91</f>
        <v>1949</v>
      </c>
      <c r="P12" s="138">
        <f ca="1">Tresorerie!S91</f>
        <v>1949</v>
      </c>
      <c r="Q12" s="138">
        <f ca="1">Tresorerie!T91</f>
        <v>1949</v>
      </c>
      <c r="R12" s="138">
        <f ca="1">Tresorerie!U91</f>
        <v>1949</v>
      </c>
      <c r="S12" s="138">
        <f ca="1">Tresorerie!V91</f>
        <v>1949</v>
      </c>
      <c r="T12" s="138">
        <f ca="1">Tresorerie!W91</f>
        <v>1949</v>
      </c>
      <c r="U12" s="138">
        <f ca="1">Tresorerie!X91</f>
        <v>1949</v>
      </c>
      <c r="V12" s="138">
        <f ca="1">Tresorerie!Y91</f>
        <v>4149</v>
      </c>
      <c r="W12" s="138">
        <f ca="1">Tresorerie!Z91</f>
        <v>2149</v>
      </c>
      <c r="X12" s="138">
        <f ca="1">Tresorerie!AA91</f>
        <v>2149</v>
      </c>
      <c r="Y12" s="138">
        <f ca="1">Tresorerie!AB91</f>
        <v>2149</v>
      </c>
    </row>
    <row r="13" spans="1:25" s="141" customFormat="1" x14ac:dyDescent="0.25">
      <c r="A13" s="139" t="s">
        <v>175</v>
      </c>
      <c r="B13" s="140">
        <f ca="1">IF(TODAY()&lt;B1,Tresorerie!E134,Tresorerie!E135)</f>
        <v>0</v>
      </c>
      <c r="C13" s="140">
        <f ca="1">IF(TODAY()&lt;C1,Tresorerie!F134,Tresorerie!F135)</f>
        <v>-6000</v>
      </c>
      <c r="D13" s="140">
        <f ca="1">IF(TODAY()&lt;D1,Tresorerie!G134,Tresorerie!G135)</f>
        <v>-6000</v>
      </c>
      <c r="E13" s="140">
        <f ca="1">IF(TODAY()&lt;E1,Tresorerie!H134,Tresorerie!H135)</f>
        <v>0</v>
      </c>
      <c r="F13" s="140">
        <f ca="1">IF(TODAY()&lt;F1,Tresorerie!I134,Tresorerie!I135)</f>
        <v>-2293.3844444444453</v>
      </c>
      <c r="G13" s="140">
        <f ca="1">IF(TODAY()&lt;G1,Tresorerie!J134,Tresorerie!J135)</f>
        <v>420.04749999999967</v>
      </c>
      <c r="H13" s="140">
        <f ca="1">IF(TODAY()&lt;H1,Tresorerie!K134,Tresorerie!K135)</f>
        <v>-1125.0566666666668</v>
      </c>
      <c r="I13" s="140">
        <f ca="1">IF(TODAY()&lt;I1,Tresorerie!L134,Tresorerie!L135)</f>
        <v>-1360.7233333333329</v>
      </c>
      <c r="J13" s="140">
        <f ca="1">IF(TODAY()&lt;J1,Tresorerie!M134,Tresorerie!M135)</f>
        <v>-2199.2233333333338</v>
      </c>
      <c r="K13" s="140">
        <f ca="1">IF(TODAY()&lt;K1,Tresorerie!N134,Tresorerie!N135)</f>
        <v>3320.8711377025038</v>
      </c>
      <c r="L13" s="140">
        <f ca="1">IF(TODAY()&lt;L1,Tresorerie!O134,Tresorerie!O135)</f>
        <v>-910.83791666666639</v>
      </c>
      <c r="M13" s="140">
        <f ca="1">IF(TODAY()&lt;M1,Tresorerie!P134,Tresorerie!P135)</f>
        <v>1281.5986126659532</v>
      </c>
      <c r="N13" s="140">
        <f ca="1">IF(TODAY()&lt;N1,Tresorerie!Q134,Tresorerie!Q135)</f>
        <v>84.65444444444438</v>
      </c>
      <c r="O13" s="140">
        <f ca="1">IF(TODAY()&lt;O1,Tresorerie!R134,Tresorerie!R135)</f>
        <v>-3439.0761111111105</v>
      </c>
      <c r="P13" s="140">
        <f ca="1">IF(TODAY()&lt;P1,Tresorerie!S134,Tresorerie!S135)</f>
        <v>-1814.8330555555558</v>
      </c>
      <c r="Q13" s="140">
        <f ca="1">IF(TODAY()&lt;Q1,Tresorerie!T134,Tresorerie!T135)</f>
        <v>5296.2773611111106</v>
      </c>
      <c r="R13" s="140">
        <f ca="1">IF(TODAY()&lt;R1,Tresorerie!U134,Tresorerie!U135)</f>
        <v>2180.2853492436861</v>
      </c>
      <c r="S13" s="140">
        <f ca="1">IF(TODAY()&lt;S1,Tresorerie!V134,Tresorerie!V135)</f>
        <v>-4885.8066666666655</v>
      </c>
      <c r="T13" s="140">
        <f ca="1">IF(TODAY()&lt;T1,Tresorerie!W134,Tresorerie!W135)</f>
        <v>433.77666666666664</v>
      </c>
      <c r="U13" s="140">
        <f ca="1">IF(TODAY()&lt;U1,Tresorerie!X134,Tresorerie!X135)</f>
        <v>309.33499999999913</v>
      </c>
      <c r="V13" s="140">
        <f ca="1">IF(TODAY()&lt;V1,Tresorerie!Y134,Tresorerie!Y135)</f>
        <v>-4126.5879166666673</v>
      </c>
      <c r="W13" s="140">
        <f ca="1">IF(TODAY()&lt;W1,Tresorerie!Z134,Tresorerie!Z135)</f>
        <v>13100.282813677382</v>
      </c>
      <c r="X13" s="140">
        <f ca="1">IF(TODAY()&lt;X1,Tresorerie!AA134,Tresorerie!AA135)</f>
        <v>257.64819444444583</v>
      </c>
      <c r="Y13" s="140">
        <f ca="1">IF(TODAY()&lt;Y1,Tresorerie!AB134,Tresorerie!AB135)</f>
        <v>456.39888888888891</v>
      </c>
    </row>
    <row r="14" spans="1:25" x14ac:dyDescent="0.25">
      <c r="A14" s="146" t="s">
        <v>177</v>
      </c>
      <c r="B14" s="147">
        <f t="shared" ref="B14:Y14" ca="1" si="2">B2-B7-B13</f>
        <v>0</v>
      </c>
      <c r="C14" s="147">
        <f t="shared" ca="1" si="2"/>
        <v>-46982.429999999993</v>
      </c>
      <c r="D14" s="147">
        <f t="shared" ca="1" si="2"/>
        <v>-21482.330000000005</v>
      </c>
      <c r="E14" s="147">
        <f t="shared" ca="1" si="2"/>
        <v>-30260.306666666671</v>
      </c>
      <c r="F14" s="147">
        <f t="shared" ca="1" si="2"/>
        <v>4813.6694444444456</v>
      </c>
      <c r="G14" s="147">
        <f t="shared" ca="1" si="2"/>
        <v>-7170.3874999999998</v>
      </c>
      <c r="H14" s="147">
        <f t="shared" ca="1" si="2"/>
        <v>-29914.283333333329</v>
      </c>
      <c r="I14" s="147">
        <f t="shared" ca="1" si="2"/>
        <v>-11834.616666666667</v>
      </c>
      <c r="J14" s="147">
        <f t="shared" ca="1" si="2"/>
        <v>22124.450159548356</v>
      </c>
      <c r="K14" s="147">
        <f t="shared" ca="1" si="2"/>
        <v>-33310.898637702499</v>
      </c>
      <c r="L14" s="147">
        <f t="shared" ca="1" si="2"/>
        <v>8600.4295926623854</v>
      </c>
      <c r="M14" s="147">
        <f t="shared" ca="1" si="2"/>
        <v>-773.67194599928689</v>
      </c>
      <c r="N14" s="147">
        <f t="shared" ca="1" si="2"/>
        <v>-45244.111111111102</v>
      </c>
      <c r="O14" s="147">
        <f t="shared" ca="1" si="2"/>
        <v>-7449.9222222222261</v>
      </c>
      <c r="P14" s="147">
        <f t="shared" ca="1" si="2"/>
        <v>33592.49722222222</v>
      </c>
      <c r="Q14" s="147">
        <f t="shared" ca="1" si="2"/>
        <v>-16739.565265648998</v>
      </c>
      <c r="R14" s="147">
        <f t="shared" ca="1" si="2"/>
        <v>-31495.125349243681</v>
      </c>
      <c r="S14" s="147">
        <f t="shared" ca="1" si="2"/>
        <v>7488.4666666666653</v>
      </c>
      <c r="T14" s="147">
        <f t="shared" ca="1" si="2"/>
        <v>-23102.76666666667</v>
      </c>
      <c r="U14" s="147">
        <f t="shared" ca="1" si="2"/>
        <v>-25068.862499999999</v>
      </c>
      <c r="V14" s="147">
        <f t="shared" ca="1" si="2"/>
        <v>82728.284798730951</v>
      </c>
      <c r="W14" s="147">
        <f t="shared" ca="1" si="2"/>
        <v>-38516.893647010715</v>
      </c>
      <c r="X14" s="147">
        <f t="shared" ca="1" si="2"/>
        <v>2480.745138888884</v>
      </c>
      <c r="Y14" s="147">
        <f t="shared" ca="1" si="2"/>
        <v>1974.4986111111102</v>
      </c>
    </row>
    <row r="15" spans="1:25" x14ac:dyDescent="0.25">
      <c r="A15" s="146" t="s">
        <v>181</v>
      </c>
      <c r="B15" s="147">
        <f ca="1">Synthese!B14</f>
        <v>0</v>
      </c>
      <c r="C15" s="147">
        <f ca="1">B15+C14</f>
        <v>-46982.429999999993</v>
      </c>
      <c r="D15" s="147">
        <f t="shared" ref="D15:Y15" ca="1" si="3">C15+D14</f>
        <v>-68464.759999999995</v>
      </c>
      <c r="E15" s="147">
        <f t="shared" ca="1" si="3"/>
        <v>-98725.066666666666</v>
      </c>
      <c r="F15" s="147">
        <f t="shared" ca="1" si="3"/>
        <v>-93911.397222222222</v>
      </c>
      <c r="G15" s="147">
        <f t="shared" ca="1" si="3"/>
        <v>-101081.78472222222</v>
      </c>
      <c r="H15" s="147">
        <f t="shared" ca="1" si="3"/>
        <v>-130996.06805555554</v>
      </c>
      <c r="I15" s="147">
        <f t="shared" ca="1" si="3"/>
        <v>-142830.68472222221</v>
      </c>
      <c r="J15" s="147">
        <f t="shared" ca="1" si="3"/>
        <v>-120706.23456267385</v>
      </c>
      <c r="K15" s="147">
        <f t="shared" ca="1" si="3"/>
        <v>-154017.13320037635</v>
      </c>
      <c r="L15" s="147">
        <f t="shared" ca="1" si="3"/>
        <v>-145416.70360771398</v>
      </c>
      <c r="M15" s="147">
        <f t="shared" ca="1" si="3"/>
        <v>-146190.37555371327</v>
      </c>
      <c r="N15" s="147">
        <f t="shared" ca="1" si="3"/>
        <v>-191434.48666482436</v>
      </c>
      <c r="O15" s="147">
        <f t="shared" ca="1" si="3"/>
        <v>-198884.40888704659</v>
      </c>
      <c r="P15" s="147">
        <f t="shared" ca="1" si="3"/>
        <v>-165291.91166482438</v>
      </c>
      <c r="Q15" s="147">
        <f t="shared" ca="1" si="3"/>
        <v>-182031.47693047338</v>
      </c>
      <c r="R15" s="147">
        <f t="shared" ca="1" si="3"/>
        <v>-213526.60227971704</v>
      </c>
      <c r="S15" s="147">
        <f t="shared" ca="1" si="3"/>
        <v>-206038.13561305037</v>
      </c>
      <c r="T15" s="147">
        <f t="shared" ca="1" si="3"/>
        <v>-229140.90227971703</v>
      </c>
      <c r="U15" s="147">
        <f t="shared" ca="1" si="3"/>
        <v>-254209.76477971702</v>
      </c>
      <c r="V15" s="147">
        <f t="shared" ca="1" si="3"/>
        <v>-171481.47998098607</v>
      </c>
      <c r="W15" s="147">
        <f t="shared" ca="1" si="3"/>
        <v>-209998.37362799677</v>
      </c>
      <c r="X15" s="147">
        <f t="shared" ca="1" si="3"/>
        <v>-207517.62848910788</v>
      </c>
      <c r="Y15" s="147">
        <f t="shared" ca="1" si="3"/>
        <v>-205543.12987799678</v>
      </c>
    </row>
    <row r="16" spans="1:25" x14ac:dyDescent="0.25">
      <c r="A16" s="131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/>
    </row>
    <row r="17" spans="1:25" x14ac:dyDescent="0.25">
      <c r="A17" s="148" t="str">
        <f>Tresorerie!A31</f>
        <v>APPORTS EN TRESORERIE</v>
      </c>
      <c r="B17" s="132">
        <f ca="1">Tresorerie!E31</f>
        <v>0</v>
      </c>
      <c r="C17" s="132">
        <f ca="1">Tresorerie!F31</f>
        <v>130000</v>
      </c>
      <c r="D17" s="132">
        <f ca="1">Tresorerie!G31</f>
        <v>0</v>
      </c>
      <c r="E17" s="132">
        <f ca="1">Tresorerie!H31</f>
        <v>51000</v>
      </c>
      <c r="F17" s="132">
        <f ca="1">Tresorerie!I31</f>
        <v>0</v>
      </c>
      <c r="G17" s="132">
        <f ca="1">Tresorerie!J31</f>
        <v>0</v>
      </c>
      <c r="H17" s="132">
        <f ca="1">Tresorerie!K31</f>
        <v>0</v>
      </c>
      <c r="I17" s="132">
        <f ca="1">Tresorerie!L31</f>
        <v>0</v>
      </c>
      <c r="J17" s="132">
        <f ca="1">Tresorerie!M31</f>
        <v>0</v>
      </c>
      <c r="K17" s="132">
        <f ca="1">Tresorerie!N31</f>
        <v>0</v>
      </c>
      <c r="L17" s="132">
        <f ca="1">Tresorerie!O31</f>
        <v>0</v>
      </c>
      <c r="M17" s="132">
        <f ca="1">Tresorerie!P31</f>
        <v>0</v>
      </c>
      <c r="N17" s="132">
        <f ca="1">Tresorerie!Q31</f>
        <v>0</v>
      </c>
      <c r="O17" s="132">
        <f ca="1">Tresorerie!R31</f>
        <v>0</v>
      </c>
      <c r="P17" s="132">
        <f ca="1">Tresorerie!S31</f>
        <v>0</v>
      </c>
      <c r="Q17" s="132">
        <f ca="1">Tresorerie!T31</f>
        <v>0</v>
      </c>
      <c r="R17" s="132">
        <f ca="1">Tresorerie!U31</f>
        <v>0</v>
      </c>
      <c r="S17" s="132">
        <f ca="1">Tresorerie!V31</f>
        <v>0</v>
      </c>
      <c r="T17" s="132">
        <f ca="1">Tresorerie!W31</f>
        <v>0</v>
      </c>
      <c r="U17" s="132">
        <f ca="1">Tresorerie!X31</f>
        <v>0</v>
      </c>
      <c r="V17" s="132">
        <f ca="1">Tresorerie!Y31</f>
        <v>0</v>
      </c>
      <c r="W17" s="132">
        <f ca="1">Tresorerie!Z31</f>
        <v>0</v>
      </c>
      <c r="X17" s="132">
        <f ca="1">Tresorerie!AA31</f>
        <v>0</v>
      </c>
      <c r="Y17" s="132">
        <f ca="1">Tresorerie!AB31</f>
        <v>0</v>
      </c>
    </row>
    <row r="18" spans="1:25" x14ac:dyDescent="0.25">
      <c r="A18" s="131" t="str">
        <f>Tresorerie!A109</f>
        <v>INVESTISSEMENTS TTC</v>
      </c>
      <c r="B18" s="132">
        <f ca="1">Tresorerie!E109</f>
        <v>0</v>
      </c>
      <c r="C18" s="132">
        <f ca="1">Tresorerie!F109</f>
        <v>0</v>
      </c>
      <c r="D18" s="132">
        <f ca="1">Tresorerie!G109</f>
        <v>0</v>
      </c>
      <c r="E18" s="132">
        <f ca="1">Tresorerie!H109</f>
        <v>0</v>
      </c>
      <c r="F18" s="132">
        <f ca="1">Tresorerie!I109</f>
        <v>0</v>
      </c>
      <c r="G18" s="132">
        <f ca="1">Tresorerie!J109</f>
        <v>0</v>
      </c>
      <c r="H18" s="132">
        <f ca="1">Tresorerie!K109</f>
        <v>0</v>
      </c>
      <c r="I18" s="132">
        <f ca="1">Tresorerie!L109</f>
        <v>0</v>
      </c>
      <c r="J18" s="132">
        <f ca="1">Tresorerie!M109</f>
        <v>0</v>
      </c>
      <c r="K18" s="132">
        <f ca="1">Tresorerie!N109</f>
        <v>0</v>
      </c>
      <c r="L18" s="132">
        <f ca="1">Tresorerie!O109</f>
        <v>0</v>
      </c>
      <c r="M18" s="132">
        <f ca="1">Tresorerie!P109</f>
        <v>0</v>
      </c>
      <c r="N18" s="132">
        <f ca="1">Tresorerie!Q109</f>
        <v>0</v>
      </c>
      <c r="O18" s="132">
        <f ca="1">Tresorerie!R109</f>
        <v>0</v>
      </c>
      <c r="P18" s="132">
        <f ca="1">Tresorerie!S109</f>
        <v>0</v>
      </c>
      <c r="Q18" s="132">
        <f ca="1">Tresorerie!T109</f>
        <v>0</v>
      </c>
      <c r="R18" s="132">
        <f ca="1">Tresorerie!U109</f>
        <v>0</v>
      </c>
      <c r="S18" s="132">
        <f ca="1">Tresorerie!V109</f>
        <v>0</v>
      </c>
      <c r="T18" s="132">
        <f ca="1">Tresorerie!W109</f>
        <v>0</v>
      </c>
      <c r="U18" s="132">
        <f ca="1">Tresorerie!X109</f>
        <v>0</v>
      </c>
      <c r="V18" s="132">
        <f ca="1">Tresorerie!Y109</f>
        <v>0</v>
      </c>
      <c r="W18" s="132">
        <f ca="1">Tresorerie!Z109</f>
        <v>0</v>
      </c>
      <c r="X18" s="132">
        <f ca="1">Tresorerie!AA109</f>
        <v>0</v>
      </c>
      <c r="Y18" s="132">
        <f ca="1">Tresorerie!AB109</f>
        <v>0</v>
      </c>
    </row>
    <row r="19" spans="1:25" x14ac:dyDescent="0.25">
      <c r="A19" s="131" t="str">
        <f>Tresorerie!A116</f>
        <v>EMPRUNTS</v>
      </c>
      <c r="B19" s="132">
        <f>Tresorerie!E116</f>
        <v>0</v>
      </c>
      <c r="C19" s="132">
        <f>Tresorerie!F116</f>
        <v>0</v>
      </c>
      <c r="D19" s="132">
        <f>Tresorerie!G116</f>
        <v>0</v>
      </c>
      <c r="E19" s="132">
        <f>Tresorerie!H116</f>
        <v>0</v>
      </c>
      <c r="F19" s="132">
        <f>Tresorerie!I116</f>
        <v>0</v>
      </c>
      <c r="G19" s="132">
        <f>Tresorerie!J116</f>
        <v>0</v>
      </c>
      <c r="H19" s="132">
        <f>Tresorerie!K116</f>
        <v>0</v>
      </c>
      <c r="I19" s="132">
        <f>Tresorerie!L116</f>
        <v>0</v>
      </c>
      <c r="J19" s="132">
        <f>Tresorerie!M116</f>
        <v>0</v>
      </c>
      <c r="K19" s="132">
        <f>Tresorerie!N116</f>
        <v>0</v>
      </c>
      <c r="L19" s="132">
        <f>Tresorerie!O116</f>
        <v>0</v>
      </c>
      <c r="M19" s="132">
        <f>Tresorerie!P116</f>
        <v>0</v>
      </c>
      <c r="N19" s="132">
        <f>Tresorerie!Q116</f>
        <v>0</v>
      </c>
      <c r="O19" s="132">
        <f>Tresorerie!R116</f>
        <v>0</v>
      </c>
      <c r="P19" s="132">
        <f>Tresorerie!S116</f>
        <v>0</v>
      </c>
      <c r="Q19" s="132">
        <f>Tresorerie!T116</f>
        <v>0</v>
      </c>
      <c r="R19" s="132">
        <f>Tresorerie!U116</f>
        <v>0</v>
      </c>
      <c r="S19" s="132">
        <f>Tresorerie!V116</f>
        <v>0</v>
      </c>
      <c r="T19" s="132">
        <f>Tresorerie!W116</f>
        <v>0</v>
      </c>
      <c r="U19" s="132">
        <f>Tresorerie!X116</f>
        <v>0</v>
      </c>
      <c r="V19" s="132">
        <f>Tresorerie!Y116</f>
        <v>0</v>
      </c>
      <c r="W19" s="132">
        <f>Tresorerie!Z116</f>
        <v>0</v>
      </c>
      <c r="X19" s="132">
        <f>Tresorerie!AA116</f>
        <v>0</v>
      </c>
      <c r="Y19" s="132">
        <f>Tresorerie!AB116</f>
        <v>0</v>
      </c>
    </row>
    <row r="20" spans="1:25" x14ac:dyDescent="0.25">
      <c r="A20" s="146" t="s">
        <v>180</v>
      </c>
      <c r="B20" s="147">
        <f ca="1">B17-SUM(B18:B19)</f>
        <v>0</v>
      </c>
      <c r="C20" s="147">
        <f t="shared" ref="C20:Y20" ca="1" si="4">C17-SUM(C18:C19)</f>
        <v>130000</v>
      </c>
      <c r="D20" s="147">
        <f t="shared" ca="1" si="4"/>
        <v>0</v>
      </c>
      <c r="E20" s="147">
        <f t="shared" ca="1" si="4"/>
        <v>51000</v>
      </c>
      <c r="F20" s="147">
        <f t="shared" ca="1" si="4"/>
        <v>0</v>
      </c>
      <c r="G20" s="147">
        <f t="shared" ca="1" si="4"/>
        <v>0</v>
      </c>
      <c r="H20" s="147">
        <f t="shared" ca="1" si="4"/>
        <v>0</v>
      </c>
      <c r="I20" s="147">
        <f t="shared" ca="1" si="4"/>
        <v>0</v>
      </c>
      <c r="J20" s="147">
        <f t="shared" ca="1" si="4"/>
        <v>0</v>
      </c>
      <c r="K20" s="147">
        <f t="shared" ca="1" si="4"/>
        <v>0</v>
      </c>
      <c r="L20" s="147">
        <f t="shared" ca="1" si="4"/>
        <v>0</v>
      </c>
      <c r="M20" s="147">
        <f t="shared" ca="1" si="4"/>
        <v>0</v>
      </c>
      <c r="N20" s="147">
        <f t="shared" ca="1" si="4"/>
        <v>0</v>
      </c>
      <c r="O20" s="147">
        <f t="shared" ca="1" si="4"/>
        <v>0</v>
      </c>
      <c r="P20" s="147">
        <f t="shared" ca="1" si="4"/>
        <v>0</v>
      </c>
      <c r="Q20" s="147">
        <f t="shared" ca="1" si="4"/>
        <v>0</v>
      </c>
      <c r="R20" s="147">
        <f t="shared" ca="1" si="4"/>
        <v>0</v>
      </c>
      <c r="S20" s="147">
        <f t="shared" ca="1" si="4"/>
        <v>0</v>
      </c>
      <c r="T20" s="147">
        <f t="shared" ca="1" si="4"/>
        <v>0</v>
      </c>
      <c r="U20" s="147">
        <f t="shared" ca="1" si="4"/>
        <v>0</v>
      </c>
      <c r="V20" s="147">
        <f t="shared" ca="1" si="4"/>
        <v>0</v>
      </c>
      <c r="W20" s="147">
        <f t="shared" ca="1" si="4"/>
        <v>0</v>
      </c>
      <c r="X20" s="147">
        <f t="shared" ca="1" si="4"/>
        <v>0</v>
      </c>
      <c r="Y20" s="147">
        <f t="shared" ca="1" si="4"/>
        <v>0</v>
      </c>
    </row>
    <row r="21" spans="1:25" x14ac:dyDescent="0.25">
      <c r="A21" s="146" t="s">
        <v>183</v>
      </c>
      <c r="B21" s="147">
        <f ca="1">Synthese!B20</f>
        <v>0</v>
      </c>
      <c r="C21" s="147">
        <f ca="1">B21+C20</f>
        <v>130000</v>
      </c>
      <c r="D21" s="147">
        <f t="shared" ref="D21" ca="1" si="5">C21+D20</f>
        <v>130000</v>
      </c>
      <c r="E21" s="147">
        <f t="shared" ref="E21" ca="1" si="6">D21+E20</f>
        <v>181000</v>
      </c>
      <c r="F21" s="147">
        <f t="shared" ref="F21" ca="1" si="7">E21+F20</f>
        <v>181000</v>
      </c>
      <c r="G21" s="147">
        <f t="shared" ref="G21" ca="1" si="8">F21+G20</f>
        <v>181000</v>
      </c>
      <c r="H21" s="147">
        <f t="shared" ref="H21" ca="1" si="9">G21+H20</f>
        <v>181000</v>
      </c>
      <c r="I21" s="147">
        <f t="shared" ref="I21" ca="1" si="10">H21+I20</f>
        <v>181000</v>
      </c>
      <c r="J21" s="147">
        <f t="shared" ref="J21" ca="1" si="11">I21+J20</f>
        <v>181000</v>
      </c>
      <c r="K21" s="147">
        <f t="shared" ref="K21" ca="1" si="12">J21+K20</f>
        <v>181000</v>
      </c>
      <c r="L21" s="147">
        <f t="shared" ref="L21" ca="1" si="13">K21+L20</f>
        <v>181000</v>
      </c>
      <c r="M21" s="147">
        <f t="shared" ref="M21" ca="1" si="14">L21+M20</f>
        <v>181000</v>
      </c>
      <c r="N21" s="147">
        <f t="shared" ref="N21" ca="1" si="15">M21+N20</f>
        <v>181000</v>
      </c>
      <c r="O21" s="147">
        <f t="shared" ref="O21" ca="1" si="16">N21+O20</f>
        <v>181000</v>
      </c>
      <c r="P21" s="147">
        <f t="shared" ref="P21" ca="1" si="17">O21+P20</f>
        <v>181000</v>
      </c>
      <c r="Q21" s="147">
        <f t="shared" ref="Q21" ca="1" si="18">P21+Q20</f>
        <v>181000</v>
      </c>
      <c r="R21" s="147">
        <f t="shared" ref="R21" ca="1" si="19">Q21+R20</f>
        <v>181000</v>
      </c>
      <c r="S21" s="147">
        <f t="shared" ref="S21" ca="1" si="20">R21+S20</f>
        <v>181000</v>
      </c>
      <c r="T21" s="147">
        <f t="shared" ref="T21" ca="1" si="21">S21+T20</f>
        <v>181000</v>
      </c>
      <c r="U21" s="147">
        <f t="shared" ref="U21" ca="1" si="22">T21+U20</f>
        <v>181000</v>
      </c>
      <c r="V21" s="147">
        <f t="shared" ref="V21" ca="1" si="23">U21+V20</f>
        <v>181000</v>
      </c>
      <c r="W21" s="147">
        <f t="shared" ref="W21" ca="1" si="24">V21+W20</f>
        <v>181000</v>
      </c>
      <c r="X21" s="147">
        <f t="shared" ref="X21" ca="1" si="25">W21+X20</f>
        <v>181000</v>
      </c>
      <c r="Y21" s="147">
        <f t="shared" ref="Y21" ca="1" si="26">X21+Y20</f>
        <v>181000</v>
      </c>
    </row>
    <row r="23" spans="1:25" x14ac:dyDescent="0.25">
      <c r="A23" s="146" t="s">
        <v>182</v>
      </c>
      <c r="B23" s="147">
        <f ca="1">Tresorerie!E5+B14+B20</f>
        <v>-56678.27</v>
      </c>
      <c r="C23" s="147">
        <f ca="1">Tresorerie!F5+C14+C20</f>
        <v>26339.300000000017</v>
      </c>
      <c r="D23" s="147">
        <f ca="1">Tresorerie!G5+D14+D20</f>
        <v>4856.9699999999975</v>
      </c>
      <c r="E23" s="147">
        <f ca="1">Tresorerie!H5+E14+E20</f>
        <v>25596.663333333323</v>
      </c>
      <c r="F23" s="147">
        <f ca="1">Tresorerie!I5+F14+F20</f>
        <v>30410.332777777767</v>
      </c>
      <c r="G23" s="147">
        <f ca="1">Tresorerie!J5+G14+G20</f>
        <v>23239.945277777766</v>
      </c>
      <c r="H23" s="147">
        <f ca="1">Tresorerie!K5+H14+H20</f>
        <v>-6674.3380555555632</v>
      </c>
      <c r="I23" s="147">
        <f ca="1">Tresorerie!L5+I14+I20</f>
        <v>-18508.954722222232</v>
      </c>
      <c r="J23" s="147">
        <f ca="1">Tresorerie!M5+J14+J20</f>
        <v>3615.4954373261244</v>
      </c>
      <c r="K23" s="147">
        <f ca="1">Tresorerie!N5+K14+K20</f>
        <v>-29695.403200376375</v>
      </c>
      <c r="L23" s="147">
        <f ca="1">Tresorerie!O5+L14+L20</f>
        <v>-21094.973607713993</v>
      </c>
      <c r="M23" s="147">
        <f ca="1">Tresorerie!P5+M14+M20</f>
        <v>-21868.645553713279</v>
      </c>
      <c r="N23" s="147">
        <f ca="1">Tresorerie!Q5+N14+N20</f>
        <v>-67112.756664824381</v>
      </c>
      <c r="O23" s="147">
        <f ca="1">Tresorerie!R5+O14+O20</f>
        <v>-74562.678887046612</v>
      </c>
      <c r="P23" s="147">
        <f ca="1">Tresorerie!S5+P14+P20</f>
        <v>-40970.181664824391</v>
      </c>
      <c r="Q23" s="147">
        <f ca="1">Tresorerie!T5+Q14+Q20</f>
        <v>-57709.746930473382</v>
      </c>
      <c r="R23" s="147">
        <f ca="1">Tresorerie!U5+R14+R20</f>
        <v>-89204.872279717063</v>
      </c>
      <c r="S23" s="147">
        <f ca="1">Tresorerie!V5+S14+S20</f>
        <v>-81716.405613050403</v>
      </c>
      <c r="T23" s="147">
        <f ca="1">Tresorerie!W5+T14+T20</f>
        <v>-104819.17227971705</v>
      </c>
      <c r="U23" s="147">
        <f ca="1">Tresorerie!X5+U14+U20</f>
        <v>-129888.03477971707</v>
      </c>
      <c r="V23" s="147">
        <f ca="1">Tresorerie!Y5+V14+V20</f>
        <v>-47159.749980986118</v>
      </c>
      <c r="W23" s="147">
        <f ca="1">Tresorerie!Z5+W14+W20</f>
        <v>-85676.643627996833</v>
      </c>
      <c r="X23" s="147">
        <f ca="1">Tresorerie!AA5+X14+X20</f>
        <v>-83195.898489107931</v>
      </c>
      <c r="Y23" s="147">
        <f ca="1">Tresorerie!AB5+Y14+Y20</f>
        <v>-81221.399877996824</v>
      </c>
    </row>
  </sheetData>
  <sheetProtection password="B3DB" sheet="1" objects="1" scenarios="1"/>
  <pageMargins left="0.25" right="0.25" top="0.75" bottom="0.75" header="0.3" footer="0.3"/>
  <pageSetup paperSize="9" scale="38" fitToHeight="26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C83"/>
  <sheetViews>
    <sheetView workbookViewId="0">
      <selection activeCell="A3" sqref="A3"/>
    </sheetView>
  </sheetViews>
  <sheetFormatPr baseColWidth="10" defaultColWidth="10.625" defaultRowHeight="12.75" x14ac:dyDescent="0.25"/>
  <cols>
    <col min="1" max="1" width="24.375" style="46" customWidth="1"/>
    <col min="2" max="2" width="11.625" style="23" customWidth="1"/>
    <col min="3" max="3" width="59" style="45" bestFit="1" customWidth="1"/>
    <col min="4" max="4" width="28.125" style="15" bestFit="1" customWidth="1"/>
    <col min="5" max="16384" width="10.625" style="15"/>
  </cols>
  <sheetData>
    <row r="1" spans="1:3" x14ac:dyDescent="0.25">
      <c r="A1" s="2" t="s">
        <v>104</v>
      </c>
      <c r="B1" s="114" t="s">
        <v>133</v>
      </c>
    </row>
    <row r="2" spans="1:3" x14ac:dyDescent="0.25">
      <c r="A2" s="43" t="s">
        <v>105</v>
      </c>
      <c r="B2" s="52">
        <v>2017</v>
      </c>
      <c r="C2" s="45" t="s">
        <v>119</v>
      </c>
    </row>
    <row r="3" spans="1:3" x14ac:dyDescent="0.25">
      <c r="A3" s="43" t="s">
        <v>80</v>
      </c>
      <c r="B3" s="52">
        <v>1</v>
      </c>
      <c r="C3" s="45" t="s">
        <v>120</v>
      </c>
    </row>
    <row r="5" spans="1:3" x14ac:dyDescent="0.25">
      <c r="A5" s="43" t="s">
        <v>38</v>
      </c>
      <c r="B5" s="52">
        <v>3</v>
      </c>
      <c r="C5" s="45" t="s">
        <v>121</v>
      </c>
    </row>
    <row r="7" spans="1:3" x14ac:dyDescent="0.25">
      <c r="A7" s="115" t="s">
        <v>25</v>
      </c>
      <c r="C7" s="45" t="s">
        <v>124</v>
      </c>
    </row>
    <row r="8" spans="1:3" x14ac:dyDescent="0.25">
      <c r="A8" s="53" t="s">
        <v>189</v>
      </c>
    </row>
    <row r="9" spans="1:3" x14ac:dyDescent="0.25">
      <c r="A9" s="53" t="s">
        <v>190</v>
      </c>
    </row>
    <row r="10" spans="1:3" x14ac:dyDescent="0.25">
      <c r="A10" s="53" t="s">
        <v>184</v>
      </c>
    </row>
    <row r="11" spans="1:3" x14ac:dyDescent="0.25">
      <c r="A11" s="53" t="s">
        <v>191</v>
      </c>
    </row>
    <row r="12" spans="1:3" x14ac:dyDescent="0.25">
      <c r="A12" s="53" t="s">
        <v>192</v>
      </c>
    </row>
    <row r="13" spans="1:3" x14ac:dyDescent="0.25">
      <c r="A13" s="53" t="s">
        <v>193</v>
      </c>
    </row>
    <row r="14" spans="1:3" x14ac:dyDescent="0.25">
      <c r="A14" s="53" t="s">
        <v>194</v>
      </c>
    </row>
    <row r="15" spans="1:3" x14ac:dyDescent="0.25">
      <c r="A15" s="53" t="s">
        <v>195</v>
      </c>
    </row>
    <row r="16" spans="1:3" x14ac:dyDescent="0.25">
      <c r="A16" s="53" t="s">
        <v>23</v>
      </c>
    </row>
    <row r="17" spans="1:3" x14ac:dyDescent="0.25">
      <c r="A17" s="15"/>
    </row>
    <row r="18" spans="1:3" x14ac:dyDescent="0.25">
      <c r="A18" s="115" t="s">
        <v>24</v>
      </c>
      <c r="C18" s="45" t="s">
        <v>123</v>
      </c>
    </row>
    <row r="19" spans="1:3" x14ac:dyDescent="0.25">
      <c r="A19" s="110" t="s">
        <v>17</v>
      </c>
    </row>
    <row r="20" spans="1:3" x14ac:dyDescent="0.25">
      <c r="A20" s="110" t="s">
        <v>18</v>
      </c>
    </row>
    <row r="21" spans="1:3" x14ac:dyDescent="0.25">
      <c r="A21" s="110" t="s">
        <v>19</v>
      </c>
    </row>
    <row r="22" spans="1:3" x14ac:dyDescent="0.25">
      <c r="A22" s="111" t="s">
        <v>122</v>
      </c>
    </row>
    <row r="23" spans="1:3" x14ac:dyDescent="0.25">
      <c r="A23" s="111" t="s">
        <v>20</v>
      </c>
    </row>
    <row r="24" spans="1:3" x14ac:dyDescent="0.25">
      <c r="A24" s="111" t="s">
        <v>21</v>
      </c>
    </row>
    <row r="25" spans="1:3" x14ac:dyDescent="0.25">
      <c r="A25" s="111" t="s">
        <v>64</v>
      </c>
    </row>
    <row r="27" spans="1:3" x14ac:dyDescent="0.25">
      <c r="A27" s="2" t="s">
        <v>95</v>
      </c>
      <c r="B27" s="114" t="s">
        <v>5</v>
      </c>
      <c r="C27" s="45" t="s">
        <v>125</v>
      </c>
    </row>
    <row r="28" spans="1:3" x14ac:dyDescent="0.25">
      <c r="A28" s="54" t="s">
        <v>11</v>
      </c>
      <c r="B28" s="55">
        <v>1</v>
      </c>
    </row>
    <row r="29" spans="1:3" x14ac:dyDescent="0.25">
      <c r="A29" s="54" t="s">
        <v>12</v>
      </c>
      <c r="B29" s="55">
        <v>0.9</v>
      </c>
    </row>
    <row r="30" spans="1:3" x14ac:dyDescent="0.25">
      <c r="A30" s="54" t="s">
        <v>4</v>
      </c>
      <c r="B30" s="55">
        <v>0.7</v>
      </c>
    </row>
    <row r="31" spans="1:3" x14ac:dyDescent="0.25">
      <c r="A31" s="54" t="s">
        <v>6</v>
      </c>
      <c r="B31" s="55">
        <v>0.5</v>
      </c>
    </row>
    <row r="32" spans="1:3" x14ac:dyDescent="0.25">
      <c r="A32" s="54" t="s">
        <v>7</v>
      </c>
      <c r="B32" s="55">
        <v>0.2</v>
      </c>
    </row>
    <row r="33" spans="1:3" x14ac:dyDescent="0.25">
      <c r="A33" s="54" t="s">
        <v>22</v>
      </c>
      <c r="B33" s="55">
        <v>0</v>
      </c>
    </row>
    <row r="35" spans="1:3" x14ac:dyDescent="0.25">
      <c r="A35" s="115" t="s">
        <v>30</v>
      </c>
      <c r="C35" s="45" t="s">
        <v>126</v>
      </c>
    </row>
    <row r="36" spans="1:3" x14ac:dyDescent="0.25">
      <c r="A36" s="53" t="s">
        <v>33</v>
      </c>
    </row>
    <row r="37" spans="1:3" x14ac:dyDescent="0.25">
      <c r="A37" s="53" t="s">
        <v>34</v>
      </c>
    </row>
    <row r="38" spans="1:3" x14ac:dyDescent="0.25">
      <c r="A38" s="53" t="s">
        <v>35</v>
      </c>
    </row>
    <row r="39" spans="1:3" x14ac:dyDescent="0.25">
      <c r="A39" s="53" t="s">
        <v>36</v>
      </c>
    </row>
    <row r="40" spans="1:3" x14ac:dyDescent="0.25">
      <c r="A40" s="53" t="s">
        <v>37</v>
      </c>
    </row>
    <row r="41" spans="1:3" x14ac:dyDescent="0.25">
      <c r="A41" s="53" t="s">
        <v>172</v>
      </c>
    </row>
    <row r="42" spans="1:3" x14ac:dyDescent="0.25">
      <c r="A42" s="53" t="s">
        <v>216</v>
      </c>
    </row>
    <row r="43" spans="1:3" x14ac:dyDescent="0.25">
      <c r="A43" s="53" t="s">
        <v>135</v>
      </c>
    </row>
    <row r="44" spans="1:3" x14ac:dyDescent="0.25">
      <c r="A44" s="111" t="s">
        <v>45</v>
      </c>
      <c r="C44" s="45" t="s">
        <v>127</v>
      </c>
    </row>
    <row r="45" spans="1:3" x14ac:dyDescent="0.25">
      <c r="A45" s="53" t="s">
        <v>78</v>
      </c>
    </row>
    <row r="47" spans="1:3" x14ac:dyDescent="0.25">
      <c r="A47" s="115" t="s">
        <v>29</v>
      </c>
      <c r="C47" s="45" t="s">
        <v>128</v>
      </c>
    </row>
    <row r="48" spans="1:3" x14ac:dyDescent="0.25">
      <c r="A48" s="53" t="s">
        <v>26</v>
      </c>
    </row>
    <row r="49" spans="1:3" x14ac:dyDescent="0.25">
      <c r="A49" s="53" t="s">
        <v>40</v>
      </c>
    </row>
    <row r="50" spans="1:3" x14ac:dyDescent="0.25">
      <c r="A50" s="53" t="s">
        <v>27</v>
      </c>
    </row>
    <row r="51" spans="1:3" x14ac:dyDescent="0.25">
      <c r="A51" s="53" t="s">
        <v>28</v>
      </c>
    </row>
    <row r="52" spans="1:3" x14ac:dyDescent="0.25">
      <c r="A52" s="53" t="s">
        <v>65</v>
      </c>
    </row>
    <row r="53" spans="1:3" x14ac:dyDescent="0.25">
      <c r="A53" s="53" t="s">
        <v>41</v>
      </c>
    </row>
    <row r="54" spans="1:3" x14ac:dyDescent="0.25">
      <c r="A54" s="53" t="s">
        <v>42</v>
      </c>
    </row>
    <row r="55" spans="1:3" x14ac:dyDescent="0.25">
      <c r="A55" s="53" t="s">
        <v>94</v>
      </c>
    </row>
    <row r="56" spans="1:3" x14ac:dyDescent="0.25">
      <c r="A56" s="53" t="s">
        <v>134</v>
      </c>
    </row>
    <row r="57" spans="1:3" x14ac:dyDescent="0.25">
      <c r="A57" s="53" t="s">
        <v>45</v>
      </c>
    </row>
    <row r="58" spans="1:3" x14ac:dyDescent="0.25">
      <c r="A58" s="53" t="s">
        <v>78</v>
      </c>
    </row>
    <row r="59" spans="1:3" x14ac:dyDescent="0.25">
      <c r="A59" s="15"/>
    </row>
    <row r="60" spans="1:3" x14ac:dyDescent="0.25">
      <c r="A60" s="2" t="s">
        <v>70</v>
      </c>
      <c r="B60" s="114" t="s">
        <v>5</v>
      </c>
      <c r="C60" s="45" t="s">
        <v>129</v>
      </c>
    </row>
    <row r="61" spans="1:3" x14ac:dyDescent="0.25">
      <c r="A61" s="112" t="s">
        <v>9</v>
      </c>
      <c r="B61" s="113">
        <v>1</v>
      </c>
      <c r="C61" s="45" t="s">
        <v>130</v>
      </c>
    </row>
    <row r="62" spans="1:3" x14ac:dyDescent="0.25">
      <c r="A62" s="54" t="s">
        <v>8</v>
      </c>
      <c r="B62" s="55">
        <v>0.5</v>
      </c>
      <c r="C62" s="45" t="s">
        <v>132</v>
      </c>
    </row>
    <row r="63" spans="1:3" x14ac:dyDescent="0.25">
      <c r="A63" s="112" t="s">
        <v>10</v>
      </c>
      <c r="B63" s="113">
        <v>0</v>
      </c>
      <c r="C63" s="45" t="s">
        <v>131</v>
      </c>
    </row>
    <row r="65" spans="1:2" x14ac:dyDescent="0.25">
      <c r="A65" s="2" t="s">
        <v>79</v>
      </c>
      <c r="B65" s="114" t="s">
        <v>80</v>
      </c>
    </row>
    <row r="66" spans="1:2" x14ac:dyDescent="0.25">
      <c r="A66" s="43">
        <v>1</v>
      </c>
      <c r="B66" s="44" t="s">
        <v>81</v>
      </c>
    </row>
    <row r="67" spans="1:2" x14ac:dyDescent="0.25">
      <c r="A67" s="43">
        <v>2</v>
      </c>
      <c r="B67" s="44" t="s">
        <v>82</v>
      </c>
    </row>
    <row r="68" spans="1:2" x14ac:dyDescent="0.25">
      <c r="A68" s="43">
        <v>3</v>
      </c>
      <c r="B68" s="44" t="s">
        <v>83</v>
      </c>
    </row>
    <row r="69" spans="1:2" x14ac:dyDescent="0.25">
      <c r="A69" s="43">
        <v>4</v>
      </c>
      <c r="B69" s="44" t="s">
        <v>84</v>
      </c>
    </row>
    <row r="70" spans="1:2" x14ac:dyDescent="0.25">
      <c r="A70" s="43">
        <v>5</v>
      </c>
      <c r="B70" s="44" t="s">
        <v>85</v>
      </c>
    </row>
    <row r="71" spans="1:2" x14ac:dyDescent="0.25">
      <c r="A71" s="43">
        <v>6</v>
      </c>
      <c r="B71" s="44" t="s">
        <v>86</v>
      </c>
    </row>
    <row r="72" spans="1:2" x14ac:dyDescent="0.25">
      <c r="A72" s="43">
        <v>7</v>
      </c>
      <c r="B72" s="44" t="s">
        <v>87</v>
      </c>
    </row>
    <row r="73" spans="1:2" x14ac:dyDescent="0.25">
      <c r="A73" s="43">
        <v>8</v>
      </c>
      <c r="B73" s="44" t="s">
        <v>88</v>
      </c>
    </row>
    <row r="74" spans="1:2" x14ac:dyDescent="0.25">
      <c r="A74" s="43">
        <v>9</v>
      </c>
      <c r="B74" s="44" t="s">
        <v>89</v>
      </c>
    </row>
    <row r="75" spans="1:2" x14ac:dyDescent="0.25">
      <c r="A75" s="43">
        <v>10</v>
      </c>
      <c r="B75" s="44" t="s">
        <v>90</v>
      </c>
    </row>
    <row r="76" spans="1:2" x14ac:dyDescent="0.25">
      <c r="A76" s="43">
        <v>11</v>
      </c>
      <c r="B76" s="44" t="s">
        <v>91</v>
      </c>
    </row>
    <row r="77" spans="1:2" x14ac:dyDescent="0.25">
      <c r="A77" s="43">
        <v>12</v>
      </c>
      <c r="B77" s="44" t="s">
        <v>92</v>
      </c>
    </row>
    <row r="79" spans="1:2" x14ac:dyDescent="0.25">
      <c r="A79" s="2" t="s">
        <v>100</v>
      </c>
    </row>
    <row r="80" spans="1:2" x14ac:dyDescent="0.25">
      <c r="A80" s="43" t="s">
        <v>96</v>
      </c>
    </row>
    <row r="81" spans="1:1" x14ac:dyDescent="0.25">
      <c r="A81" s="43" t="s">
        <v>97</v>
      </c>
    </row>
    <row r="82" spans="1:1" x14ac:dyDescent="0.25">
      <c r="A82" s="43" t="s">
        <v>98</v>
      </c>
    </row>
    <row r="83" spans="1:1" x14ac:dyDescent="0.25">
      <c r="A83" s="43" t="s">
        <v>99</v>
      </c>
    </row>
  </sheetData>
  <sheetProtection password="B3DB" sheet="1" objects="1" scenarios="1"/>
  <dataValidations count="3">
    <dataValidation type="whole" allowBlank="1" showInputMessage="1" showErrorMessage="1" promptTitle="Saisir un mois en nombre" prompt="Indiquer un nombre entre 1 et 12" sqref="B3">
      <formula1>1</formula1>
      <formula2>12</formula2>
    </dataValidation>
    <dataValidation type="whole" allowBlank="1" showInputMessage="1" showErrorMessage="1" promptTitle="Indiquer une année" prompt="Indiquer l'année de démarrage de votre tableau" sqref="B2">
      <formula1>2015</formula1>
      <formula2>2030</formula2>
    </dataValidation>
    <dataValidation type="whole" allowBlank="1" showInputMessage="1" showErrorMessage="1" promptTitle="Indiquer un délai de réactivité" prompt="Nombre de mois nécessaire entre une prise de décision et son impact réel en trésorerie" sqref="B5">
      <formula1>0</formula1>
      <formula2>6</formula2>
    </dataValidation>
  </dataValidations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1"/>
  <sheetViews>
    <sheetView topLeftCell="A136" workbookViewId="0">
      <selection activeCell="A150" sqref="A150"/>
    </sheetView>
  </sheetViews>
  <sheetFormatPr baseColWidth="10" defaultRowHeight="15.75" outlineLevelRow="1" x14ac:dyDescent="0.25"/>
  <sheetData>
    <row r="1" spans="1:1" x14ac:dyDescent="0.25">
      <c r="A1">
        <v>1</v>
      </c>
    </row>
    <row r="2" spans="1:1" x14ac:dyDescent="0.25">
      <c r="A2">
        <v>1</v>
      </c>
    </row>
    <row r="3" spans="1:1" x14ac:dyDescent="0.25">
      <c r="A3">
        <v>1</v>
      </c>
    </row>
    <row r="4" spans="1:1" x14ac:dyDescent="0.25">
      <c r="A4">
        <v>1</v>
      </c>
    </row>
    <row r="5" spans="1:1" x14ac:dyDescent="0.25">
      <c r="A5">
        <v>1</v>
      </c>
    </row>
    <row r="6" spans="1:1" x14ac:dyDescent="0.25">
      <c r="A6">
        <v>1</v>
      </c>
    </row>
    <row r="7" spans="1:1" x14ac:dyDescent="0.25">
      <c r="A7">
        <v>2</v>
      </c>
    </row>
    <row r="8" spans="1:1" x14ac:dyDescent="0.25">
      <c r="A8">
        <v>2</v>
      </c>
    </row>
    <row r="9" spans="1:1" x14ac:dyDescent="0.25">
      <c r="A9">
        <v>2</v>
      </c>
    </row>
    <row r="10" spans="1:1" x14ac:dyDescent="0.25">
      <c r="A10">
        <v>2</v>
      </c>
    </row>
    <row r="11" spans="1:1" x14ac:dyDescent="0.25">
      <c r="A11">
        <v>1</v>
      </c>
    </row>
    <row r="12" spans="1:1" x14ac:dyDescent="0.25">
      <c r="A12">
        <v>1</v>
      </c>
    </row>
    <row r="13" spans="1:1" x14ac:dyDescent="0.25">
      <c r="A13">
        <v>1</v>
      </c>
    </row>
    <row r="14" spans="1:1" x14ac:dyDescent="0.25">
      <c r="A14">
        <v>1</v>
      </c>
    </row>
    <row r="15" spans="1:1" x14ac:dyDescent="0.25">
      <c r="A15">
        <v>2</v>
      </c>
    </row>
    <row r="16" spans="1:1" x14ac:dyDescent="0.25">
      <c r="A16">
        <v>2</v>
      </c>
    </row>
    <row r="17" spans="1:1" x14ac:dyDescent="0.25">
      <c r="A17">
        <v>2</v>
      </c>
    </row>
    <row r="18" spans="1:1" x14ac:dyDescent="0.25">
      <c r="A18">
        <v>2</v>
      </c>
    </row>
    <row r="19" spans="1:1" x14ac:dyDescent="0.25">
      <c r="A19">
        <v>2</v>
      </c>
    </row>
    <row r="20" spans="1:1" x14ac:dyDescent="0.25">
      <c r="A20">
        <v>2</v>
      </c>
    </row>
    <row r="21" spans="1:1" x14ac:dyDescent="0.25">
      <c r="A21">
        <v>2</v>
      </c>
    </row>
    <row r="22" spans="1:1" x14ac:dyDescent="0.25">
      <c r="A22">
        <v>2</v>
      </c>
    </row>
    <row r="23" spans="1:1" x14ac:dyDescent="0.25">
      <c r="A23">
        <v>2</v>
      </c>
    </row>
    <row r="24" spans="1:1" x14ac:dyDescent="0.25">
      <c r="A24">
        <v>2</v>
      </c>
    </row>
    <row r="25" spans="1:1" x14ac:dyDescent="0.25">
      <c r="A25">
        <v>2</v>
      </c>
    </row>
    <row r="26" spans="1:1" x14ac:dyDescent="0.25">
      <c r="A26">
        <v>2</v>
      </c>
    </row>
    <row r="27" spans="1:1" x14ac:dyDescent="0.25">
      <c r="A27">
        <v>2</v>
      </c>
    </row>
    <row r="28" spans="1:1" x14ac:dyDescent="0.25">
      <c r="A28">
        <v>2</v>
      </c>
    </row>
    <row r="29" spans="1:1" x14ac:dyDescent="0.25">
      <c r="A29">
        <v>2</v>
      </c>
    </row>
    <row r="30" spans="1:1" x14ac:dyDescent="0.25">
      <c r="A30">
        <v>2</v>
      </c>
    </row>
    <row r="31" spans="1:1" x14ac:dyDescent="0.25">
      <c r="A31">
        <v>1</v>
      </c>
    </row>
    <row r="32" spans="1:1" x14ac:dyDescent="0.25">
      <c r="A32">
        <v>2</v>
      </c>
    </row>
    <row r="33" spans="1:1" x14ac:dyDescent="0.25">
      <c r="A33">
        <v>2</v>
      </c>
    </row>
    <row r="34" spans="1:1" x14ac:dyDescent="0.25">
      <c r="A34">
        <v>2</v>
      </c>
    </row>
    <row r="35" spans="1:1" x14ac:dyDescent="0.25">
      <c r="A35">
        <v>2</v>
      </c>
    </row>
    <row r="36" spans="1:1" x14ac:dyDescent="0.25">
      <c r="A36">
        <v>2</v>
      </c>
    </row>
    <row r="37" spans="1:1" x14ac:dyDescent="0.25">
      <c r="A37">
        <v>2</v>
      </c>
    </row>
    <row r="38" spans="1:1" x14ac:dyDescent="0.25">
      <c r="A38">
        <v>1</v>
      </c>
    </row>
    <row r="39" spans="1:1" x14ac:dyDescent="0.25">
      <c r="A39">
        <v>1</v>
      </c>
    </row>
    <row r="40" spans="1:1" x14ac:dyDescent="0.25">
      <c r="A40">
        <v>1</v>
      </c>
    </row>
    <row r="41" spans="1:1" x14ac:dyDescent="0.25">
      <c r="A41">
        <v>1</v>
      </c>
    </row>
    <row r="42" spans="1:1" x14ac:dyDescent="0.25">
      <c r="A42">
        <v>2</v>
      </c>
    </row>
    <row r="43" spans="1:1" x14ac:dyDescent="0.25">
      <c r="A43">
        <v>2</v>
      </c>
    </row>
    <row r="44" spans="1:1" x14ac:dyDescent="0.25">
      <c r="A44">
        <v>2</v>
      </c>
    </row>
    <row r="45" spans="1:1" x14ac:dyDescent="0.25">
      <c r="A45">
        <v>2</v>
      </c>
    </row>
    <row r="46" spans="1:1" x14ac:dyDescent="0.25">
      <c r="A46">
        <v>2</v>
      </c>
    </row>
    <row r="47" spans="1:1" x14ac:dyDescent="0.25">
      <c r="A47">
        <v>2</v>
      </c>
    </row>
    <row r="48" spans="1:1" x14ac:dyDescent="0.25">
      <c r="A48">
        <v>2</v>
      </c>
    </row>
    <row r="49" spans="1:1" x14ac:dyDescent="0.25">
      <c r="A49">
        <v>2</v>
      </c>
    </row>
    <row r="50" spans="1:1" x14ac:dyDescent="0.25">
      <c r="A50">
        <v>2</v>
      </c>
    </row>
    <row r="51" spans="1:1" x14ac:dyDescent="0.25">
      <c r="A51">
        <v>2</v>
      </c>
    </row>
    <row r="52" spans="1:1" x14ac:dyDescent="0.25">
      <c r="A52">
        <v>2</v>
      </c>
    </row>
    <row r="53" spans="1:1" x14ac:dyDescent="0.25">
      <c r="A53">
        <v>2</v>
      </c>
    </row>
    <row r="54" spans="1:1" x14ac:dyDescent="0.25">
      <c r="A54">
        <v>2</v>
      </c>
    </row>
    <row r="55" spans="1:1" x14ac:dyDescent="0.25">
      <c r="A55">
        <v>2</v>
      </c>
    </row>
    <row r="56" spans="1:1" x14ac:dyDescent="0.25">
      <c r="A56">
        <v>2</v>
      </c>
    </row>
    <row r="57" spans="1:1" x14ac:dyDescent="0.25">
      <c r="A57">
        <v>2</v>
      </c>
    </row>
    <row r="58" spans="1:1" x14ac:dyDescent="0.25">
      <c r="A58">
        <v>1</v>
      </c>
    </row>
    <row r="59" spans="1:1" x14ac:dyDescent="0.25">
      <c r="A59">
        <v>2</v>
      </c>
    </row>
    <row r="60" spans="1:1" x14ac:dyDescent="0.25">
      <c r="A60">
        <v>2</v>
      </c>
    </row>
    <row r="61" spans="1:1" x14ac:dyDescent="0.25">
      <c r="A61">
        <v>2</v>
      </c>
    </row>
    <row r="62" spans="1:1" x14ac:dyDescent="0.25">
      <c r="A62">
        <v>2</v>
      </c>
    </row>
    <row r="63" spans="1:1" x14ac:dyDescent="0.25">
      <c r="A63">
        <v>2</v>
      </c>
    </row>
    <row r="64" spans="1:1" x14ac:dyDescent="0.25">
      <c r="A64">
        <v>2</v>
      </c>
    </row>
    <row r="65" spans="1:1" x14ac:dyDescent="0.25">
      <c r="A65">
        <v>2</v>
      </c>
    </row>
    <row r="66" spans="1:1" x14ac:dyDescent="0.25">
      <c r="A66">
        <v>2</v>
      </c>
    </row>
    <row r="67" spans="1:1" x14ac:dyDescent="0.25">
      <c r="A67">
        <v>2</v>
      </c>
    </row>
    <row r="68" spans="1:1" x14ac:dyDescent="0.25">
      <c r="A68">
        <v>1</v>
      </c>
    </row>
    <row r="69" spans="1:1" x14ac:dyDescent="0.25">
      <c r="A69">
        <v>2</v>
      </c>
    </row>
    <row r="70" spans="1:1" x14ac:dyDescent="0.25">
      <c r="A70">
        <v>2</v>
      </c>
    </row>
    <row r="71" spans="1:1" x14ac:dyDescent="0.25">
      <c r="A71">
        <v>2</v>
      </c>
    </row>
    <row r="72" spans="1:1" x14ac:dyDescent="0.25">
      <c r="A72">
        <v>2</v>
      </c>
    </row>
    <row r="73" spans="1:1" x14ac:dyDescent="0.25">
      <c r="A73">
        <v>2</v>
      </c>
    </row>
    <row r="74" spans="1:1" x14ac:dyDescent="0.25">
      <c r="A74">
        <v>2</v>
      </c>
    </row>
    <row r="75" spans="1:1" x14ac:dyDescent="0.25">
      <c r="A75">
        <v>2</v>
      </c>
    </row>
    <row r="76" spans="1:1" x14ac:dyDescent="0.25">
      <c r="A76">
        <v>2</v>
      </c>
    </row>
    <row r="77" spans="1:1" x14ac:dyDescent="0.25">
      <c r="A77">
        <v>2</v>
      </c>
    </row>
    <row r="78" spans="1:1" x14ac:dyDescent="0.25">
      <c r="A78">
        <v>1</v>
      </c>
    </row>
    <row r="79" spans="1:1" x14ac:dyDescent="0.25">
      <c r="A79">
        <v>2</v>
      </c>
    </row>
    <row r="80" spans="1:1" x14ac:dyDescent="0.25">
      <c r="A80">
        <v>2</v>
      </c>
    </row>
    <row r="81" spans="1:1" x14ac:dyDescent="0.25">
      <c r="A81">
        <v>2</v>
      </c>
    </row>
    <row r="82" spans="1:1" x14ac:dyDescent="0.25">
      <c r="A82">
        <v>2</v>
      </c>
    </row>
    <row r="83" spans="1:1" x14ac:dyDescent="0.25">
      <c r="A83">
        <v>2</v>
      </c>
    </row>
    <row r="84" spans="1:1" x14ac:dyDescent="0.25">
      <c r="A84">
        <v>2</v>
      </c>
    </row>
    <row r="85" spans="1:1" x14ac:dyDescent="0.25">
      <c r="A85">
        <v>2</v>
      </c>
    </row>
    <row r="86" spans="1:1" x14ac:dyDescent="0.25">
      <c r="A86">
        <v>2</v>
      </c>
    </row>
    <row r="87" spans="1:1" x14ac:dyDescent="0.25">
      <c r="A87">
        <v>2</v>
      </c>
    </row>
    <row r="88" spans="1:1" x14ac:dyDescent="0.25">
      <c r="A88">
        <v>2</v>
      </c>
    </row>
    <row r="89" spans="1:1" x14ac:dyDescent="0.25">
      <c r="A89">
        <v>2</v>
      </c>
    </row>
    <row r="90" spans="1:1" x14ac:dyDescent="0.25">
      <c r="A90">
        <v>2</v>
      </c>
    </row>
    <row r="91" spans="1:1" x14ac:dyDescent="0.25">
      <c r="A91">
        <v>1</v>
      </c>
    </row>
    <row r="92" spans="1:1" x14ac:dyDescent="0.25">
      <c r="A92">
        <v>2</v>
      </c>
    </row>
    <row r="93" spans="1:1" x14ac:dyDescent="0.25">
      <c r="A93">
        <v>2</v>
      </c>
    </row>
    <row r="94" spans="1:1" x14ac:dyDescent="0.25">
      <c r="A94">
        <v>2</v>
      </c>
    </row>
    <row r="95" spans="1:1" x14ac:dyDescent="0.25">
      <c r="A95">
        <v>2</v>
      </c>
    </row>
    <row r="96" spans="1:1" x14ac:dyDescent="0.25">
      <c r="A96">
        <v>2</v>
      </c>
    </row>
    <row r="97" spans="1:1" x14ac:dyDescent="0.25">
      <c r="A97">
        <v>2</v>
      </c>
    </row>
    <row r="98" spans="1:1" x14ac:dyDescent="0.25">
      <c r="A98">
        <v>2</v>
      </c>
    </row>
    <row r="99" spans="1:1" x14ac:dyDescent="0.25">
      <c r="A99">
        <v>2</v>
      </c>
    </row>
    <row r="100" spans="1:1" x14ac:dyDescent="0.25">
      <c r="A100">
        <v>2</v>
      </c>
    </row>
    <row r="101" spans="1:1" x14ac:dyDescent="0.25">
      <c r="A101">
        <v>2</v>
      </c>
    </row>
    <row r="102" spans="1:1" x14ac:dyDescent="0.25">
      <c r="A102">
        <v>2</v>
      </c>
    </row>
    <row r="103" spans="1:1" x14ac:dyDescent="0.25">
      <c r="A103">
        <v>2</v>
      </c>
    </row>
    <row r="104" spans="1:1" x14ac:dyDescent="0.25">
      <c r="A104">
        <v>2</v>
      </c>
    </row>
    <row r="105" spans="1:1" x14ac:dyDescent="0.25">
      <c r="A105">
        <v>2</v>
      </c>
    </row>
    <row r="106" spans="1:1" x14ac:dyDescent="0.25">
      <c r="A106">
        <v>2</v>
      </c>
    </row>
    <row r="107" spans="1:1" x14ac:dyDescent="0.25">
      <c r="A107">
        <v>2</v>
      </c>
    </row>
    <row r="108" spans="1:1" x14ac:dyDescent="0.25">
      <c r="A108">
        <v>2</v>
      </c>
    </row>
    <row r="109" spans="1:1" x14ac:dyDescent="0.25">
      <c r="A109">
        <v>1</v>
      </c>
    </row>
    <row r="110" spans="1:1" x14ac:dyDescent="0.25">
      <c r="A110">
        <v>2</v>
      </c>
    </row>
    <row r="111" spans="1:1" x14ac:dyDescent="0.25">
      <c r="A111">
        <v>2</v>
      </c>
    </row>
    <row r="112" spans="1:1" x14ac:dyDescent="0.25">
      <c r="A112">
        <v>2</v>
      </c>
    </row>
    <row r="113" spans="1:1" x14ac:dyDescent="0.25">
      <c r="A113">
        <v>2</v>
      </c>
    </row>
    <row r="114" spans="1:1" x14ac:dyDescent="0.25">
      <c r="A114">
        <v>2</v>
      </c>
    </row>
    <row r="115" spans="1:1" x14ac:dyDescent="0.25">
      <c r="A115">
        <v>2</v>
      </c>
    </row>
    <row r="116" spans="1:1" x14ac:dyDescent="0.25">
      <c r="A116">
        <v>1</v>
      </c>
    </row>
    <row r="117" spans="1:1" x14ac:dyDescent="0.25">
      <c r="A117">
        <v>2</v>
      </c>
    </row>
    <row r="118" spans="1:1" x14ac:dyDescent="0.25">
      <c r="A118">
        <v>2</v>
      </c>
    </row>
    <row r="119" spans="1:1" x14ac:dyDescent="0.25">
      <c r="A119">
        <v>2</v>
      </c>
    </row>
    <row r="120" spans="1:1" x14ac:dyDescent="0.25">
      <c r="A120">
        <v>2</v>
      </c>
    </row>
    <row r="121" spans="1:1" x14ac:dyDescent="0.25">
      <c r="A121">
        <v>2</v>
      </c>
    </row>
    <row r="122" spans="1:1" x14ac:dyDescent="0.25">
      <c r="A122">
        <v>2</v>
      </c>
    </row>
    <row r="123" spans="1:1" x14ac:dyDescent="0.25">
      <c r="A123">
        <v>2</v>
      </c>
    </row>
    <row r="124" spans="1:1" x14ac:dyDescent="0.25">
      <c r="A124">
        <v>2</v>
      </c>
    </row>
    <row r="125" spans="1:1" x14ac:dyDescent="0.25">
      <c r="A125">
        <v>2</v>
      </c>
    </row>
    <row r="126" spans="1:1" x14ac:dyDescent="0.25">
      <c r="A126">
        <v>2</v>
      </c>
    </row>
    <row r="127" spans="1:1" x14ac:dyDescent="0.25">
      <c r="A127">
        <v>1</v>
      </c>
    </row>
    <row r="128" spans="1:1" x14ac:dyDescent="0.25">
      <c r="A128">
        <v>1</v>
      </c>
    </row>
    <row r="129" spans="1:1" x14ac:dyDescent="0.25">
      <c r="A129">
        <v>1</v>
      </c>
    </row>
    <row r="130" spans="1:1" x14ac:dyDescent="0.25">
      <c r="A130">
        <v>1</v>
      </c>
    </row>
    <row r="131" spans="1:1" x14ac:dyDescent="0.25">
      <c r="A131">
        <v>2</v>
      </c>
    </row>
    <row r="132" spans="1:1" x14ac:dyDescent="0.25">
      <c r="A132">
        <v>2</v>
      </c>
    </row>
    <row r="133" spans="1:1" x14ac:dyDescent="0.25">
      <c r="A133">
        <v>2</v>
      </c>
    </row>
    <row r="134" spans="1:1" x14ac:dyDescent="0.25">
      <c r="A134">
        <v>2</v>
      </c>
    </row>
    <row r="135" spans="1:1" x14ac:dyDescent="0.25">
      <c r="A135">
        <v>2</v>
      </c>
    </row>
    <row r="136" spans="1:1" x14ac:dyDescent="0.25">
      <c r="A136">
        <v>1</v>
      </c>
    </row>
    <row r="137" spans="1:1" x14ac:dyDescent="0.25">
      <c r="A137">
        <v>1</v>
      </c>
    </row>
    <row r="138" spans="1:1" x14ac:dyDescent="0.25">
      <c r="A138">
        <v>1</v>
      </c>
    </row>
    <row r="139" spans="1:1" hidden="1" x14ac:dyDescent="0.25">
      <c r="A139">
        <v>1</v>
      </c>
    </row>
    <row r="140" spans="1:1" hidden="1" outlineLevel="1" x14ac:dyDescent="0.25">
      <c r="A140">
        <v>1</v>
      </c>
    </row>
    <row r="141" spans="1:1" hidden="1" outlineLevel="1" x14ac:dyDescent="0.25"/>
    <row r="142" spans="1:1" hidden="1" outlineLevel="1" x14ac:dyDescent="0.25">
      <c r="A142">
        <v>1</v>
      </c>
    </row>
    <row r="143" spans="1:1" hidden="1" outlineLevel="1" x14ac:dyDescent="0.25"/>
    <row r="144" spans="1:1" collapsed="1" x14ac:dyDescent="0.25"/>
    <row r="145" hidden="1" outlineLevel="1" x14ac:dyDescent="0.25"/>
    <row r="146" hidden="1" outlineLevel="1" x14ac:dyDescent="0.25"/>
    <row r="147" hidden="1" outlineLevel="1" x14ac:dyDescent="0.25"/>
    <row r="148" hidden="1" outlineLevel="1" x14ac:dyDescent="0.25"/>
    <row r="149" hidden="1" outlineLevel="1" x14ac:dyDescent="0.25"/>
    <row r="150" hidden="1" outlineLevel="1" collapsed="1" x14ac:dyDescent="0.25"/>
    <row r="151" collapsed="1" x14ac:dyDescent="0.25"/>
  </sheetData>
  <sheetProtection password="B3D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6" baseType="lpstr">
      <vt:lpstr>Tresorerie</vt:lpstr>
      <vt:lpstr>Synthese</vt:lpstr>
      <vt:lpstr>Parametres</vt:lpstr>
      <vt:lpstr>Feuil1</vt:lpstr>
      <vt:lpstr>Seg CA</vt:lpstr>
      <vt:lpstr>Seg Depenses</vt:lpstr>
      <vt:lpstr>Cashburn</vt:lpstr>
      <vt:lpstr>ANNEEDEBUT</vt:lpstr>
      <vt:lpstr>arial</vt:lpstr>
      <vt:lpstr>Charge_fixe</vt:lpstr>
      <vt:lpstr>Charge_fixe_annulable</vt:lpstr>
      <vt:lpstr>Charge_variable</vt:lpstr>
      <vt:lpstr>Delai_reactivite</vt:lpstr>
      <vt:lpstr>Tresorerie!Impression_des_titres</vt:lpstr>
      <vt:lpstr>MOISDEBUT</vt:lpstr>
      <vt:lpstr>Nature_autres_depenses</vt:lpstr>
      <vt:lpstr>Nature_autres_encaissements</vt:lpstr>
      <vt:lpstr>Nature_CA</vt:lpstr>
      <vt:lpstr>Nature_depenses_CA</vt:lpstr>
      <vt:lpstr>Probabilite_encaissement</vt:lpstr>
      <vt:lpstr>Salaire_net</vt:lpstr>
      <vt:lpstr>TVA_ACHAT</vt:lpstr>
      <vt:lpstr>TVA_INVESTS</vt:lpstr>
      <vt:lpstr>TVA_VENTES</vt:lpstr>
      <vt:lpstr>Variabilisation_sans_variable</vt:lpstr>
      <vt:lpstr>Variabilisation_variable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Charlene Andrevon</dc:creator>
  <cp:lastModifiedBy> </cp:lastModifiedBy>
  <cp:lastPrinted>2017-03-27T09:25:10Z</cp:lastPrinted>
  <dcterms:created xsi:type="dcterms:W3CDTF">2017-03-02T13:12:11Z</dcterms:created>
  <dcterms:modified xsi:type="dcterms:W3CDTF">2017-04-03T15:59:16Z</dcterms:modified>
</cp:coreProperties>
</file>