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" yWindow="45" windowWidth="28755" windowHeight="12765" activeTab="3"/>
  </bookViews>
  <sheets>
    <sheet name="Debit" sheetId="4" r:id="rId1"/>
    <sheet name="Num Lot" sheetId="6" r:id="rId2"/>
    <sheet name="Tab Données" sheetId="5" r:id="rId3"/>
    <sheet name="Feuil1" sheetId="1" r:id="rId4"/>
    <sheet name="Feuil2" sheetId="2" r:id="rId5"/>
  </sheets>
  <functionGroups builtInGroupCount="17"/>
  <definedNames>
    <definedName name="DonnéesExternes_1" localSheetId="0" hidden="1">Debit!$A$1:$L$13</definedName>
    <definedName name="DonnéesExternes_1" localSheetId="1" hidden="1">'Num Lot'!$A$1:$A$8</definedName>
    <definedName name="_xlnm.Print_Titles" localSheetId="3">Feuil1!$1:$8</definedName>
    <definedName name="Lot">Feuil1!$D$6</definedName>
    <definedName name="Monobloc_4_côtés">Feuil1!#REF!</definedName>
    <definedName name="Nb_Men_Tapée">Feuil1!$D$7</definedName>
    <definedName name="Num_Lot">Requête_Num_Lot[[#Headers],[Num Lot]]</definedName>
    <definedName name="Tableau">Liste[#All]</definedName>
  </definedNames>
  <calcPr calcId="145621"/>
</workbook>
</file>

<file path=xl/calcChain.xml><?xml version="1.0" encoding="utf-8"?>
<calcChain xmlns="http://schemas.openxmlformats.org/spreadsheetml/2006/main">
  <c r="D7" i="1" l="1"/>
  <c r="M13" i="4" l="1"/>
  <c r="M12" i="4"/>
  <c r="M11" i="4"/>
  <c r="M10" i="4"/>
  <c r="M9" i="4"/>
  <c r="M8" i="4"/>
  <c r="M7" i="4"/>
  <c r="M6" i="4"/>
  <c r="M5" i="4"/>
  <c r="M4" i="4"/>
  <c r="M3" i="4"/>
  <c r="M2" i="4"/>
  <c r="E7" i="1"/>
  <c r="C30" i="1" l="1"/>
  <c r="R11" i="1"/>
  <c r="S14" i="1"/>
  <c r="S21" i="1"/>
  <c r="O12" i="1"/>
  <c r="O20" i="1"/>
  <c r="P16" i="1"/>
  <c r="P17" i="1"/>
  <c r="P22" i="1"/>
  <c r="P23" i="1"/>
  <c r="S10" i="1"/>
  <c r="P14" i="1"/>
  <c r="P15" i="1"/>
  <c r="O10" i="1"/>
  <c r="P18" i="1"/>
  <c r="O13" i="1"/>
  <c r="Q10" i="1"/>
  <c r="P11" i="1"/>
  <c r="O11" i="1"/>
  <c r="P21" i="1"/>
  <c r="C29" i="1"/>
  <c r="C51" i="1"/>
  <c r="D61" i="1"/>
  <c r="C58" i="1"/>
  <c r="E48" i="1"/>
  <c r="C49" i="1"/>
  <c r="D49" i="1"/>
  <c r="F49" i="1"/>
  <c r="D52" i="1"/>
  <c r="G48" i="1"/>
  <c r="D53" i="1"/>
  <c r="D54" i="1"/>
  <c r="G52" i="1"/>
  <c r="D55" i="1"/>
  <c r="G59" i="1"/>
  <c r="D56" i="1"/>
  <c r="C48" i="1"/>
  <c r="D59" i="1"/>
  <c r="C50" i="1"/>
  <c r="D60" i="1"/>
  <c r="G29" i="1"/>
  <c r="G33" i="1"/>
  <c r="G40" i="1"/>
  <c r="E29" i="1"/>
  <c r="F30" i="1"/>
  <c r="D34" i="1"/>
  <c r="D36" i="1"/>
  <c r="D40" i="1"/>
  <c r="D41" i="1"/>
  <c r="D30" i="1"/>
  <c r="D33" i="1"/>
  <c r="D35" i="1"/>
  <c r="D37" i="1"/>
  <c r="D42" i="1"/>
  <c r="C31" i="1"/>
  <c r="C32" i="1"/>
  <c r="C39" i="1"/>
  <c r="D11" i="1"/>
  <c r="F11" i="1"/>
  <c r="C11" i="1"/>
  <c r="E10" i="1"/>
  <c r="G10" i="1"/>
  <c r="G21" i="1"/>
  <c r="C12" i="1"/>
  <c r="G14" i="1"/>
  <c r="I16" i="5"/>
  <c r="I14" i="5"/>
  <c r="I12" i="5"/>
  <c r="I10" i="5"/>
  <c r="I20" i="5"/>
  <c r="I15" i="5"/>
  <c r="I13" i="5"/>
  <c r="I11" i="5"/>
  <c r="I9" i="5"/>
  <c r="P10" i="1"/>
  <c r="V11" i="1" l="1"/>
  <c r="U12" i="1"/>
  <c r="U11" i="1"/>
  <c r="V12" i="1"/>
  <c r="R10" i="1"/>
  <c r="T14" i="1" s="1"/>
  <c r="Q11" i="1"/>
  <c r="P12" i="1"/>
  <c r="S11" i="1"/>
  <c r="T10" i="1"/>
  <c r="C10" i="1"/>
  <c r="C13" i="1"/>
  <c r="I25" i="5"/>
  <c r="I19" i="5"/>
  <c r="I18" i="5"/>
  <c r="I17" i="5"/>
  <c r="I24" i="5"/>
  <c r="I22" i="5"/>
  <c r="I3" i="5"/>
  <c r="I4" i="5"/>
  <c r="I8" i="5"/>
  <c r="I7" i="5"/>
  <c r="I5" i="5"/>
  <c r="I23" i="5"/>
  <c r="I21" i="5"/>
  <c r="O2" i="4"/>
  <c r="T21" i="1" l="1"/>
  <c r="Q18" i="1"/>
  <c r="Q23" i="1"/>
  <c r="Q22" i="1"/>
  <c r="Q21" i="1"/>
  <c r="Q14" i="1"/>
  <c r="Q15" i="1"/>
  <c r="Q16" i="1"/>
  <c r="Q17" i="1"/>
  <c r="O3" i="4"/>
  <c r="O4" i="4"/>
  <c r="O5" i="4"/>
  <c r="O6" i="4"/>
  <c r="O7" i="4"/>
  <c r="O8" i="4"/>
  <c r="O9" i="4"/>
  <c r="O10" i="4"/>
  <c r="O11" i="4"/>
  <c r="O12" i="4"/>
  <c r="O13" i="4"/>
  <c r="O14" i="4"/>
  <c r="D48" i="1"/>
  <c r="D29" i="1"/>
  <c r="J49" i="1" l="1"/>
  <c r="J50" i="1"/>
  <c r="I49" i="1"/>
  <c r="I50" i="1"/>
  <c r="G49" i="1"/>
  <c r="E49" i="1"/>
  <c r="F48" i="1"/>
  <c r="H48" i="1"/>
  <c r="D50" i="1"/>
  <c r="I30" i="1"/>
  <c r="J30" i="1"/>
  <c r="G30" i="1"/>
  <c r="H29" i="1"/>
  <c r="I31" i="1"/>
  <c r="J31" i="1"/>
  <c r="F29" i="1"/>
  <c r="E30" i="1"/>
  <c r="D31" i="1"/>
  <c r="C20" i="1"/>
  <c r="D23" i="1"/>
  <c r="D14" i="1"/>
  <c r="D15" i="1"/>
  <c r="D16" i="1"/>
  <c r="D17" i="1"/>
  <c r="D18" i="1"/>
  <c r="D22" i="1"/>
  <c r="D21" i="1"/>
  <c r="C14" i="2"/>
  <c r="G21" i="2"/>
  <c r="C21" i="2"/>
  <c r="B21" i="2"/>
  <c r="B20" i="2"/>
  <c r="B18" i="2"/>
  <c r="H6" i="2"/>
  <c r="B19" i="2"/>
  <c r="B5" i="2"/>
  <c r="B14" i="2"/>
  <c r="B3" i="2"/>
  <c r="B9" i="2"/>
  <c r="B10" i="2"/>
  <c r="B8" i="2"/>
  <c r="B4" i="2"/>
  <c r="B17" i="2"/>
  <c r="G19" i="2"/>
  <c r="G5" i="2"/>
  <c r="G14" i="2"/>
  <c r="G20" i="2"/>
  <c r="G3" i="2"/>
  <c r="G18" i="2"/>
  <c r="G9" i="2"/>
  <c r="G10" i="2"/>
  <c r="G8" i="2"/>
  <c r="G4" i="2"/>
  <c r="G17" i="2"/>
  <c r="C19" i="2"/>
  <c r="C5" i="2"/>
  <c r="C20" i="2"/>
  <c r="C3" i="2"/>
  <c r="C18" i="2"/>
  <c r="C9" i="2"/>
  <c r="C10" i="2"/>
  <c r="C8" i="2"/>
  <c r="C4" i="2"/>
  <c r="C17" i="2"/>
  <c r="B11" i="2"/>
  <c r="C11" i="2"/>
  <c r="G11" i="2"/>
  <c r="G16" i="2"/>
  <c r="C16" i="2"/>
  <c r="B16" i="2"/>
  <c r="G15" i="2"/>
  <c r="H15" i="2"/>
  <c r="C15" i="2"/>
  <c r="B15" i="2"/>
  <c r="B7" i="2"/>
  <c r="B6" i="2"/>
  <c r="C7" i="2"/>
  <c r="C6" i="2"/>
  <c r="G7" i="2"/>
  <c r="G6" i="2"/>
  <c r="G13" i="2"/>
  <c r="C13" i="2"/>
  <c r="B13" i="2"/>
  <c r="C12" i="2"/>
  <c r="B12" i="2"/>
  <c r="G12" i="2"/>
  <c r="D10" i="1"/>
  <c r="E56" i="1" l="1"/>
  <c r="H59" i="1"/>
  <c r="H52" i="1"/>
  <c r="E61" i="1"/>
  <c r="E52" i="1"/>
  <c r="E54" i="1"/>
  <c r="E60" i="1"/>
  <c r="E53" i="1"/>
  <c r="E59" i="1" s="1"/>
  <c r="E55" i="1"/>
  <c r="H40" i="1"/>
  <c r="H33" i="1"/>
  <c r="E34" i="1"/>
  <c r="E40" i="1" s="1"/>
  <c r="E35" i="1"/>
  <c r="E36" i="1"/>
  <c r="E37" i="1"/>
  <c r="E41" i="1"/>
  <c r="E42" i="1"/>
  <c r="E33" i="1"/>
  <c r="J12" i="1"/>
  <c r="J11" i="1"/>
  <c r="I12" i="1"/>
  <c r="I11" i="1"/>
  <c r="D12" i="1"/>
  <c r="G11" i="1"/>
  <c r="E11" i="1"/>
  <c r="H10" i="1"/>
  <c r="F10" i="1"/>
  <c r="H21" i="1" s="1"/>
  <c r="E23" i="1" l="1"/>
  <c r="E22" i="1"/>
  <c r="E18" i="1"/>
  <c r="E16" i="1"/>
  <c r="E17" i="1"/>
  <c r="H14" i="1"/>
  <c r="E15" i="1"/>
  <c r="E21" i="1" s="1"/>
  <c r="E14" i="1"/>
</calcChain>
</file>

<file path=xl/connections.xml><?xml version="1.0" encoding="utf-8"?>
<connections xmlns="http://schemas.openxmlformats.org/spreadsheetml/2006/main">
  <connection id="1" keepAlive="1" name="Requête - Liste" description="Connexion à la requête « Liste » dans le classeur." type="5" refreshedVersion="4" background="1" saveData="1">
    <dbPr connection="provider=Microsoft.Mashup.OleDb.1;data source=$EmbeddedMashup(afacd105-0042-45e7-9072-c696aa1d2cae)$;location=Liste;extended properties=UEsDBBQAAgAIADxkVErW0cV0rAAAAPoAAAASABwAQ29uZmlnL1BhY2thZ2UueG1sIKIYACigFAAAAAAAAAAAAAAAAAAAAAAAAAAAAIWPwQqCQBiEX0X27r+6pqT8roegU0IURFexVZd0DXdtfbcOPVKvUFBGt24zw3ww87jdMZu61rmKQctepcQHjzhClf1Jqjolo6ncJck4bovyXNTCeZWVTiYtU9IYc0kotdaCDaAfaso8z6fHfLMvG9EVrlTaFKoU5Eud/lOE4+E9hjMIYliELAKfBUjnGHOpZu1DCAGLI/CQ/sS4GlszDoJXg7veIZ0t0s8P/gRQSwMEFAACAAgAPGRUSg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DxkVErVBE6R2gIAAAsIAAATABwARm9ybXVsYXMvU2VjdGlvbjEubSCiGAAooBQAAAAAAAAAAAAAAAAAAAAAAAAAAADVVVFvmzAQfo+U/3CiD4CURo1UTYraVKJAGjQaKFjtqm1CJFxbbwRnGKRV035Qf0f/2IzJEtKCNq1P8wMY891nf3e+O47LgrIMwvo9Oun3+j3+EOeYgEt5gTCBFIt+D8QIWZkvq5XwWzq04iJexBw1xXdMyzwafQqvXPuDH9hhqAxAsaf+tSkmH69KzB8nSmi7tkngQEvvdF4ueJHT7F7zA8+Kpp5rRZZNhqHh2mISmsFgNHingxGCGuAac1QH0nALt4NwWL8jx5K4ebnCnIHFOKeYt+H9IDo3iDlrWIDLig00WbDhBRYzch2nJfJpzlZhnKKFfJlr6iwuCywF7TpnSXTH0iRKsBjSAlcRTXSIOfzGwIyo8Decbpzf/4lzg6k4WxQRh7h2rYWtwEwpZsVLnHSsF1SeuiK3NXgBCYL5EAtX8Va8EZCI3Po1N3lcI1xiVlKOOcWGv4z1uqSR2He9Rm1fRTXBXOgYwP6PTdRcZ27XEiUJSJLnpwZ5iCVNIyMt/5lZMoBg2LDC4eG+zJntXMyIFLkNcDvyxrHITAK3Ueu6yVVgbrzgfeTbgeNZ4iYfb4Rm2fMTgi8O3er03e2XcILfC1Qlbhp4l9DcoD4kzTLM4QujGewxgUjoF5m1dZrI3vYk0l9xLhj7KpRFI8m3/drjao2AyK84S+Dc89478wth0YhMl42MmjzCzYPI993mQ9M1wlCYqcTwbVsVoQFWvvovzqttEDVNdYLO9D+DI3iNkp7aaejyVG1pzC3QtHbE6WR8PB6P9QayPb9Oz1RjuUTOGRU17o0D7AIE4RuHuJ53NFV18ALokHc2GY2OxND/Y3n12eVDFkc4v+0It/JZH9T970AxWcpEgnAQOS9ymSvikpB4keIwQJaLrBCAcpVxrW6Vgx9K3b6qhrjfoDYrVQOqprveUX3tqr6EbWu7/GoW72rhRXmulhqVRiKqSqL81Ps9mnUqOfkFUEsBAi0AFAACAAgAPGRUStbRxXSsAAAA+gAAABIAAAAAAAAAAAAAAAAAAAAAAENvbmZpZy9QYWNrYWdlLnhtbFBLAQItABQAAgAIADxkVEoPyumrpAAAAOkAAAATAAAAAAAAAAAAAAAAAPgAAABbQ29udGVudF9UeXBlc10ueG1sUEsBAi0AFAACAAgAPGRUStUETpHaAgAACwgAABMAAAAAAAAAAAAAAAAA6QEAAEZvcm11bGFzL1NlY3Rpb24xLm1QSwUGAAAAAAMAAwDCAAAAEAUAAAAA" command="SELECT * FROM [Liste]"/>
  </connection>
  <connection id="2" keepAlive="1" name="Requête - Requête Num Lot" description="Connexion à la requête « Requête Num Lot » dans le classeur." type="5" refreshedVersion="4" background="1" saveData="1">
    <dbPr connection="provider=Microsoft.Mashup.OleDb.1;data source=$EmbeddedMashup(afacd105-0042-45e7-9072-c696aa1d2cae)$;location=&quot;Requête Num Lot&quot;;extended properties=&quot;UEsDBBQAAgAIADxkVErW0cV0rAAAAPoAAAASABwAQ29uZmlnL1BhY2thZ2UueG1sIKIYACigFAAAAAAAAAAAAAAAAAAAAAAAAAAAAIWPwQqCQBiEX0X27r+6pqT8roegU0IURFexVZd0DXdtfbcOPVKvUFBGt24zw3ww87jdMZu61rmKQctepcQHjzhClf1Jqjolo6ncJck4bovyXNTCeZWVTiYtU9IYc0kotdaCDaAfaso8z6fHfLMvG9EVrlTaFKoU5Eud/lOE4+E9hjMIYliELAKfBUjnGHOpZu1DCAGLI/CQ/sS4GlszDoJXg7veIZ0t0s8P/gRQSwMEFAACAAgAPGRUSg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DxkVEqri3CclQEAAJ0DAAATABwARm9ybXVsYXMvU2VjdGlvbjEubSCiGAAooBQAAAAAAAAAAAAAAAAAAAAAAAAAAAB9k81qwkAQx+9C32HYXhSCUCi9lB4kChasLRroofQQk1GXJjvb2d1iER+ofQ1frLt+VGNsc0ky8//Px28Tg5mVpGC8vV/dXjQuGmaeMuZwKUb47tbfFmHoShiQFXAHBdoG+GtMjjP0gd4iw6IdO2ZU9pn4bUL01mwtX4ZpiXdiII1F8bp6iUlZr3iNNvZLkXxqhJJyOZXrr1A5SScFthNOlZkSlzEVrlRBZZrbZtFyKfwkyARdMkYiiwjulb25bgfZKoKlH1kjo4/bUN7iwm7C/dRZdAz9pG4ZpDz7KzekEuJC+rlrJfdM6p4J5AjxPPUjmnp6s/cDKicNsqyP2lFq/YXwxJTXcol/qDvCAtBTltEz1N5cUaxae+KeKCmFBozTmmXpleYAfoQlfeCWummenk90Br3oaO1k4KN1kIAYo5MFdArnXwAOh1HlXyVeZVyjd4bXCaJfKmdAHJYfyFlY3bKsrj0mts0/2Ow+uN0xP3KO3O6YDFUu1ewIbJfcxNuPzEcNuv4HkCoLTU5maDWk+qfC7Q9QSwECLQAUAAIACAA8ZFRK1tHFdKwAAAD6AAAAEgAAAAAAAAAAAAAAAAAAAAAAQ29uZmlnL1BhY2thZ2UueG1sUEsBAi0AFAACAAgAPGRUSg/K6aukAAAA6QAAABMAAAAAAAAAAAAAAAAA+AAAAFtDb250ZW50X1R5cGVzXS54bWxQSwECLQAUAAIACAA8ZFRKq4twnJUBAACdAwAAEwAAAAAAAAAAAAAAAADpAQAARm9ybXVsYXMvU2VjdGlvbjEubVBLBQYAAAAAAwADAMIAAADLAwAAAAA=&quot;" command="SELECT * FROM [Requête Num Lot]"/>
  </connection>
</connections>
</file>

<file path=xl/sharedStrings.xml><?xml version="1.0" encoding="utf-8"?>
<sst xmlns="http://schemas.openxmlformats.org/spreadsheetml/2006/main" count="290" uniqueCount="125">
  <si>
    <t>montants</t>
  </si>
  <si>
    <t>traverse</t>
  </si>
  <si>
    <t>longueur</t>
  </si>
  <si>
    <t>largeur délignage</t>
  </si>
  <si>
    <t>pente basse</t>
  </si>
  <si>
    <t>pente haute</t>
  </si>
  <si>
    <t>4°</t>
  </si>
  <si>
    <t>3°</t>
  </si>
  <si>
    <t>Monobloc avec appui alu</t>
  </si>
  <si>
    <t>Monobloc 4 côtés</t>
  </si>
  <si>
    <t xml:space="preserve"> </t>
  </si>
  <si>
    <t>compensation cintre =</t>
  </si>
  <si>
    <t>chant</t>
  </si>
  <si>
    <t>c.cintre pas connue</t>
  </si>
  <si>
    <t>2°</t>
  </si>
  <si>
    <t>3007 avec appui (hors-tout profil 3007)</t>
  </si>
  <si>
    <t>5009 avec seuil alu</t>
  </si>
  <si>
    <t>5014 avec appui monobloc</t>
  </si>
  <si>
    <t>5014 avec appui monobloc + c.cintre connue</t>
  </si>
  <si>
    <t>5014 avec appui monobloc + c.cintre pas connue</t>
  </si>
  <si>
    <t>5014 avec seuil alu</t>
  </si>
  <si>
    <t>5014 sans appui</t>
  </si>
  <si>
    <t>5001 avec appui 3333</t>
  </si>
  <si>
    <t>5001 avec appui 3333 + c.cintre connue</t>
  </si>
  <si>
    <t>5001 avec appui 3333 + c.cintre pas connue</t>
  </si>
  <si>
    <t>5001 avec appui 3335</t>
  </si>
  <si>
    <t>5001 avec appui alu</t>
  </si>
  <si>
    <t>5001 sans appui</t>
  </si>
  <si>
    <t>5008 avec seuil alu</t>
  </si>
  <si>
    <t>Numero Dossier</t>
  </si>
  <si>
    <t>Repere</t>
  </si>
  <si>
    <t>Hauteur HT</t>
  </si>
  <si>
    <t>Largeur HT</t>
  </si>
  <si>
    <t>Nom Client</t>
  </si>
  <si>
    <t>Num Lot</t>
  </si>
  <si>
    <t>Nb de Chassis</t>
  </si>
  <si>
    <t>Type Menuiserie</t>
  </si>
  <si>
    <t>Texte</t>
  </si>
  <si>
    <t>0115-A</t>
  </si>
  <si>
    <t>MARCELIN BERTHELOT</t>
  </si>
  <si>
    <t>400D70S</t>
  </si>
  <si>
    <t xml:space="preserve">0115-A : Croisee 2 Vtx + 2 Fixes D70_x000D_
400D70S : Largeur : 1410  (1480) Hauteur : 1930 (1965) _x000D_
Dormant : 5001 Couleur Blanc_x000D_
Ouvrant : OF2D 5040 (Poignee OF 7 x 12)_x000D_
Vitrage : 4 ITR - 20 - 4 + Arg WE (.00)_x000D_
Vitrage : 4 ITR - 20 - 4 + Arg WE (.00)_x000D_
Vitrage : 4 ITR - 20 - 4 + Arg WE (.00)_x000D_
Vitrage : 4 ITR - 20 - 4 + Arg WE (.00)_x000D_
Nb Volume :4_x000D_
Petits-bois : Petits Bois Blanc 26x8_x000D_
Ventilation : Gv 15 - 30 m3_x000D_
Profilé sup. : Appui Clippé 140 mm 1410mm (.00)_x000D_
Supplément : XX (1)_x000D_
Supplément : Vis de Pose Reno Blanche (1)_x000D_
Supplément : *vide* (1)_x000D_
Poignée centrée_x000D_
Entre Tapée 1245 mm_x000D_
Clair de vitre PBI 1/3 - 2/3_x000D_
REPERE B_x000D_
</t>
  </si>
  <si>
    <t>0115-F</t>
  </si>
  <si>
    <t xml:space="preserve">0115-F : Croisee 2 Vtx + 2 Fixes D70_x000D_
400D70S : Largeur : 1415  (1485) Hauteur : 1390 (1425) _x000D_
Dormant : 5001 Couleur Blanc_x000D_
Ouvrant : OF2D 5040 (Poignee OF 7 x 12)_x000D_
Vitrage : 4 ITR - 20 - 4 + Arg WE (.00)_x000D_
Vitrage : 4 ITR - 20 - 4 + Arg WE (.00)_x000D_
Vitrage : 4 ITR - 20 - 4 + Arg WE (.00)_x000D_
Vitrage : 4 ITR - 20 - 4 + Arg WE (.00)_x000D_
Nb Volume :4_x000D_
Petits-bois : Petits Bois Blanc 26x8_x000D_
Ventilation : Gv 15 - 30 m3_x000D_
Profilé sup. : Appui Clippé 140 mm 1415mm (.00)_x000D_
Supplément : XX (1)_x000D_
Supplément : Vis de Pose Reno Blanche (1)_x000D_
Supplément : *vide* (1)_x000D_
Poignée centrée_x000D_
Entre Tapée 1250 mm_x000D_
Clair de vitre PBI 1/3 - 2/3_x000D_
REPERE H_x000D_
</t>
  </si>
  <si>
    <t>0119-C</t>
  </si>
  <si>
    <t>FRED RENOV GAILLARD 3 FT170105</t>
  </si>
  <si>
    <t>209D80</t>
  </si>
  <si>
    <t>0124-A</t>
  </si>
  <si>
    <t>MARCELIN BERTHELOT CINTRES</t>
  </si>
  <si>
    <t xml:space="preserve">0124-A : Croisee 2 Vtx + 2 Fixes D70_x000D_
400D70S : Largeur : 1600  (1670) Hauteur : 2010 (2045) _x000D_
Dormant : 5001 Couleur Blanc_x000D_
Ouvrant : OF2D 5040 (Poignee OF 7 x 12)_x000D_
Vitrage : 4 ITR - 20 - 4 + Arg WE (.00)_x000D_
Vitrage : 4 ITR - 20 - 4 + Arg WE (.00)_x000D_
Vitrage : 4 ITR - 20 - 4 + Arg WE (.00)_x000D_
Vitrage : 4 ITR - 20 - 4 + Arg WE (.00)_x000D_
Nb Volume :4_x000D_
Petits-bois : Petits Bois Blanc 26x8_x000D_
Profilé sup. : Appui Clippé 140 mm 1600mm (.00)_x000D_
Supplément : XX (1)_x000D_
Supplément : Vis de Pose Reno Blanche (1)_x000D_
Supplément : *vide* (1)_x000D_
Poignée centrée_x000D_
Entre Tapée 1460 mm_x000D_
Clair de vitre PBI 1/3 - 2/3_x000D_
REPERE A_x000D_
</t>
  </si>
  <si>
    <t>0124-E</t>
  </si>
  <si>
    <t xml:space="preserve">0124-E : Croisee 2 Vtx + 2 Fixes D70_x000D_
400D70S : Largeur : 1430  (1500) Hauteur : 1980 (2020) _x000D_
Dormant : 5001 Couleur Blanc_x000D_
Ouvrant : OF2D 5040 (Poignee OF 7 x 12)_x000D_
Vitrage : 4 ITR - 20 - 4 + Arg WE (.00)_x000D_
Vitrage : 4 ITR - 20 - 4 + Arg WE (.00)_x000D_
Vitrage : 4 ITR - 20 - 4 + Arg WE (.00)_x000D_
Vitrage : 4 ITR - 20 - 4 + Arg WE (.00)_x000D_
Nb Volume :4_x000D_
Petits-bois : Petits Bois Blanc 26x8_x000D_
Profilé sup. : Appui Clippé 140 mm 1430mm (.00)_x000D_
Supplément : XX (1)_x000D_
Supplément : Vis de Pose Reno Blanche (1)_x000D_
Supplément : *vide* (1)_x000D_
Entrée d'air non réalisable_x000D_
Entre Tapée 1250 mm_x000D_
REPERE G_x000D_
</t>
  </si>
  <si>
    <t>0163-C</t>
  </si>
  <si>
    <t>DALLANCON DALIFARD VS1610012</t>
  </si>
  <si>
    <t>200R60</t>
  </si>
  <si>
    <t>0163-F</t>
  </si>
  <si>
    <t>277R60</t>
  </si>
  <si>
    <t>0163-H</t>
  </si>
  <si>
    <t>275R60S20</t>
  </si>
  <si>
    <t>0190-A</t>
  </si>
  <si>
    <t>GAZEAU VL1701061</t>
  </si>
  <si>
    <t>200D70S</t>
  </si>
  <si>
    <t xml:space="preserve">0190-A : Croisee 2 Vtx D70_x000D_
200D70S : Largeur : 1055 Hauteur : 1910_x000D_
Dormant : 5001 Couleur Blanc_x000D_
Ouvrant : OF2D 5040 (Poignee OF 7 x 12)_x000D_
Vitrage : 4 ITR - 16 - 4 + Arg WE (.00)_x000D_
Vitrage : 4 ITR - 16 - 4 + Arg WE (.00)_x000D_
Nb Volume :2_x000D_
Petits-bois : Petits Bois Blanc 26x8_x000D_
Profilé sup. : Appui Clippé 140 mm 1055mm (.00)_x000D_
Supplément : XX (1)_x000D_
Supplément : Vis de Pose Reno Blanche (1)_x000D_
Supplément : *vide* (1)_x000D_
Entre Tapée 865 mm_x000D_
REPERE CUISINE_x000D_
</t>
  </si>
  <si>
    <t>0190-D</t>
  </si>
  <si>
    <t xml:space="preserve">0190-D : Croisee 2 Vtx D70_x000D_
200D70S : Largeur : 1060 Hauteur : 1885_x000D_
Dormant : 5001 Couleur Blanc_x000D_
Ouvrant : OF2D 5040 (Poignee OF 7 x 12)_x000D_
Vitrage : 4 ITR - 16 - 4 + Arg WE (.00)_x000D_
Vitrage : 4 ITR - 16 - 4 + Arg WE (.00)_x000D_
Nb Volume :2_x000D_
Petits-bois : Petits Bois Blanc 26x8_x000D_
Ventilation : Gv Hygro (EHB 6-45)_x000D_
Profilé sup. : Appui Clippé 140 mm 1060mm (.00)_x000D_
Supplément : XX (1)_x000D_
Supplément : Vis de Pose Reno Blanche (1)_x000D_
Supplément : *vide* (1)_x000D_
Entre Tapée 870 mm_x000D_
REPERE CHAMBRE_x000D_
</t>
  </si>
  <si>
    <t>0206-B</t>
  </si>
  <si>
    <t>BUSSONNAIS CHANTIER CHANN BD17</t>
  </si>
  <si>
    <t>200D160</t>
  </si>
  <si>
    <t xml:space="preserve">0119-C : Croisee 2 Vtx OB D80_x000D_
209D80 : Largeur : 1210  (1270) Hauteur : 1800 (1835) _x000D_
Dormant : 5015 Couleur Blanc_x000D_
Ouvrant : OB2D 5040 (Poignee OF 7 x 12)_x000D_
Vitrage : 4 ITR - 16 - 4 + Arg WE (.00)_x000D_
Vitrage : 4 ITR - 16 - 4 + Arg WE (.00)_x000D_
Nb Volume :2_x000D_
Ventilation : Gv 15 - 30 m3_x000D_
Supplément : XX (1)_x000D_
Supplément : Pattes Universelles Monobloc (1)_x000D_
Entre Tapée 1080 mm_x000D_
</t>
  </si>
  <si>
    <t xml:space="preserve">0163-C : Croisee 2 Vtx Renovation_x000D_
200R60 : Largeur : 970  (1090) Hauteur : 2070 (2170) _x000D_
Dormant : 5006 Couleur Blanc_x000D_
Ouvrant : OF2D 5040 (Poignee OF 7 x 12)_x000D_
Vitrage : 4 ITR - 16 - 4 + Arg WE (.00)_x000D_
Vitrage : 4 ITR - 16 - 4 + Arg WE (.00)_x000D_
Nb Volume :2_x000D_
Profilé sup. : Cornieres 40 x 60 mm 2070mm (.00)_x000D_
Profilé sup. : Cornieres 40 x 60 mm 970mm (.00)_x000D_
Profilé sup. : Cornieres 40 x 60 mm 2070mm (.00)_x000D_
Profilé sup. : Appui clipsable Rénovation 970mm (.00)_x000D_
Supplément : XX (1)_x000D_
Supplément : Vis de Pose Reno. (1)_x000D_
Supplément : *vide* (1)_x000D_
Entre Tapée 840 mm_x000D_
Poignée centrée_x000D_
</t>
  </si>
  <si>
    <t xml:space="preserve">0163-F : Porte Fenetre 2 Vtx + Imposte Renovation_x000D_
277R60 : Largeur : 1290  (1410) Hauteur : 2460 (2520) _x000D_
Dormant : 5006 Couleur Blanc_x000D_
Ouvrant : PF2D 5042 Cremone Ba (Poignee Saillie Reduite)_x000D_
Vitrage : Px Isolant Blanc (24 mm) (.00)_x000D_
Vitrage : 4 ITR - 16 - 4 + Arg WE (.00)_x000D_
Vitrage : Px Isolant Blanc (24 mm) (.00)_x000D_
Vitrage : 4 ITR - 16 - 4 + Arg WE (.00)_x000D_
Vitrage : 4 ITR - 16 - 4 + Arg WE (.00)_x000D_
Vitrage : 4 ITR - 16 - 4 + Arg WE (.00)_x000D_
Nb Volume :6_x000D_
Profilé sup. : Cornieres 40 x 60 mm 2460mm (.00)_x000D_
Profilé sup. : Cornieres 40 x 60 mm 1290mm (.00)_x000D_
Profilé sup. : Cornieres 40 x 60 mm 2460mm (.00)_x000D_
Supplément : XX (1)_x000D_
Supplément : Vis de Pose Reno. (1)_x000D_
Supplément : *vide* (1)_x000D_
Poignée saillie reduite_x000D_
Entre Tapée 1160 mm_x000D_
Battement intérieur étroit_x000D_
</t>
  </si>
  <si>
    <t xml:space="preserve">0163-H : Porte Fenetre 2 Vtx Renovation + Seuil Alu 20 mm_x000D_
275R60S20 : Largeur : 1510  (1630) Hauteur : 2250 (2310) _x000D_
Dormant : 5006 Couleur Blanc_x000D_
Ouvrant : PF2D 5042 Cremone Ba (Poignee Saillie Reduite)_x000D_
Vitrage : Px Isolant Blanc (24 mm) (.00)_x000D_
Vitrage : Px Isolant Blanc (24 mm) (.00)_x000D_
Vitrage : 4 ITR - 16 - 4 + Arg WE (.00)_x000D_
Vitrage : 4 ITR - 16 - 4 + Arg WE (.00)_x000D_
Nb Volume :4_x000D_
Petits-bois : Petits Bois Blanc 26x8 Crois._x000D_
Profilé sup. : Cornieres 40 x 60 mm 2250mm (.00)_x000D_
Profilé sup. : Cornieres 40 x 60 mm 1510mm (.00)_x000D_
Profilé sup. : Cornieres 40 x 60 mm 2250mm (.00)_x000D_
Supplément : Vis de Pose Reno. (1)_x000D_
Poignée saillie reduite_x000D_
Entre Tapée 1380 mm_x000D_
Battement intérieur étroit_x000D_
</t>
  </si>
  <si>
    <t xml:space="preserve">0206-B : Croisee 2 Vtx D160_x000D_
200D160 : Largeur : 1385  (1445) Hauteur : 1350 (1385) _x000D_
Dormant : 5019 Couleur Blanc_x000D_
Ouvrant : OF2D 5040 (Poignee OF 7 x 12)_x000D_
Vitrage : 4 ITR - 16 - 4 + Arg WE (.00)_x000D_
Vitrage : 4 ITR - 16 - 4 + Arg WE (.00)_x000D_
Nb Volume :2_x000D_
Supplément : XX (1)_x000D_
Supplément : Pattes pour 3019 (1)_x000D_
Supplément : *vide* (1)_x000D_
Entre Tapée 1240 mm_x000D_
poignée centrée_x000D_
</t>
  </si>
  <si>
    <t>Année Prod</t>
  </si>
  <si>
    <t>Colonne1</t>
  </si>
  <si>
    <t>Larg Entre Tapée</t>
  </si>
  <si>
    <t>Dormant</t>
  </si>
  <si>
    <t>Traverse</t>
  </si>
  <si>
    <t>Montants</t>
  </si>
  <si>
    <t>Long.</t>
  </si>
  <si>
    <t>Larg. délignage</t>
  </si>
  <si>
    <t>Pente basse</t>
  </si>
  <si>
    <t>Pente haute</t>
  </si>
  <si>
    <t>Chant</t>
  </si>
  <si>
    <t>Long.2</t>
  </si>
  <si>
    <t>Larg. délignage3</t>
  </si>
  <si>
    <t>Chant4</t>
  </si>
  <si>
    <t>3007-3390</t>
  </si>
  <si>
    <t>5001 avec appui 3334</t>
  </si>
  <si>
    <t>Valeur</t>
  </si>
  <si>
    <t>Appui Clippé</t>
  </si>
  <si>
    <t>Seuil Alu</t>
  </si>
  <si>
    <t>3333</t>
  </si>
  <si>
    <t>2017</t>
  </si>
  <si>
    <t>Seuil</t>
  </si>
  <si>
    <t>R60</t>
  </si>
  <si>
    <t>R27</t>
  </si>
  <si>
    <t>R40</t>
  </si>
  <si>
    <t>R27-Seuil</t>
  </si>
  <si>
    <t>R40-Seuil</t>
  </si>
  <si>
    <t>D70</t>
  </si>
  <si>
    <t>D70-Seuil</t>
  </si>
  <si>
    <t>D80</t>
  </si>
  <si>
    <t>D100</t>
  </si>
  <si>
    <t>D120</t>
  </si>
  <si>
    <t>D140</t>
  </si>
  <si>
    <t>D160</t>
  </si>
  <si>
    <t>D80-Seuil</t>
  </si>
  <si>
    <t>D100-Seuil</t>
  </si>
  <si>
    <t>D120-Seuil</t>
  </si>
  <si>
    <t>D140-Seuil</t>
  </si>
  <si>
    <t>D160-Seuil</t>
  </si>
  <si>
    <t>Verifier Deduction</t>
  </si>
  <si>
    <t>R60-Seuil</t>
  </si>
  <si>
    <t>Menuiserie avec tapée :</t>
  </si>
  <si>
    <t xml:space="preserve">Lot Fabrication : </t>
  </si>
  <si>
    <t>0001-C</t>
  </si>
  <si>
    <t>JEROME</t>
  </si>
  <si>
    <t>101D70S</t>
  </si>
  <si>
    <t xml:space="preserve">0001-C : Chassis 1 Vtl Tirant Gauche D70_x000D_
101D70S : Largeur : 395  (415) Hauteur : 990 (1000) _x000D_
Dormant : 5000 Couleur Blanc_x000D_
Ouvrant : OB1G 5040 (Poignee OF 7 x 40)_x000D_
Vitrage : 4 ITR - 16 - 4 Matelux + Arg WE (.00)_x000D_
Nb Volume :1_x000D_
Supplément : XX (1)_x000D_
Supplément : Vis de Pose Reno Blanche (1)_x000D_
Tapee Persienne en Fourniture_x000D_
</t>
  </si>
  <si>
    <t>D70S</t>
  </si>
  <si>
    <t>D70S-3333</t>
  </si>
  <si>
    <t>D70S-3334</t>
  </si>
  <si>
    <t>D70S-3335</t>
  </si>
  <si>
    <t>D70S-Seuil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</si>
</sst>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/>
      <diagonal/>
    </border>
    <border>
      <left/>
      <right style="double">
        <color theme="3"/>
      </right>
      <top/>
      <bottom/>
      <diagonal/>
    </border>
    <border>
      <left style="double">
        <color theme="3"/>
      </left>
      <right/>
      <top/>
      <bottom style="double">
        <color theme="3"/>
      </bottom>
      <diagonal/>
    </border>
    <border>
      <left/>
      <right/>
      <top/>
      <bottom style="double">
        <color theme="3"/>
      </bottom>
      <diagonal/>
    </border>
    <border>
      <left/>
      <right style="double">
        <color theme="3"/>
      </right>
      <top/>
      <bottom style="double">
        <color theme="3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5" xfId="0" applyBorder="1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/>
    <xf numFmtId="0" fontId="0" fillId="0" borderId="4" xfId="0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0" xfId="0" applyFill="1" applyBorder="1"/>
    <xf numFmtId="0" fontId="2" fillId="0" borderId="2" xfId="0" applyFont="1" applyBorder="1" applyAlignment="1">
      <alignment horizontal="left"/>
    </xf>
    <xf numFmtId="0" fontId="2" fillId="0" borderId="11" xfId="0" applyFont="1" applyBorder="1"/>
    <xf numFmtId="0" fontId="4" fillId="0" borderId="0" xfId="0" applyNumberFormat="1" applyFont="1" applyAlignment="1"/>
    <xf numFmtId="0" fontId="4" fillId="0" borderId="0" xfId="0" applyFont="1"/>
    <xf numFmtId="0" fontId="2" fillId="0" borderId="0" xfId="0" applyFont="1"/>
    <xf numFmtId="0" fontId="4" fillId="0" borderId="0" xfId="0" applyFont="1" applyAlignment="1"/>
    <xf numFmtId="0" fontId="5" fillId="0" borderId="0" xfId="0" applyFont="1"/>
    <xf numFmtId="0" fontId="5" fillId="0" borderId="0" xfId="0" applyFont="1" applyBorder="1" applyAlignment="1">
      <alignment horizontal="left"/>
    </xf>
    <xf numFmtId="0" fontId="5" fillId="0" borderId="0" xfId="0" applyFont="1" applyBorder="1"/>
    <xf numFmtId="0" fontId="5" fillId="0" borderId="0" xfId="0" applyFont="1" applyFill="1" applyBorder="1"/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center"/>
    </xf>
    <xf numFmtId="0" fontId="0" fillId="0" borderId="0" xfId="0" quotePrefix="1" applyNumberFormat="1" applyAlignment="1"/>
    <xf numFmtId="0" fontId="0" fillId="0" borderId="0" xfId="0" applyNumberFormat="1" applyAlignment="1"/>
    <xf numFmtId="0" fontId="0" fillId="0" borderId="0" xfId="0" applyFill="1"/>
    <xf numFmtId="0" fontId="2" fillId="0" borderId="0" xfId="0" applyFont="1" applyFill="1"/>
    <xf numFmtId="0" fontId="2" fillId="0" borderId="0" xfId="0" applyFont="1" applyAlignment="1">
      <alignment horizontal="right"/>
    </xf>
    <xf numFmtId="0" fontId="6" fillId="0" borderId="0" xfId="0" applyNumberFormat="1" applyFont="1" applyAlignment="1"/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13" xfId="0" applyBorder="1"/>
    <xf numFmtId="0" fontId="0" fillId="0" borderId="14" xfId="0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" fillId="0" borderId="0" xfId="0" applyFont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1" fillId="0" borderId="0" xfId="0" applyFont="1" applyFill="1" applyBorder="1"/>
    <xf numFmtId="0" fontId="8" fillId="0" borderId="0" xfId="0" applyFont="1" applyFill="1" applyBorder="1" applyAlignment="1">
      <alignment horizontal="right"/>
    </xf>
    <xf numFmtId="0" fontId="1" fillId="0" borderId="0" xfId="0" applyFont="1" applyBorder="1"/>
    <xf numFmtId="0" fontId="8" fillId="0" borderId="0" xfId="0" applyFont="1" applyBorder="1" applyAlignment="1">
      <alignment horizontal="right"/>
    </xf>
    <xf numFmtId="0" fontId="0" fillId="0" borderId="18" xfId="0" applyBorder="1"/>
    <xf numFmtId="0" fontId="0" fillId="0" borderId="19" xfId="0" applyFill="1" applyBorder="1"/>
    <xf numFmtId="0" fontId="0" fillId="0" borderId="19" xfId="0" applyBorder="1"/>
    <xf numFmtId="0" fontId="0" fillId="0" borderId="20" xfId="0" applyBorder="1"/>
    <xf numFmtId="0" fontId="0" fillId="0" borderId="19" xfId="0" applyFill="1" applyBorder="1" applyAlignment="1">
      <alignment horizontal="right"/>
    </xf>
    <xf numFmtId="0" fontId="1" fillId="0" borderId="19" xfId="0" applyFont="1" applyBorder="1"/>
    <xf numFmtId="2" fontId="0" fillId="0" borderId="0" xfId="0" applyNumberFormat="1"/>
  </cellXfs>
  <cellStyles count="1">
    <cellStyle name="Normal" xfId="0" builtinId="0"/>
  </cellStyles>
  <dxfs count="39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9" defaultPivotStyle="PivotStyleLight16">
    <tableStyle name="TableStyleQueryPreview" pivot="0" count="3">
      <tableStyleElement type="wholeTable" dxfId="38"/>
      <tableStyleElement type="headerRow" dxfId="37"/>
      <tableStyleElement type="firstRowStripe" dxfId="36"/>
    </tableStyle>
    <tableStyle name="TableStyleQueryResult" pivot="0" count="3">
      <tableStyleElement type="wholeTable" dxfId="35"/>
      <tableStyleElement type="headerRow" dxfId="34"/>
      <tableStyleElement type="firstRowStripe" dxfId="3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26</xdr:row>
      <xdr:rowOff>66675</xdr:rowOff>
    </xdr:from>
    <xdr:to>
      <xdr:col>4</xdr:col>
      <xdr:colOff>495300</xdr:colOff>
      <xdr:row>34</xdr:row>
      <xdr:rowOff>76202</xdr:rowOff>
    </xdr:to>
    <xdr:cxnSp macro="">
      <xdr:nvCxnSpPr>
        <xdr:cNvPr id="3" name="Connecteur droit avec flèche 2"/>
        <xdr:cNvCxnSpPr/>
      </xdr:nvCxnSpPr>
      <xdr:spPr>
        <a:xfrm flipV="1">
          <a:off x="4791075" y="4029075"/>
          <a:ext cx="0" cy="1228727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462525</xdr:colOff>
      <xdr:row>0</xdr:row>
      <xdr:rowOff>89775</xdr:rowOff>
    </xdr:from>
    <xdr:to>
      <xdr:col>9</xdr:col>
      <xdr:colOff>295275</xdr:colOff>
      <xdr:row>3</xdr:row>
      <xdr:rowOff>0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1072125" y="89775"/>
          <a:ext cx="4500000" cy="396000"/>
        </a:xfrm>
        <a:prstGeom prst="rect">
          <a:avLst/>
        </a:prstGeom>
        <a:solidFill>
          <a:sysClr val="window" lastClr="FFFFFF"/>
        </a:solidFill>
        <a:ln>
          <a:headEnd/>
          <a:tailEnd/>
        </a:ln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lIns="36576" tIns="72000" rIns="36576" bIns="10800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FICHE de DEBIT de TAPEES de PERSIENNES</a:t>
          </a:r>
        </a:p>
      </xdr:txBody>
    </xdr:sp>
    <xdr:clientData/>
  </xdr:twoCellAnchor>
  <xdr:twoCellAnchor>
    <xdr:from>
      <xdr:col>12</xdr:col>
      <xdr:colOff>28575</xdr:colOff>
      <xdr:row>25</xdr:row>
      <xdr:rowOff>95250</xdr:rowOff>
    </xdr:from>
    <xdr:to>
      <xdr:col>20</xdr:col>
      <xdr:colOff>400050</xdr:colOff>
      <xdr:row>45</xdr:row>
      <xdr:rowOff>104775</xdr:rowOff>
    </xdr:to>
    <xdr:sp macro="" textlink="">
      <xdr:nvSpPr>
        <xdr:cNvPr id="2" name="ZoneTexte 1"/>
        <xdr:cNvSpPr txBox="1"/>
      </xdr:nvSpPr>
      <xdr:spPr>
        <a:xfrm>
          <a:off x="6438900" y="4219575"/>
          <a:ext cx="4924425" cy="3286125"/>
        </a:xfrm>
        <a:prstGeom prst="rect">
          <a:avLst/>
        </a:prstGeom>
        <a:ln w="57150">
          <a:solidFill>
            <a:schemeClr val="accent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souhaiterais ajouter</a:t>
          </a:r>
          <a:r>
            <a:rPr lang="fr-FR" sz="1100" baseline="0"/>
            <a:t> une bordure autour d'un groupe de cellule suivant la valeur d'une cellule.</a:t>
          </a:r>
        </a:p>
        <a:p>
          <a:endParaRPr lang="fr-FR" sz="1100" baseline="0"/>
        </a:p>
        <a:p>
          <a:r>
            <a:rPr lang="fr-FR" sz="1100" baseline="0"/>
            <a:t>En selectionnant le lot de Fabrication (D6) liste.</a:t>
          </a:r>
        </a:p>
        <a:p>
          <a:r>
            <a:rPr lang="fr-FR" sz="1100" baseline="0"/>
            <a:t>la valeur de la case "D7" change et d'après la valeur retournée je souhaiterais mettre une bordure autour de la plage : "N6:W24" via la macro </a:t>
          </a:r>
        </a:p>
        <a:p>
          <a:endParaRPr lang="fr-FR" sz="1100" baseline="0"/>
        </a:p>
        <a:p>
          <a:r>
            <a:rPr lang="fr-FR" sz="1100" baseline="0"/>
            <a:t>Je pense que ceci m'empeche de lancer ma macro "valeur_2"</a:t>
          </a:r>
        </a:p>
        <a:p>
          <a:endParaRPr lang="fr-FR" sz="1100" baseline="0"/>
        </a:p>
        <a:p>
          <a:r>
            <a:rPr lang="fr-FR" sz="1100" baseline="0"/>
            <a:t>Merci pour votre aide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4" unboundColumnsRight="1">
    <queryTableFields count="13">
      <queryTableField id="1" name="Repere" tableColumnId="92"/>
      <queryTableField id="2" name="Numero Dossier" tableColumnId="93"/>
      <queryTableField id="3" name="Num Lot" tableColumnId="94"/>
      <queryTableField id="4" name="Hauteur HT" tableColumnId="95"/>
      <queryTableField id="5" name="Largeur HT" tableColumnId="96"/>
      <queryTableField id="6" name="Nom Client" tableColumnId="97"/>
      <queryTableField id="7" name="Nb de Chassis" tableColumnId="98"/>
      <queryTableField id="8" name="Type Menuiserie" tableColumnId="99"/>
      <queryTableField id="9" name="Appui Clippé" tableColumnId="100"/>
      <queryTableField id="10" name="Seuil Alu" tableColumnId="101"/>
      <queryTableField id="11" name="Année Prod" tableColumnId="102"/>
      <queryTableField id="12" name="Texte" tableColumnId="103"/>
      <queryTableField id="13" dataBound="0" tableColumnId="104"/>
    </queryTableFields>
  </queryTableRefresh>
</queryTable>
</file>

<file path=xl/queryTables/queryTable2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Num Lot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Liste" displayName="Liste" ref="A1:M13" tableType="queryTable" totalsRowShown="0" headerRowDxfId="32" dataDxfId="31">
  <autoFilter ref="A1:M13"/>
  <tableColumns count="13">
    <tableColumn id="92" uniqueName="92" name="Repere" queryTableFieldId="1" dataDxfId="30"/>
    <tableColumn id="93" uniqueName="93" name="Numero Dossier" queryTableFieldId="2" dataDxfId="29"/>
    <tableColumn id="94" uniqueName="94" name="Num Lot" queryTableFieldId="3" dataDxfId="28"/>
    <tableColumn id="95" uniqueName="95" name="Hauteur HT" queryTableFieldId="4" dataDxfId="27"/>
    <tableColumn id="96" uniqueName="96" name="Largeur HT" queryTableFieldId="5" dataDxfId="26"/>
    <tableColumn id="97" uniqueName="97" name="Nom Client" queryTableFieldId="6" dataDxfId="25"/>
    <tableColumn id="98" uniqueName="98" name="Nb de Chassis" queryTableFieldId="7" dataDxfId="24"/>
    <tableColumn id="99" uniqueName="99" name="Type Menuiserie" queryTableFieldId="8" dataDxfId="23"/>
    <tableColumn id="100" uniqueName="100" name="Appui Clippé" queryTableFieldId="9" dataDxfId="22"/>
    <tableColumn id="101" uniqueName="101" name="Seuil Alu" queryTableFieldId="10" dataDxfId="21"/>
    <tableColumn id="102" uniqueName="102" name="Année Prod" queryTableFieldId="11" dataDxfId="20"/>
    <tableColumn id="103" uniqueName="103" name="Texte" queryTableFieldId="12" dataDxfId="19"/>
    <tableColumn id="104" uniqueName="104" name="Larg Entre Tapée" queryTableFieldId="13" dataDxfId="18"/>
  </tableColumns>
  <tableStyleInfo name="TableStyleQueryResult" showFirstColumn="0" showLastColumn="0" showRowStripes="1" showColumnStripes="0"/>
</table>
</file>

<file path=xl/tables/table2.xml><?xml version="1.0" encoding="utf-8"?>
<table xmlns="http://schemas.openxmlformats.org/spreadsheetml/2006/main" id="4" name="Requête_Num_Lot" displayName="Requête_Num_Lot" ref="A1:A8" tableType="queryTable" totalsRowShown="0" headerRowDxfId="17" dataDxfId="16">
  <autoFilter ref="A1:A8"/>
  <tableColumns count="1">
    <tableColumn id="1" uniqueName="1" name="Num Lot" queryTableFieldId="1" dataDxfId="15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2:K26" totalsRowShown="0" headerRowDxfId="14" dataDxfId="13">
  <autoFilter ref="B2:K26"/>
  <sortState ref="B3:K26">
    <sortCondition ref="B3"/>
  </sortState>
  <tableColumns count="10">
    <tableColumn id="10" name="Valeur" dataDxfId="12"/>
    <tableColumn id="1" name="Colonne1" dataDxfId="11"/>
    <tableColumn id="2" name="Long." dataDxfId="10"/>
    <tableColumn id="3" name="Larg. délignage" dataDxfId="9"/>
    <tableColumn id="4" name="Pente basse" dataDxfId="8"/>
    <tableColumn id="5" name="Pente haute" dataDxfId="7"/>
    <tableColumn id="6" name="Chant" dataDxfId="6"/>
    <tableColumn id="7" name="Long.2" dataDxfId="5"/>
    <tableColumn id="8" name="Larg. délignage3" dataDxfId="4"/>
    <tableColumn id="9" name="Chant4" dataDxfId="3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3"/>
  <sheetViews>
    <sheetView workbookViewId="0">
      <selection activeCell="D8" sqref="D8"/>
    </sheetView>
  </sheetViews>
  <sheetFormatPr baseColWidth="10" defaultRowHeight="11.25" x14ac:dyDescent="0.2"/>
  <cols>
    <col min="1" max="1" width="8.7109375" style="22" customWidth="1"/>
    <col min="2" max="2" width="15.85546875" style="22" customWidth="1"/>
    <col min="3" max="3" width="9.5703125" style="22" customWidth="1"/>
    <col min="4" max="4" width="11.5703125" style="22" customWidth="1"/>
    <col min="5" max="5" width="11.7109375" style="22" customWidth="1"/>
    <col min="6" max="6" width="28.28515625" style="22" customWidth="1"/>
    <col min="7" max="7" width="14.28515625" style="22" customWidth="1"/>
    <col min="8" max="8" width="16.28515625" style="22" customWidth="1"/>
    <col min="9" max="9" width="13" style="22" customWidth="1"/>
    <col min="10" max="10" width="9.85546875" style="22" customWidth="1"/>
    <col min="11" max="11" width="12.28515625" style="22" customWidth="1"/>
    <col min="12" max="12" width="81.140625" style="22" customWidth="1"/>
    <col min="13" max="13" width="16.42578125" style="22" customWidth="1"/>
    <col min="14" max="14" width="9.5703125" style="22" bestFit="1" customWidth="1"/>
    <col min="15" max="15" width="11.5703125" style="22" customWidth="1"/>
    <col min="16" max="16" width="13.140625" style="22" bestFit="1" customWidth="1"/>
    <col min="17" max="17" width="35.5703125" style="22" bestFit="1" customWidth="1"/>
    <col min="18" max="18" width="10.5703125" style="22" bestFit="1" customWidth="1"/>
    <col min="19" max="19" width="15.5703125" style="22" bestFit="1" customWidth="1"/>
    <col min="20" max="20" width="18.140625" style="22" bestFit="1" customWidth="1"/>
    <col min="21" max="22" width="10.140625" style="22" bestFit="1" customWidth="1"/>
    <col min="23" max="23" width="81.140625" style="22" customWidth="1"/>
    <col min="24" max="24" width="16.85546875" style="22" bestFit="1" customWidth="1"/>
    <col min="25" max="16384" width="11.42578125" style="22"/>
  </cols>
  <sheetData>
    <row r="1" spans="1:15" x14ac:dyDescent="0.2">
      <c r="A1" s="21" t="s">
        <v>30</v>
      </c>
      <c r="B1" s="21" t="s">
        <v>29</v>
      </c>
      <c r="C1" s="21" t="s">
        <v>34</v>
      </c>
      <c r="D1" s="21" t="s">
        <v>31</v>
      </c>
      <c r="E1" s="21" t="s">
        <v>32</v>
      </c>
      <c r="F1" s="21" t="s">
        <v>33</v>
      </c>
      <c r="G1" s="21" t="s">
        <v>35</v>
      </c>
      <c r="H1" s="21" t="s">
        <v>36</v>
      </c>
      <c r="I1" s="21" t="s">
        <v>90</v>
      </c>
      <c r="J1" s="21" t="s">
        <v>91</v>
      </c>
      <c r="K1" s="36" t="s">
        <v>73</v>
      </c>
      <c r="L1" s="36" t="s">
        <v>37</v>
      </c>
      <c r="M1" s="36" t="s">
        <v>75</v>
      </c>
    </row>
    <row r="2" spans="1:15" x14ac:dyDescent="0.2">
      <c r="A2" s="21" t="s">
        <v>116</v>
      </c>
      <c r="B2" s="21">
        <v>170001</v>
      </c>
      <c r="C2" s="21">
        <v>100</v>
      </c>
      <c r="D2" s="21">
        <v>1000</v>
      </c>
      <c r="E2" s="21">
        <v>415</v>
      </c>
      <c r="F2" s="21" t="s">
        <v>117</v>
      </c>
      <c r="G2" s="21">
        <v>1</v>
      </c>
      <c r="H2" s="21" t="s">
        <v>118</v>
      </c>
      <c r="I2" s="21"/>
      <c r="J2" s="21"/>
      <c r="K2" s="36" t="s">
        <v>93</v>
      </c>
      <c r="L2" s="36" t="s">
        <v>119</v>
      </c>
      <c r="M2" s="36" t="str">
        <f>IFERROR(LEFT(SUBSTITUTE(Liste[[#This Row],[Texte]],LEFT(Liste[[#This Row],[Texte]],SEARCH("Entre Tapée",Liste[[#This Row],[Texte]])+11),""),SEARCH("mm",SUBSTITUTE(Liste[[#This Row],[Texte]],LEFT(Liste[[#This Row],[Texte]],SEARCH("Entre Tapée",Liste[[#This Row],[Texte]])+14),""))+1),"")</f>
        <v/>
      </c>
      <c r="O2" s="22" t="str">
        <f>IFERROR(LEFT(SUBSTITUTE(#REF!,LEFT(#REF!,SEARCH("Entre Tapée",#REF!)+11),""),SEARCH("mm",SUBSTITUTE(#REF!,LEFT(#REF!,SEARCH("Entre Tapée",#REF!)+11),""))+1),"")</f>
        <v/>
      </c>
    </row>
    <row r="3" spans="1:15" x14ac:dyDescent="0.2">
      <c r="A3" s="21" t="s">
        <v>38</v>
      </c>
      <c r="B3" s="21">
        <v>170115</v>
      </c>
      <c r="C3" s="21">
        <v>17062</v>
      </c>
      <c r="D3" s="21">
        <v>1965</v>
      </c>
      <c r="E3" s="21">
        <v>1480</v>
      </c>
      <c r="F3" s="21" t="s">
        <v>39</v>
      </c>
      <c r="G3" s="21">
        <v>1</v>
      </c>
      <c r="H3" s="21" t="s">
        <v>40</v>
      </c>
      <c r="I3" s="21" t="s">
        <v>92</v>
      </c>
      <c r="J3" s="21"/>
      <c r="K3" s="36" t="s">
        <v>93</v>
      </c>
      <c r="L3" s="36" t="s">
        <v>41</v>
      </c>
      <c r="M3" s="36" t="str">
        <f>IFERROR(LEFT(SUBSTITUTE(Liste[[#This Row],[Texte]],LEFT(Liste[[#This Row],[Texte]],SEARCH("Entre Tapée",Liste[[#This Row],[Texte]])+11),""),SEARCH("mm",SUBSTITUTE(Liste[[#This Row],[Texte]],LEFT(Liste[[#This Row],[Texte]],SEARCH("Entre Tapée",Liste[[#This Row],[Texte]])+14),""))+1),"")</f>
        <v>1245</v>
      </c>
      <c r="O3" s="22" t="str">
        <f>IFERROR(LEFT(SUBSTITUTE(#REF!,LEFT(#REF!,SEARCH("Entre Tapée",#REF!)+11),""),SEARCH("mm",SUBSTITUTE(#REF!,LEFT(#REF!,SEARCH("Entre Tapée",#REF!)+11),""))+1),"")</f>
        <v/>
      </c>
    </row>
    <row r="4" spans="1:15" x14ac:dyDescent="0.2">
      <c r="A4" s="21" t="s">
        <v>42</v>
      </c>
      <c r="B4" s="21">
        <v>170115</v>
      </c>
      <c r="C4" s="21">
        <v>17062</v>
      </c>
      <c r="D4" s="21">
        <v>1425</v>
      </c>
      <c r="E4" s="21">
        <v>1485</v>
      </c>
      <c r="F4" s="21" t="s">
        <v>39</v>
      </c>
      <c r="G4" s="21">
        <v>1</v>
      </c>
      <c r="H4" s="21" t="s">
        <v>40</v>
      </c>
      <c r="I4" s="21" t="s">
        <v>92</v>
      </c>
      <c r="J4" s="21"/>
      <c r="K4" s="36" t="s">
        <v>93</v>
      </c>
      <c r="L4" s="36" t="s">
        <v>43</v>
      </c>
      <c r="M4" s="36" t="str">
        <f>IFERROR(LEFT(SUBSTITUTE(Liste[[#This Row],[Texte]],LEFT(Liste[[#This Row],[Texte]],SEARCH("Entre Tapée",Liste[[#This Row],[Texte]])+11),""),SEARCH("mm",SUBSTITUTE(Liste[[#This Row],[Texte]],LEFT(Liste[[#This Row],[Texte]],SEARCH("Entre Tapée",Liste[[#This Row],[Texte]])+14),""))+1),"")</f>
        <v>1250</v>
      </c>
      <c r="O4" s="22" t="str">
        <f>IFERROR(LEFT(SUBSTITUTE(#REF!,LEFT(#REF!,SEARCH("Entre Tapée",#REF!)+11),""),SEARCH("mm",SUBSTITUTE(#REF!,LEFT(#REF!,SEARCH("Entre Tapée",#REF!)+11),""))+1),"")</f>
        <v/>
      </c>
    </row>
    <row r="5" spans="1:15" x14ac:dyDescent="0.2">
      <c r="A5" s="21" t="s">
        <v>44</v>
      </c>
      <c r="B5" s="21">
        <v>170119</v>
      </c>
      <c r="C5" s="21">
        <v>17046</v>
      </c>
      <c r="D5" s="21">
        <v>1835</v>
      </c>
      <c r="E5" s="21">
        <v>1270</v>
      </c>
      <c r="F5" s="21" t="s">
        <v>45</v>
      </c>
      <c r="G5" s="21">
        <v>1</v>
      </c>
      <c r="H5" s="21" t="s">
        <v>46</v>
      </c>
      <c r="I5" s="21"/>
      <c r="J5" s="21"/>
      <c r="K5" s="36" t="s">
        <v>93</v>
      </c>
      <c r="L5" s="36" t="s">
        <v>68</v>
      </c>
      <c r="M5" s="36" t="str">
        <f>IFERROR(LEFT(SUBSTITUTE(Liste[[#This Row],[Texte]],LEFT(Liste[[#This Row],[Texte]],SEARCH("Entre Tapée",Liste[[#This Row],[Texte]])+11),""),SEARCH("mm",SUBSTITUTE(Liste[[#This Row],[Texte]],LEFT(Liste[[#This Row],[Texte]],SEARCH("Entre Tapée",Liste[[#This Row],[Texte]])+14),""))+1),"")</f>
        <v>1080</v>
      </c>
      <c r="O5" s="22" t="str">
        <f>IFERROR(LEFT(SUBSTITUTE(#REF!,LEFT(#REF!,SEARCH("Entre Tapée",#REF!)+11),""),SEARCH("mm",SUBSTITUTE(#REF!,LEFT(#REF!,SEARCH("Entre Tapée",#REF!)+11),""))+1),"")</f>
        <v/>
      </c>
    </row>
    <row r="6" spans="1:15" x14ac:dyDescent="0.2">
      <c r="A6" s="21" t="s">
        <v>47</v>
      </c>
      <c r="B6" s="21">
        <v>170124</v>
      </c>
      <c r="C6" s="21">
        <v>17057</v>
      </c>
      <c r="D6" s="21">
        <v>2045</v>
      </c>
      <c r="E6" s="21">
        <v>1670</v>
      </c>
      <c r="F6" s="21" t="s">
        <v>48</v>
      </c>
      <c r="G6" s="21">
        <v>1</v>
      </c>
      <c r="H6" s="21" t="s">
        <v>40</v>
      </c>
      <c r="I6" s="21" t="s">
        <v>92</v>
      </c>
      <c r="J6" s="21"/>
      <c r="K6" s="36" t="s">
        <v>93</v>
      </c>
      <c r="L6" s="36" t="s">
        <v>49</v>
      </c>
      <c r="M6" s="36" t="str">
        <f>IFERROR(LEFT(SUBSTITUTE(Liste[[#This Row],[Texte]],LEFT(Liste[[#This Row],[Texte]],SEARCH("Entre Tapée",Liste[[#This Row],[Texte]])+11),""),SEARCH("mm",SUBSTITUTE(Liste[[#This Row],[Texte]],LEFT(Liste[[#This Row],[Texte]],SEARCH("Entre Tapée",Liste[[#This Row],[Texte]])+14),""))+1),"")</f>
        <v>1460</v>
      </c>
      <c r="O6" s="22" t="str">
        <f>IFERROR(LEFT(SUBSTITUTE(#REF!,LEFT(#REF!,SEARCH("Entre Tapée",#REF!)+11),""),SEARCH("mm",SUBSTITUTE(#REF!,LEFT(#REF!,SEARCH("Entre Tapée",#REF!)+11),""))+1),"")</f>
        <v/>
      </c>
    </row>
    <row r="7" spans="1:15" x14ac:dyDescent="0.2">
      <c r="A7" s="21" t="s">
        <v>50</v>
      </c>
      <c r="B7" s="21">
        <v>170124</v>
      </c>
      <c r="C7" s="21">
        <v>17057</v>
      </c>
      <c r="D7" s="21">
        <v>2020</v>
      </c>
      <c r="E7" s="21">
        <v>1500</v>
      </c>
      <c r="F7" s="21" t="s">
        <v>48</v>
      </c>
      <c r="G7" s="21">
        <v>1</v>
      </c>
      <c r="H7" s="21" t="s">
        <v>40</v>
      </c>
      <c r="I7" s="21" t="s">
        <v>92</v>
      </c>
      <c r="J7" s="21"/>
      <c r="K7" s="36" t="s">
        <v>93</v>
      </c>
      <c r="L7" s="36" t="s">
        <v>51</v>
      </c>
      <c r="M7" s="36" t="str">
        <f>IFERROR(LEFT(SUBSTITUTE(Liste[[#This Row],[Texte]],LEFT(Liste[[#This Row],[Texte]],SEARCH("Entre Tapée",Liste[[#This Row],[Texte]])+11),""),SEARCH("mm",SUBSTITUTE(Liste[[#This Row],[Texte]],LEFT(Liste[[#This Row],[Texte]],SEARCH("Entre Tapée",Liste[[#This Row],[Texte]])+14),""))+1),"")</f>
        <v>1250</v>
      </c>
      <c r="O7" s="22" t="str">
        <f>IFERROR(LEFT(SUBSTITUTE(#REF!,LEFT(#REF!,SEARCH("Entre Tapée",#REF!)+11),""),SEARCH("mm",SUBSTITUTE(#REF!,LEFT(#REF!,SEARCH("Entre Tapée",#REF!)+11),""))+1),"")</f>
        <v/>
      </c>
    </row>
    <row r="8" spans="1:15" x14ac:dyDescent="0.2">
      <c r="A8" s="21" t="s">
        <v>52</v>
      </c>
      <c r="B8" s="21">
        <v>170163</v>
      </c>
      <c r="C8" s="21">
        <v>17041</v>
      </c>
      <c r="D8" s="21">
        <v>2170</v>
      </c>
      <c r="E8" s="21">
        <v>1090</v>
      </c>
      <c r="F8" s="21" t="s">
        <v>53</v>
      </c>
      <c r="G8" s="21">
        <v>2</v>
      </c>
      <c r="H8" s="21" t="s">
        <v>54</v>
      </c>
      <c r="I8" s="21"/>
      <c r="J8" s="21"/>
      <c r="K8" s="36" t="s">
        <v>93</v>
      </c>
      <c r="L8" s="36" t="s">
        <v>69</v>
      </c>
      <c r="M8" s="36" t="str">
        <f>IFERROR(LEFT(SUBSTITUTE(Liste[[#This Row],[Texte]],LEFT(Liste[[#This Row],[Texte]],SEARCH("Entre Tapée",Liste[[#This Row],[Texte]])+11),""),SEARCH("mm",SUBSTITUTE(Liste[[#This Row],[Texte]],LEFT(Liste[[#This Row],[Texte]],SEARCH("Entre Tapée",Liste[[#This Row],[Texte]])+14),""))+1),"")</f>
        <v>840</v>
      </c>
      <c r="O8" s="22" t="str">
        <f>IFERROR(LEFT(SUBSTITUTE(#REF!,LEFT(#REF!,SEARCH("Entre Tapée",#REF!)+11),""),SEARCH("mm",SUBSTITUTE(#REF!,LEFT(#REF!,SEARCH("Entre Tapée",#REF!)+11),""))+1),"")</f>
        <v/>
      </c>
    </row>
    <row r="9" spans="1:15" x14ac:dyDescent="0.2">
      <c r="A9" s="21" t="s">
        <v>55</v>
      </c>
      <c r="B9" s="21">
        <v>170163</v>
      </c>
      <c r="C9" s="21">
        <v>17041</v>
      </c>
      <c r="D9" s="21">
        <v>2520</v>
      </c>
      <c r="E9" s="21">
        <v>1410</v>
      </c>
      <c r="F9" s="21" t="s">
        <v>53</v>
      </c>
      <c r="G9" s="21">
        <v>1</v>
      </c>
      <c r="H9" s="21" t="s">
        <v>56</v>
      </c>
      <c r="I9" s="21"/>
      <c r="J9" s="21" t="s">
        <v>94</v>
      </c>
      <c r="K9" s="36" t="s">
        <v>93</v>
      </c>
      <c r="L9" s="36" t="s">
        <v>70</v>
      </c>
      <c r="M9" s="36" t="str">
        <f>IFERROR(LEFT(SUBSTITUTE(Liste[[#This Row],[Texte]],LEFT(Liste[[#This Row],[Texte]],SEARCH("Entre Tapée",Liste[[#This Row],[Texte]])+11),""),SEARCH("mm",SUBSTITUTE(Liste[[#This Row],[Texte]],LEFT(Liste[[#This Row],[Texte]],SEARCH("Entre Tapée",Liste[[#This Row],[Texte]])+14),""))+1),"")</f>
        <v>1160</v>
      </c>
      <c r="O9" s="22" t="str">
        <f>IFERROR(LEFT(SUBSTITUTE(#REF!,LEFT(#REF!,SEARCH("Entre Tapée",#REF!)+11),""),SEARCH("mm",SUBSTITUTE(#REF!,LEFT(#REF!,SEARCH("Entre Tapée",#REF!)+11),""))+1),"")</f>
        <v/>
      </c>
    </row>
    <row r="10" spans="1:15" x14ac:dyDescent="0.2">
      <c r="A10" s="21" t="s">
        <v>57</v>
      </c>
      <c r="B10" s="21">
        <v>170163</v>
      </c>
      <c r="C10" s="21">
        <v>17041</v>
      </c>
      <c r="D10" s="21">
        <v>2310</v>
      </c>
      <c r="E10" s="21">
        <v>1630</v>
      </c>
      <c r="F10" s="21" t="s">
        <v>53</v>
      </c>
      <c r="G10" s="21">
        <v>1</v>
      </c>
      <c r="H10" s="21" t="s">
        <v>58</v>
      </c>
      <c r="I10" s="21"/>
      <c r="J10" s="21" t="s">
        <v>94</v>
      </c>
      <c r="K10" s="36" t="s">
        <v>93</v>
      </c>
      <c r="L10" s="36" t="s">
        <v>71</v>
      </c>
      <c r="M10" s="36" t="str">
        <f>IFERROR(LEFT(SUBSTITUTE(Liste[[#This Row],[Texte]],LEFT(Liste[[#This Row],[Texte]],SEARCH("Entre Tapée",Liste[[#This Row],[Texte]])+11),""),SEARCH("mm",SUBSTITUTE(Liste[[#This Row],[Texte]],LEFT(Liste[[#This Row],[Texte]],SEARCH("Entre Tapée",Liste[[#This Row],[Texte]])+14),""))+1),"")</f>
        <v>1380</v>
      </c>
      <c r="O10" s="22" t="str">
        <f>IFERROR(LEFT(SUBSTITUTE(#REF!,LEFT(#REF!,SEARCH("Entre Tapée",#REF!)+11),""),SEARCH("mm",SUBSTITUTE(#REF!,LEFT(#REF!,SEARCH("Entre Tapée",#REF!)+11),""))+1),"")</f>
        <v/>
      </c>
    </row>
    <row r="11" spans="1:15" x14ac:dyDescent="0.2">
      <c r="A11" s="21" t="s">
        <v>59</v>
      </c>
      <c r="B11" s="21">
        <v>170190</v>
      </c>
      <c r="C11" s="21">
        <v>17064</v>
      </c>
      <c r="D11" s="21">
        <v>1910</v>
      </c>
      <c r="E11" s="21">
        <v>1055</v>
      </c>
      <c r="F11" s="21" t="s">
        <v>60</v>
      </c>
      <c r="G11" s="21">
        <v>1</v>
      </c>
      <c r="H11" s="21" t="s">
        <v>61</v>
      </c>
      <c r="I11" s="21" t="s">
        <v>92</v>
      </c>
      <c r="J11" s="21"/>
      <c r="K11" s="36" t="s">
        <v>93</v>
      </c>
      <c r="L11" s="36" t="s">
        <v>62</v>
      </c>
      <c r="M11" s="36" t="str">
        <f>IFERROR(LEFT(SUBSTITUTE(Liste[[#This Row],[Texte]],LEFT(Liste[[#This Row],[Texte]],SEARCH("Entre Tapée",Liste[[#This Row],[Texte]])+11),""),SEARCH("mm",SUBSTITUTE(Liste[[#This Row],[Texte]],LEFT(Liste[[#This Row],[Texte]],SEARCH("Entre Tapée",Liste[[#This Row],[Texte]])+14),""))+1),"")</f>
        <v>865</v>
      </c>
      <c r="O11" s="22" t="str">
        <f>IFERROR(LEFT(SUBSTITUTE(#REF!,LEFT(#REF!,SEARCH("Entre Tapée",#REF!)+11),""),SEARCH("mm",SUBSTITUTE(#REF!,LEFT(#REF!,SEARCH("Entre Tapée",#REF!)+11),""))+1),"")</f>
        <v/>
      </c>
    </row>
    <row r="12" spans="1:15" x14ac:dyDescent="0.2">
      <c r="A12" s="21" t="s">
        <v>63</v>
      </c>
      <c r="B12" s="21">
        <v>170190</v>
      </c>
      <c r="C12" s="21">
        <v>17064</v>
      </c>
      <c r="D12" s="21">
        <v>1885</v>
      </c>
      <c r="E12" s="21">
        <v>1060</v>
      </c>
      <c r="F12" s="21" t="s">
        <v>60</v>
      </c>
      <c r="G12" s="21">
        <v>1</v>
      </c>
      <c r="H12" s="21" t="s">
        <v>61</v>
      </c>
      <c r="I12" s="21" t="s">
        <v>92</v>
      </c>
      <c r="J12" s="21"/>
      <c r="K12" s="36" t="s">
        <v>93</v>
      </c>
      <c r="L12" s="36" t="s">
        <v>64</v>
      </c>
      <c r="M12" s="36" t="str">
        <f>IFERROR(LEFT(SUBSTITUTE(Liste[[#This Row],[Texte]],LEFT(Liste[[#This Row],[Texte]],SEARCH("Entre Tapée",Liste[[#This Row],[Texte]])+11),""),SEARCH("mm",SUBSTITUTE(Liste[[#This Row],[Texte]],LEFT(Liste[[#This Row],[Texte]],SEARCH("Entre Tapée",Liste[[#This Row],[Texte]])+14),""))+1),"")</f>
        <v>870</v>
      </c>
      <c r="O12" s="22" t="str">
        <f>IFERROR(LEFT(SUBSTITUTE(#REF!,LEFT(#REF!,SEARCH("Entre Tapée",#REF!)+11),""),SEARCH("mm",SUBSTITUTE(#REF!,LEFT(#REF!,SEARCH("Entre Tapée",#REF!)+11),""))+1),"")</f>
        <v/>
      </c>
    </row>
    <row r="13" spans="1:15" x14ac:dyDescent="0.2">
      <c r="A13" s="21" t="s">
        <v>65</v>
      </c>
      <c r="B13" s="21">
        <v>170206</v>
      </c>
      <c r="C13" s="21">
        <v>17070</v>
      </c>
      <c r="D13" s="21">
        <v>1385</v>
      </c>
      <c r="E13" s="21">
        <v>1445</v>
      </c>
      <c r="F13" s="21" t="s">
        <v>66</v>
      </c>
      <c r="G13" s="21">
        <v>1</v>
      </c>
      <c r="H13" s="21" t="s">
        <v>67</v>
      </c>
      <c r="I13" s="21"/>
      <c r="J13" s="21"/>
      <c r="K13" s="21" t="s">
        <v>93</v>
      </c>
      <c r="L13" s="21" t="s">
        <v>72</v>
      </c>
      <c r="M13" s="36" t="str">
        <f>IFERROR(LEFT(SUBSTITUTE(Liste[[#This Row],[Texte]],LEFT(Liste[[#This Row],[Texte]],SEARCH("Entre Tapée",Liste[[#This Row],[Texte]])+11),""),SEARCH("mm",SUBSTITUTE(Liste[[#This Row],[Texte]],LEFT(Liste[[#This Row],[Texte]],SEARCH("Entre Tapée",Liste[[#This Row],[Texte]])+14),""))+1),"")</f>
        <v>1240</v>
      </c>
      <c r="O13" s="22" t="str">
        <f>IFERROR(LEFT(SUBSTITUTE(#REF!,LEFT(#REF!,SEARCH("Entre Tapée",#REF!)+11),""),SEARCH("mm",SUBSTITUTE(#REF!,LEFT(#REF!,SEARCH("Entre Tapée",#REF!)+11),""))+1),"")</f>
        <v/>
      </c>
    </row>
    <row r="14" spans="1:15" x14ac:dyDescent="0.2">
      <c r="O14" s="22" t="str">
        <f>IFERROR(LEFT(SUBSTITUTE(#REF!,LEFT(#REF!,SEARCH("Entre Tapée",#REF!)+11),""),SEARCH("mm",SUBSTITUTE(#REF!,LEFT(#REF!,SEARCH("Entre Tapée",#REF!)+11),""))+1),"")</f>
        <v/>
      </c>
    </row>
    <row r="21" spans="13:13" x14ac:dyDescent="0.2">
      <c r="M21" s="24"/>
    </row>
    <row r="23" spans="13:13" x14ac:dyDescent="0.2">
      <c r="M23" s="2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"/>
  <sheetViews>
    <sheetView workbookViewId="0">
      <selection activeCell="A6" sqref="A6"/>
    </sheetView>
  </sheetViews>
  <sheetFormatPr baseColWidth="10" defaultRowHeight="12.75" x14ac:dyDescent="0.2"/>
  <cols>
    <col min="1" max="1" width="10.5703125" bestFit="1" customWidth="1"/>
  </cols>
  <sheetData>
    <row r="1" spans="1:1" x14ac:dyDescent="0.2">
      <c r="A1" s="31" t="s">
        <v>34</v>
      </c>
    </row>
    <row r="2" spans="1:1" x14ac:dyDescent="0.2">
      <c r="A2" s="32">
        <v>100</v>
      </c>
    </row>
    <row r="3" spans="1:1" x14ac:dyDescent="0.2">
      <c r="A3" s="32">
        <v>17041</v>
      </c>
    </row>
    <row r="4" spans="1:1" x14ac:dyDescent="0.2">
      <c r="A4" s="32">
        <v>17046</v>
      </c>
    </row>
    <row r="5" spans="1:1" x14ac:dyDescent="0.2">
      <c r="A5" s="32">
        <v>17057</v>
      </c>
    </row>
    <row r="6" spans="1:1" x14ac:dyDescent="0.2">
      <c r="A6" s="32">
        <v>17062</v>
      </c>
    </row>
    <row r="7" spans="1:1" x14ac:dyDescent="0.2">
      <c r="A7" s="32">
        <v>17064</v>
      </c>
    </row>
    <row r="8" spans="1:1" x14ac:dyDescent="0.2">
      <c r="A8" s="32">
        <v>17070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K36"/>
  <sheetViews>
    <sheetView workbookViewId="0">
      <selection activeCell="B9" sqref="B9"/>
    </sheetView>
  </sheetViews>
  <sheetFormatPr baseColWidth="10" defaultRowHeight="12" x14ac:dyDescent="0.2"/>
  <cols>
    <col min="1" max="1" width="11.42578125" style="25"/>
    <col min="2" max="2" width="13.85546875" style="29" customWidth="1"/>
    <col min="3" max="3" width="31.7109375" style="25" bestFit="1" customWidth="1"/>
    <col min="4" max="4" width="7.42578125" style="25" bestFit="1" customWidth="1"/>
    <col min="5" max="5" width="15.42578125" style="25" bestFit="1" customWidth="1"/>
    <col min="6" max="6" width="13.140625" style="25" bestFit="1" customWidth="1"/>
    <col min="7" max="7" width="12.7109375" style="25" bestFit="1" customWidth="1"/>
    <col min="8" max="8" width="7.85546875" style="25" bestFit="1" customWidth="1"/>
    <col min="9" max="9" width="8.42578125" style="25" bestFit="1" customWidth="1"/>
    <col min="10" max="10" width="16.42578125" style="25" bestFit="1" customWidth="1"/>
    <col min="11" max="11" width="8.7109375" style="25" bestFit="1" customWidth="1"/>
    <col min="12" max="16384" width="11.42578125" style="25"/>
  </cols>
  <sheetData>
    <row r="1" spans="2:11" x14ac:dyDescent="0.2">
      <c r="B1" s="26" t="s">
        <v>76</v>
      </c>
      <c r="C1" s="27" t="s">
        <v>78</v>
      </c>
      <c r="D1" s="27"/>
      <c r="E1" s="27"/>
      <c r="F1" s="27"/>
      <c r="G1" s="27"/>
      <c r="I1" s="27" t="s">
        <v>77</v>
      </c>
      <c r="J1" s="27"/>
      <c r="K1" s="27"/>
    </row>
    <row r="2" spans="2:11" x14ac:dyDescent="0.2">
      <c r="B2" s="26" t="s">
        <v>89</v>
      </c>
      <c r="C2" s="26" t="s">
        <v>74</v>
      </c>
      <c r="D2" s="27" t="s">
        <v>79</v>
      </c>
      <c r="E2" s="27" t="s">
        <v>80</v>
      </c>
      <c r="F2" s="27" t="s">
        <v>81</v>
      </c>
      <c r="G2" s="27" t="s">
        <v>82</v>
      </c>
      <c r="H2" s="28" t="s">
        <v>83</v>
      </c>
      <c r="I2" s="27" t="s">
        <v>84</v>
      </c>
      <c r="J2" s="27" t="s">
        <v>85</v>
      </c>
      <c r="K2" s="27" t="s">
        <v>86</v>
      </c>
    </row>
    <row r="3" spans="2:11" x14ac:dyDescent="0.2">
      <c r="B3" s="26" t="s">
        <v>87</v>
      </c>
      <c r="C3" s="26" t="s">
        <v>15</v>
      </c>
      <c r="D3" s="30">
        <v>-8</v>
      </c>
      <c r="E3" s="30">
        <v>-10</v>
      </c>
      <c r="F3" s="30" t="s">
        <v>14</v>
      </c>
      <c r="G3" s="30"/>
      <c r="H3" s="30"/>
      <c r="I3" s="30" t="e">
        <f>Feuil1!#REF!</f>
        <v>#REF!</v>
      </c>
      <c r="J3" s="30">
        <v>38</v>
      </c>
      <c r="K3" s="30"/>
    </row>
    <row r="4" spans="2:11" x14ac:dyDescent="0.2">
      <c r="B4" s="26" t="s">
        <v>120</v>
      </c>
      <c r="C4" s="26">
        <v>5001</v>
      </c>
      <c r="D4" s="30">
        <v>0</v>
      </c>
      <c r="E4" s="30">
        <v>0</v>
      </c>
      <c r="F4" s="30"/>
      <c r="G4" s="30"/>
      <c r="H4" s="30"/>
      <c r="I4" s="30" t="e">
        <f>Feuil1!#REF!</f>
        <v>#REF!</v>
      </c>
      <c r="J4" s="30">
        <v>58</v>
      </c>
      <c r="K4" s="30"/>
    </row>
    <row r="5" spans="2:11" x14ac:dyDescent="0.2">
      <c r="B5" s="26" t="s">
        <v>121</v>
      </c>
      <c r="C5" s="26" t="s">
        <v>22</v>
      </c>
      <c r="D5" s="30">
        <v>-18</v>
      </c>
      <c r="E5" s="30">
        <v>0</v>
      </c>
      <c r="F5" s="30" t="s">
        <v>6</v>
      </c>
      <c r="G5" s="30"/>
      <c r="H5" s="30"/>
      <c r="I5" s="30" t="e">
        <f>Feuil1!#REF!</f>
        <v>#REF!</v>
      </c>
      <c r="J5" s="30">
        <v>58</v>
      </c>
      <c r="K5" s="30"/>
    </row>
    <row r="6" spans="2:11" x14ac:dyDescent="0.2">
      <c r="B6" s="26" t="s">
        <v>122</v>
      </c>
      <c r="C6" s="26" t="s">
        <v>88</v>
      </c>
      <c r="D6" s="30">
        <v>-18</v>
      </c>
      <c r="E6" s="30">
        <v>0</v>
      </c>
      <c r="F6" s="30" t="s">
        <v>6</v>
      </c>
      <c r="G6" s="30"/>
      <c r="H6" s="30"/>
      <c r="I6" s="30">
        <v>1250</v>
      </c>
      <c r="J6" s="30">
        <v>58</v>
      </c>
      <c r="K6" s="30"/>
    </row>
    <row r="7" spans="2:11" x14ac:dyDescent="0.2">
      <c r="B7" s="26" t="s">
        <v>123</v>
      </c>
      <c r="C7" s="26" t="s">
        <v>25</v>
      </c>
      <c r="D7" s="30">
        <v>10</v>
      </c>
      <c r="E7" s="30">
        <v>0</v>
      </c>
      <c r="F7" s="30" t="s">
        <v>10</v>
      </c>
      <c r="G7" s="30" t="s">
        <v>10</v>
      </c>
      <c r="H7" s="30" t="s">
        <v>10</v>
      </c>
      <c r="I7" s="30" t="e">
        <f>Feuil1!#REF!</f>
        <v>#REF!</v>
      </c>
      <c r="J7" s="30">
        <v>58</v>
      </c>
      <c r="K7" s="30" t="s">
        <v>10</v>
      </c>
    </row>
    <row r="8" spans="2:11" x14ac:dyDescent="0.2">
      <c r="B8" s="26" t="s">
        <v>124</v>
      </c>
      <c r="C8" s="26" t="s">
        <v>26</v>
      </c>
      <c r="D8" s="30">
        <v>0</v>
      </c>
      <c r="E8" s="30">
        <v>0</v>
      </c>
      <c r="F8" s="30"/>
      <c r="G8" s="30" t="s">
        <v>10</v>
      </c>
      <c r="H8" s="30" t="s">
        <v>10</v>
      </c>
      <c r="I8" s="30" t="e">
        <f>Feuil1!#REF!</f>
        <v>#REF!</v>
      </c>
      <c r="J8" s="30">
        <v>58</v>
      </c>
      <c r="K8" s="30"/>
    </row>
    <row r="9" spans="2:11" x14ac:dyDescent="0.2">
      <c r="B9" s="26" t="s">
        <v>103</v>
      </c>
      <c r="C9" s="26" t="s">
        <v>9</v>
      </c>
      <c r="D9" s="30">
        <v>-60</v>
      </c>
      <c r="E9" s="30">
        <v>-60</v>
      </c>
      <c r="F9" s="30" t="s">
        <v>7</v>
      </c>
      <c r="G9" s="30" t="s">
        <v>7</v>
      </c>
      <c r="H9" s="30" t="s">
        <v>7</v>
      </c>
      <c r="I9" s="30" t="e">
        <f>Feuil1!#REF!</f>
        <v>#REF!</v>
      </c>
      <c r="J9" s="30">
        <v>38</v>
      </c>
      <c r="K9" s="30" t="s">
        <v>7</v>
      </c>
    </row>
    <row r="10" spans="2:11" x14ac:dyDescent="0.2">
      <c r="B10" s="26" t="s">
        <v>108</v>
      </c>
      <c r="C10" s="26" t="s">
        <v>8</v>
      </c>
      <c r="D10" s="30">
        <v>-39</v>
      </c>
      <c r="E10" s="30">
        <v>-60</v>
      </c>
      <c r="F10" s="30"/>
      <c r="G10" s="30" t="s">
        <v>7</v>
      </c>
      <c r="H10" s="30" t="s">
        <v>7</v>
      </c>
      <c r="I10" s="30" t="e">
        <f>Feuil1!#REF!</f>
        <v>#REF!</v>
      </c>
      <c r="J10" s="30">
        <v>38</v>
      </c>
      <c r="K10" s="30" t="s">
        <v>7</v>
      </c>
    </row>
    <row r="11" spans="2:11" x14ac:dyDescent="0.2">
      <c r="B11" s="37" t="s">
        <v>104</v>
      </c>
      <c r="C11" s="26" t="s">
        <v>9</v>
      </c>
      <c r="D11" s="30">
        <v>-60</v>
      </c>
      <c r="E11" s="30">
        <v>-60</v>
      </c>
      <c r="F11" s="30" t="s">
        <v>7</v>
      </c>
      <c r="G11" s="30" t="s">
        <v>7</v>
      </c>
      <c r="H11" s="30" t="s">
        <v>7</v>
      </c>
      <c r="I11" s="30" t="e">
        <f>Feuil1!#REF!</f>
        <v>#REF!</v>
      </c>
      <c r="J11" s="30">
        <v>38</v>
      </c>
      <c r="K11" s="30" t="s">
        <v>7</v>
      </c>
    </row>
    <row r="12" spans="2:11" x14ac:dyDescent="0.2">
      <c r="B12" s="37" t="s">
        <v>109</v>
      </c>
      <c r="C12" s="26" t="s">
        <v>8</v>
      </c>
      <c r="D12" s="30">
        <v>-39</v>
      </c>
      <c r="E12" s="30">
        <v>-60</v>
      </c>
      <c r="F12" s="30"/>
      <c r="G12" s="30" t="s">
        <v>7</v>
      </c>
      <c r="H12" s="30" t="s">
        <v>7</v>
      </c>
      <c r="I12" s="30" t="e">
        <f>Feuil1!#REF!</f>
        <v>#REF!</v>
      </c>
      <c r="J12" s="30">
        <v>38</v>
      </c>
      <c r="K12" s="30" t="s">
        <v>7</v>
      </c>
    </row>
    <row r="13" spans="2:11" x14ac:dyDescent="0.2">
      <c r="B13" s="37" t="s">
        <v>105</v>
      </c>
      <c r="C13" s="26" t="s">
        <v>9</v>
      </c>
      <c r="D13" s="30">
        <v>-60</v>
      </c>
      <c r="E13" s="30">
        <v>-60</v>
      </c>
      <c r="F13" s="30" t="s">
        <v>7</v>
      </c>
      <c r="G13" s="30" t="s">
        <v>7</v>
      </c>
      <c r="H13" s="30" t="s">
        <v>7</v>
      </c>
      <c r="I13" s="30" t="e">
        <f>Feuil1!#REF!</f>
        <v>#REF!</v>
      </c>
      <c r="J13" s="30">
        <v>38</v>
      </c>
      <c r="K13" s="30" t="s">
        <v>7</v>
      </c>
    </row>
    <row r="14" spans="2:11" x14ac:dyDescent="0.2">
      <c r="B14" s="37" t="s">
        <v>110</v>
      </c>
      <c r="C14" s="26" t="s">
        <v>8</v>
      </c>
      <c r="D14" s="30">
        <v>-39</v>
      </c>
      <c r="E14" s="30">
        <v>-60</v>
      </c>
      <c r="F14" s="30"/>
      <c r="G14" s="30" t="s">
        <v>7</v>
      </c>
      <c r="H14" s="30" t="s">
        <v>7</v>
      </c>
      <c r="I14" s="30" t="e">
        <f>Feuil1!#REF!</f>
        <v>#REF!</v>
      </c>
      <c r="J14" s="30">
        <v>38</v>
      </c>
      <c r="K14" s="30" t="s">
        <v>7</v>
      </c>
    </row>
    <row r="15" spans="2:11" x14ac:dyDescent="0.2">
      <c r="B15" s="37" t="s">
        <v>106</v>
      </c>
      <c r="C15" s="26" t="s">
        <v>9</v>
      </c>
      <c r="D15" s="30">
        <v>-60</v>
      </c>
      <c r="E15" s="30">
        <v>-60</v>
      </c>
      <c r="F15" s="30" t="s">
        <v>7</v>
      </c>
      <c r="G15" s="30" t="s">
        <v>7</v>
      </c>
      <c r="H15" s="30" t="s">
        <v>7</v>
      </c>
      <c r="I15" s="30" t="e">
        <f>Feuil1!#REF!</f>
        <v>#REF!</v>
      </c>
      <c r="J15" s="30">
        <v>38</v>
      </c>
      <c r="K15" s="30" t="s">
        <v>7</v>
      </c>
    </row>
    <row r="16" spans="2:11" x14ac:dyDescent="0.2">
      <c r="B16" s="37" t="s">
        <v>111</v>
      </c>
      <c r="C16" s="26" t="s">
        <v>8</v>
      </c>
      <c r="D16" s="30">
        <v>-39</v>
      </c>
      <c r="E16" s="30">
        <v>-60</v>
      </c>
      <c r="F16" s="30"/>
      <c r="G16" s="30" t="s">
        <v>7</v>
      </c>
      <c r="H16" s="30" t="s">
        <v>7</v>
      </c>
      <c r="I16" s="30" t="e">
        <f>Feuil1!#REF!</f>
        <v>#REF!</v>
      </c>
      <c r="J16" s="30">
        <v>38</v>
      </c>
      <c r="K16" s="30" t="s">
        <v>7</v>
      </c>
    </row>
    <row r="17" spans="2:11" x14ac:dyDescent="0.2">
      <c r="B17" s="26" t="s">
        <v>100</v>
      </c>
      <c r="C17" s="26" t="s">
        <v>17</v>
      </c>
      <c r="D17" s="30">
        <v>-47</v>
      </c>
      <c r="E17" s="30">
        <v>-34</v>
      </c>
      <c r="F17" s="30" t="s">
        <v>7</v>
      </c>
      <c r="G17" s="30"/>
      <c r="H17" s="30"/>
      <c r="I17" s="30" t="e">
        <f>Feuil1!#REF!</f>
        <v>#REF!</v>
      </c>
      <c r="J17" s="30">
        <v>48</v>
      </c>
      <c r="K17" s="30"/>
    </row>
    <row r="18" spans="2:11" x14ac:dyDescent="0.2">
      <c r="B18" s="26" t="s">
        <v>101</v>
      </c>
      <c r="C18" s="26" t="s">
        <v>20</v>
      </c>
      <c r="D18" s="30">
        <v>-17</v>
      </c>
      <c r="E18" s="30">
        <v>-34</v>
      </c>
      <c r="F18" s="30"/>
      <c r="G18" s="30"/>
      <c r="H18" s="30"/>
      <c r="I18" s="30" t="e">
        <f>Feuil1!#REF!</f>
        <v>#REF!</v>
      </c>
      <c r="J18" s="30">
        <v>48</v>
      </c>
      <c r="K18" s="30"/>
    </row>
    <row r="19" spans="2:11" x14ac:dyDescent="0.2">
      <c r="B19" s="26" t="s">
        <v>102</v>
      </c>
      <c r="C19" s="26" t="s">
        <v>9</v>
      </c>
      <c r="D19" s="30">
        <v>-60</v>
      </c>
      <c r="E19" s="30">
        <v>-60</v>
      </c>
      <c r="F19" s="30" t="s">
        <v>7</v>
      </c>
      <c r="G19" s="30" t="s">
        <v>7</v>
      </c>
      <c r="H19" s="30" t="s">
        <v>7</v>
      </c>
      <c r="I19" s="30" t="e">
        <f>Feuil1!#REF!</f>
        <v>#REF!</v>
      </c>
      <c r="J19" s="30">
        <v>38</v>
      </c>
      <c r="K19" s="30" t="s">
        <v>7</v>
      </c>
    </row>
    <row r="20" spans="2:11" x14ac:dyDescent="0.2">
      <c r="B20" s="26" t="s">
        <v>107</v>
      </c>
      <c r="C20" s="26" t="s">
        <v>8</v>
      </c>
      <c r="D20" s="30">
        <v>-39</v>
      </c>
      <c r="E20" s="30">
        <v>-60</v>
      </c>
      <c r="F20" s="30"/>
      <c r="G20" s="30" t="s">
        <v>7</v>
      </c>
      <c r="H20" s="30" t="s">
        <v>7</v>
      </c>
      <c r="I20" s="30" t="e">
        <f>Feuil1!#REF!</f>
        <v>#REF!</v>
      </c>
      <c r="J20" s="30">
        <v>38</v>
      </c>
      <c r="K20" s="30" t="s">
        <v>7</v>
      </c>
    </row>
    <row r="21" spans="2:11" x14ac:dyDescent="0.2">
      <c r="B21" s="26" t="s">
        <v>96</v>
      </c>
      <c r="C21" s="26">
        <v>5008</v>
      </c>
      <c r="D21" s="30">
        <v>-62</v>
      </c>
      <c r="E21" s="30">
        <v>-62</v>
      </c>
      <c r="F21" s="30"/>
      <c r="G21" s="30"/>
      <c r="H21" s="30"/>
      <c r="I21" s="30" t="e">
        <f>Feuil1!#REF!</f>
        <v>#REF!</v>
      </c>
      <c r="J21" s="30">
        <v>38</v>
      </c>
      <c r="K21" s="30"/>
    </row>
    <row r="22" spans="2:11" x14ac:dyDescent="0.2">
      <c r="B22" s="26" t="s">
        <v>98</v>
      </c>
      <c r="C22" s="26" t="s">
        <v>28</v>
      </c>
      <c r="D22" s="30">
        <v>-31</v>
      </c>
      <c r="E22" s="30">
        <v>-62</v>
      </c>
      <c r="F22" s="30"/>
      <c r="G22" s="30"/>
      <c r="H22" s="30"/>
      <c r="I22" s="30" t="e">
        <f>Feuil1!#REF!</f>
        <v>#REF!</v>
      </c>
      <c r="J22" s="30">
        <v>38</v>
      </c>
      <c r="K22" s="30"/>
    </row>
    <row r="23" spans="2:11" x14ac:dyDescent="0.2">
      <c r="B23" s="26" t="s">
        <v>97</v>
      </c>
      <c r="C23" s="26">
        <v>5009</v>
      </c>
      <c r="D23" s="30">
        <v>-97</v>
      </c>
      <c r="E23" s="30">
        <v>-94</v>
      </c>
      <c r="F23" s="30"/>
      <c r="G23" s="30"/>
      <c r="H23" s="30"/>
      <c r="I23" s="30" t="e">
        <f>Feuil1!#REF!</f>
        <v>#REF!</v>
      </c>
      <c r="J23" s="30">
        <v>38</v>
      </c>
      <c r="K23" s="30"/>
    </row>
    <row r="24" spans="2:11" x14ac:dyDescent="0.2">
      <c r="B24" s="26" t="s">
        <v>99</v>
      </c>
      <c r="C24" s="26" t="s">
        <v>16</v>
      </c>
      <c r="D24" s="30">
        <v>-47</v>
      </c>
      <c r="E24" s="30">
        <v>-94</v>
      </c>
      <c r="F24" s="30"/>
      <c r="G24" s="30"/>
      <c r="H24" s="30"/>
      <c r="I24" s="30" t="e">
        <f>Feuil1!#REF!</f>
        <v>#REF!</v>
      </c>
      <c r="J24" s="30">
        <v>38</v>
      </c>
      <c r="K24" s="30"/>
    </row>
    <row r="25" spans="2:11" x14ac:dyDescent="0.2">
      <c r="B25" s="26" t="s">
        <v>95</v>
      </c>
      <c r="C25" s="26">
        <v>5006</v>
      </c>
      <c r="D25" s="30">
        <v>-140</v>
      </c>
      <c r="E25" s="30">
        <v>-140</v>
      </c>
      <c r="F25" s="30"/>
      <c r="G25" s="30"/>
      <c r="H25" s="30"/>
      <c r="I25" s="30" t="e">
        <f>Feuil1!#REF!</f>
        <v>#REF!</v>
      </c>
      <c r="J25" s="30">
        <v>38</v>
      </c>
      <c r="K25" s="30"/>
    </row>
    <row r="26" spans="2:11" x14ac:dyDescent="0.2">
      <c r="B26" s="26" t="s">
        <v>113</v>
      </c>
      <c r="C26" s="37">
        <v>5006</v>
      </c>
      <c r="D26" s="38">
        <v>-140</v>
      </c>
      <c r="E26" s="38">
        <v>-140</v>
      </c>
      <c r="F26" s="38"/>
      <c r="G26" s="38"/>
      <c r="H26" s="38"/>
      <c r="I26" s="38">
        <v>1250</v>
      </c>
      <c r="J26" s="38">
        <v>38</v>
      </c>
      <c r="K26" s="38"/>
    </row>
    <row r="27" spans="2:11" x14ac:dyDescent="0.2">
      <c r="B27" s="37"/>
      <c r="C27" s="37"/>
      <c r="D27" s="38"/>
      <c r="E27" s="38"/>
      <c r="F27" s="38"/>
      <c r="G27" s="38"/>
      <c r="H27" s="38"/>
      <c r="I27" s="38"/>
      <c r="J27" s="38"/>
      <c r="K27" s="38" t="s">
        <v>10</v>
      </c>
    </row>
    <row r="28" spans="2:11" x14ac:dyDescent="0.2">
      <c r="B28" s="37"/>
      <c r="C28" s="37"/>
      <c r="D28" s="38"/>
      <c r="E28" s="38"/>
      <c r="F28" s="38"/>
      <c r="G28" s="38"/>
      <c r="H28" s="38"/>
      <c r="I28" s="38"/>
      <c r="J28" s="38"/>
      <c r="K28" s="38" t="s">
        <v>10</v>
      </c>
    </row>
    <row r="29" spans="2:11" x14ac:dyDescent="0.2">
      <c r="B29" s="37"/>
      <c r="C29" s="37"/>
      <c r="D29" s="38"/>
      <c r="E29" s="38"/>
      <c r="F29" s="38"/>
      <c r="G29" s="38"/>
      <c r="H29" s="38"/>
      <c r="I29" s="38"/>
      <c r="J29" s="38"/>
      <c r="K29" s="38" t="s">
        <v>10</v>
      </c>
    </row>
    <row r="30" spans="2:11" x14ac:dyDescent="0.2">
      <c r="B30" s="37"/>
      <c r="C30" s="37"/>
      <c r="D30" s="38"/>
      <c r="E30" s="38"/>
      <c r="F30" s="38"/>
      <c r="G30" s="38"/>
      <c r="H30" s="38"/>
      <c r="I30" s="38"/>
      <c r="J30" s="38"/>
      <c r="K30" s="38" t="s">
        <v>10</v>
      </c>
    </row>
    <row r="31" spans="2:11" x14ac:dyDescent="0.2">
      <c r="B31" s="37"/>
      <c r="C31" s="37"/>
      <c r="D31" s="38"/>
      <c r="E31" s="38"/>
      <c r="F31" s="38"/>
      <c r="G31" s="38"/>
      <c r="H31" s="38"/>
      <c r="I31" s="38"/>
      <c r="J31" s="38"/>
      <c r="K31" s="38" t="s">
        <v>10</v>
      </c>
    </row>
    <row r="32" spans="2:11" x14ac:dyDescent="0.2">
      <c r="B32" s="37"/>
      <c r="C32" s="37"/>
      <c r="D32" s="38"/>
      <c r="E32" s="38"/>
      <c r="F32" s="38"/>
      <c r="G32" s="38"/>
      <c r="H32" s="38"/>
      <c r="I32" s="38"/>
      <c r="J32" s="38"/>
      <c r="K32" s="38"/>
    </row>
    <row r="33" spans="2:11" x14ac:dyDescent="0.2">
      <c r="B33" s="26"/>
      <c r="C33" s="27"/>
      <c r="D33" s="27"/>
      <c r="E33" s="27"/>
      <c r="F33" s="27"/>
      <c r="G33" s="27"/>
      <c r="H33" s="27"/>
      <c r="I33" s="27"/>
      <c r="J33" s="27"/>
      <c r="K33" s="27"/>
    </row>
    <row r="34" spans="2:11" x14ac:dyDescent="0.2">
      <c r="B34" s="26"/>
      <c r="C34" s="27"/>
      <c r="D34" s="27"/>
      <c r="E34" s="27"/>
      <c r="F34" s="27"/>
      <c r="G34" s="27"/>
      <c r="H34" s="27"/>
      <c r="I34" s="27"/>
      <c r="J34" s="27"/>
      <c r="K34" s="27"/>
    </row>
    <row r="35" spans="2:11" x14ac:dyDescent="0.2">
      <c r="B35" s="26"/>
      <c r="C35" s="27"/>
      <c r="D35" s="27"/>
      <c r="E35" s="27"/>
      <c r="F35" s="27"/>
      <c r="G35" s="27"/>
      <c r="H35" s="27"/>
      <c r="I35" s="27"/>
      <c r="J35" s="27"/>
      <c r="K35" s="27"/>
    </row>
    <row r="36" spans="2:11" x14ac:dyDescent="0.2">
      <c r="B36" s="26"/>
      <c r="C36" s="27"/>
      <c r="D36" s="27"/>
      <c r="E36" s="27" t="s">
        <v>112</v>
      </c>
      <c r="F36" s="27"/>
      <c r="G36" s="27"/>
      <c r="H36" s="27"/>
      <c r="I36" s="27"/>
      <c r="J36" s="27"/>
      <c r="K36" s="27"/>
    </row>
  </sheetData>
  <pageMargins left="0.78740157499999996" right="0.78740157499999996" top="0.984251969" bottom="0.984251969" header="0.4921259845" footer="0.4921259845"/>
  <headerFooter alignWithMargins="0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AJ63"/>
  <sheetViews>
    <sheetView tabSelected="1" zoomScaleNormal="100" workbookViewId="0">
      <selection activeCell="D6" sqref="D6"/>
    </sheetView>
  </sheetViews>
  <sheetFormatPr baseColWidth="10" defaultRowHeight="12.75" x14ac:dyDescent="0.2"/>
  <cols>
    <col min="1" max="1" width="6.7109375" customWidth="1"/>
    <col min="2" max="2" width="2.42578125" customWidth="1"/>
    <col min="3" max="3" width="19.7109375" style="33" customWidth="1"/>
    <col min="4" max="4" width="16.42578125" style="33" bestFit="1" customWidth="1"/>
    <col min="5" max="5" width="6.7109375" customWidth="1"/>
    <col min="6" max="6" width="3.5703125" customWidth="1"/>
    <col min="7" max="7" width="9.140625" bestFit="1" customWidth="1"/>
    <col min="8" max="8" width="3.5703125" customWidth="1"/>
    <col min="9" max="9" width="10.85546875" customWidth="1"/>
    <col min="10" max="10" width="9" customWidth="1"/>
    <col min="11" max="11" width="2.42578125" customWidth="1"/>
    <col min="12" max="12" width="5.5703125" customWidth="1"/>
    <col min="13" max="13" width="6.7109375" customWidth="1"/>
    <col min="14" max="14" width="2.42578125" style="2" customWidth="1"/>
    <col min="15" max="15" width="19.7109375" customWidth="1"/>
    <col min="16" max="16" width="16.42578125" customWidth="1"/>
    <col min="17" max="17" width="6.7109375" customWidth="1"/>
    <col min="18" max="18" width="3.5703125" customWidth="1"/>
    <col min="19" max="19" width="9.140625" customWidth="1"/>
    <col min="20" max="20" width="3.5703125" customWidth="1"/>
    <col min="21" max="21" width="10.85546875" customWidth="1"/>
    <col min="22" max="22" width="9" customWidth="1"/>
    <col min="23" max="23" width="2.42578125" customWidth="1"/>
    <col min="24" max="24" width="5.5703125" customWidth="1"/>
  </cols>
  <sheetData>
    <row r="4" spans="1:24" ht="12.75" customHeight="1" x14ac:dyDescent="0.2"/>
    <row r="5" spans="1:24" ht="12.75" customHeight="1" x14ac:dyDescent="0.2">
      <c r="A5" s="2"/>
      <c r="B5" s="2"/>
      <c r="C5" s="5"/>
      <c r="D5" s="5"/>
      <c r="E5" s="2"/>
      <c r="F5" s="2"/>
    </row>
    <row r="6" spans="1:24" ht="15.75" x14ac:dyDescent="0.25">
      <c r="C6" s="40" t="s">
        <v>115</v>
      </c>
      <c r="D6" s="39">
        <v>17041</v>
      </c>
      <c r="O6" s="23"/>
    </row>
    <row r="7" spans="1:24" x14ac:dyDescent="0.2">
      <c r="A7" s="64"/>
      <c r="C7" s="35" t="s">
        <v>114</v>
      </c>
      <c r="D7" s="41">
        <f>COUNTIF(Tableau,D6)</f>
        <v>3</v>
      </c>
      <c r="E7" t="str">
        <f>"( "&amp;RechercheMultiples(D6,Liste[[#All],[Num Lot]],Liste[[#All],[Repere]],",")&amp;" )"</f>
        <v>( 0163-C,0163-F,0163-H )</v>
      </c>
    </row>
    <row r="8" spans="1:24" ht="13.5" thickBot="1" x14ac:dyDescent="0.25"/>
    <row r="9" spans="1:24" ht="13.5" thickTop="1" x14ac:dyDescent="0.2">
      <c r="B9" s="42"/>
      <c r="C9" s="43"/>
      <c r="D9" s="43"/>
      <c r="E9" s="44"/>
      <c r="F9" s="44"/>
      <c r="G9" s="44"/>
      <c r="H9" s="44"/>
      <c r="I9" s="44"/>
      <c r="J9" s="44"/>
      <c r="K9" s="45"/>
      <c r="O9" s="5"/>
      <c r="P9" s="5"/>
      <c r="Q9" s="2"/>
      <c r="R9" s="2"/>
      <c r="S9" s="2"/>
      <c r="T9" s="2"/>
      <c r="U9" s="2"/>
      <c r="V9" s="2"/>
      <c r="W9" s="2"/>
    </row>
    <row r="10" spans="1:24" x14ac:dyDescent="0.2">
      <c r="B10" s="46"/>
      <c r="C10" s="5" t="str">
        <f>IF(Nb_Men_Tapée&gt;=1,"Repere :","")</f>
        <v>Repere :</v>
      </c>
      <c r="D10" s="5" t="str">
        <f>IF(Nb_Men_Tapée&gt;=1,LEFT(RechercheMultiples(Lot,Liste[[#All],[Num Lot]],Liste[[#All],[Repere]],","),6),"")</f>
        <v>0163-C</v>
      </c>
      <c r="E10" s="48" t="str">
        <f>IF(Nb_Men_Tapée&gt;=1,"Qté : ","")</f>
        <v xml:space="preserve">Qté : </v>
      </c>
      <c r="F10" s="3">
        <f>IF(Nb_Men_Tapée&gt;=1,VLOOKUP(D10,Liste[],7,FALSE),"")</f>
        <v>2</v>
      </c>
      <c r="G10" s="48" t="str">
        <f>IF(Nb_Men_Tapée&gt;=1,"Dormant :","")</f>
        <v>Dormant :</v>
      </c>
      <c r="H10" s="2" t="str">
        <f>IF(Nb_Men_Tapée&gt;=1,IF(RIGHT(VLOOKUP(D10,Liste[],8,FALSE),3)="S20",RIGHT(LEFT(VLOOKUP(D10,Liste[],8,FALSE),SEARCH("S20",VLOOKUP(D10,Liste[],8,FALSE))-1),LEN(LEFT(VLOOKUP(D10,Liste[],8,FALSE),SEARCH("S20",VLOOKUP(D10,Liste[],8,FALSE))-1))-3),
IF(RIGHT(VLOOKUP(D10,Liste[],8,FALSE),3)="S40",RIGHT(LEFT(VLOOKUP(D10,Liste[],8,FALSE),SEARCH("S40",VLOOKUP(D10,Liste[],8,FALSE))-1),LEN(LEFT(VLOOKUP(D10,Liste[],8,FALSE),SEARCH("S40",VLOOKUP(D10,Liste[],8,FALSE))-1))-3),
IF(RIGHT(VLOOKUP(D10,Liste[],8,FALSE),3)&lt;&gt;"S20",RIGHT(VLOOKUP(D10,Liste[],8,FALSE),LEN(VLOOKUP(D10,Liste[],8,FALSE))-3),
IF(RIGHT(VLOOKUP(D10,Liste[],8,FALSE),3)&lt;&gt;"S40",RIGHT(VLOOKUP(D10,Liste[],8,FALSE),LEN(VLOOKUP(D10,Liste[],8,FALSE))-3),
0)))),"")</f>
        <v>R60</v>
      </c>
      <c r="I10" s="2"/>
      <c r="J10" s="2"/>
      <c r="K10" s="47"/>
      <c r="O10" s="5" t="str">
        <f>IF(Nb_Men_Tapée&gt;=4,"Repere :","")</f>
        <v/>
      </c>
      <c r="P10" s="5" t="str">
        <f>IF(Nb_Men_Tapée&gt;=4,MID(RechercheMultiples(Lot,Liste[[#All],[Num Lot]],Liste[[#All],[Repere]],","),22,6),"")</f>
        <v/>
      </c>
      <c r="Q10" s="48" t="str">
        <f>IF(Nb_Men_Tapée&gt;=4,"Qté : ","")</f>
        <v/>
      </c>
      <c r="R10" s="3" t="str">
        <f>IF(Nb_Men_Tapée&gt;=4,VLOOKUP(P10,Liste[],7,FALSE),"")</f>
        <v/>
      </c>
      <c r="S10" s="48" t="str">
        <f>IF(Nb_Men_Tapée&gt;=4,"Dormant :","")</f>
        <v/>
      </c>
      <c r="T10" s="2" t="str">
        <f>IF(Nb_Men_Tapée&gt;=4,IF(RIGHT(VLOOKUP(P10,Liste[],8,FALSE),3)="S20",RIGHT(LEFT(VLOOKUP(P10,Liste[],8,FALSE),SEARCH("S20",VLOOKUP(P10,Liste[],8,FALSE))-1),LEN(LEFT(VLOOKUP(P10,Liste[],8,FALSE),SEARCH("S20",VLOOKUP(P10,Liste[],8,FALSE))-1))-3),
IF(RIGHT(VLOOKUP(P10,Liste[],8,FALSE),3)="S40",RIGHT(LEFT(VLOOKUP(P10,Liste[],8,FALSE),SEARCH("S40",VLOOKUP(P10,Liste[],8,FALSE))-1),LEN(LEFT(VLOOKUP(P10,Liste[],8,FALSE),SEARCH("S40",VLOOKUP(P10,Liste[],8,FALSE))-1))-3),
IF(RIGHT(VLOOKUP(P10,Liste[],8,FALSE),3)&lt;&gt;"S20",RIGHT(VLOOKUP(P10,Liste[],8,FALSE),LEN(VLOOKUP(P10,Liste[],8,FALSE))-3),
IF(RIGHT(VLOOKUP(P10,Liste[],8,FALSE),3)&lt;&gt;"S40",RIGHT(VLOOKUP(P10,Liste[],8,FALSE),LEN(VLOOKUP(P10,Liste[],8,FALSE))-3),
0)))),"")</f>
        <v/>
      </c>
      <c r="U10" s="2"/>
      <c r="V10" s="2"/>
      <c r="W10" s="2"/>
    </row>
    <row r="11" spans="1:24" x14ac:dyDescent="0.2">
      <c r="A11" s="1"/>
      <c r="B11" s="46"/>
      <c r="C11" s="49" t="str">
        <f>IF(Nb_Men_Tapée&gt;=1,"Menuiserie Hors Tout :","")</f>
        <v>Menuiserie Hors Tout :</v>
      </c>
      <c r="D11" s="50" t="str">
        <f>IF(Nb_Men_Tapée&gt;=1,"Ht :","")</f>
        <v>Ht :</v>
      </c>
      <c r="E11" s="49">
        <f>IF(Nb_Men_Tapée&gt;=1,VLOOKUP(D10,Liste[],4,FALSE),"")</f>
        <v>2170</v>
      </c>
      <c r="F11" s="51" t="str">
        <f>IF(Nb_Men_Tapée&gt;=1,"x","")</f>
        <v>x</v>
      </c>
      <c r="G11" s="52">
        <f>IF(Nb_Men_Tapée&gt;=1,VLOOKUP(D10,Liste[],5,FALSE),"")</f>
        <v>1090</v>
      </c>
      <c r="H11" s="2"/>
      <c r="I11" s="5" t="str">
        <f>IF(Nb_Men_Tapée&gt;=1,IF(ISBLANK(VLOOKUP(D10,Liste[],9,FALSE)),"","Appui :"),"")</f>
        <v/>
      </c>
      <c r="J11" s="5" t="str">
        <f>IF(Nb_Men_Tapée&gt;=1,IF(ISBLANK(VLOOKUP(D10,Liste[],9,FALSE)),"",VLOOKUP(D10,Liste[],9,FALSE)),"")</f>
        <v/>
      </c>
      <c r="K11" s="47"/>
      <c r="L11" s="35"/>
      <c r="M11" s="1"/>
      <c r="O11" s="49" t="str">
        <f>IF(Nb_Men_Tapée&gt;=4,"Menuiserie Hors Tout :","")</f>
        <v/>
      </c>
      <c r="P11" s="50" t="str">
        <f>IF(Nb_Men_Tapée&gt;=4,"Ht :","")</f>
        <v/>
      </c>
      <c r="Q11" s="49" t="str">
        <f>IF(Nb_Men_Tapée&gt;=4,VLOOKUP(P10,Liste[],4,FALSE),"")</f>
        <v/>
      </c>
      <c r="R11" s="51" t="str">
        <f>IF(Nb_Men_Tapée&gt;=4,"x","")</f>
        <v/>
      </c>
      <c r="S11" s="52" t="str">
        <f>IF(Nb_Men_Tapée&gt;=4,VLOOKUP(P10,Liste[],5,FALSE),"")</f>
        <v/>
      </c>
      <c r="T11" s="2"/>
      <c r="U11" s="5" t="str">
        <f>IF(Nb_Men_Tapée&gt;=4,IF(ISBLANK(VLOOKUP(P10,Liste[],9,FALSE)),"","Appui :"),"")</f>
        <v/>
      </c>
      <c r="V11" s="5" t="str">
        <f>IF(Nb_Men_Tapée&gt;=4,IF(ISBLANK(VLOOKUP(P10,Liste[],9,FALSE)),"",VLOOKUP(P10,Liste[],9,FALSE)),"")</f>
        <v/>
      </c>
      <c r="W11" s="2"/>
      <c r="X11" s="35"/>
    </row>
    <row r="12" spans="1:24" x14ac:dyDescent="0.2">
      <c r="A12" s="1"/>
      <c r="B12" s="46"/>
      <c r="C12" s="49" t="str">
        <f>IF(Nb_Men_Tapée&gt;=1,"Largeur Entre Tapée :","")</f>
        <v>Largeur Entre Tapée :</v>
      </c>
      <c r="D12" s="2" t="str">
        <f>IF(Nb_Men_Tapée&gt;=1,IF((VLOOKUP(D10,Liste[],13,FALSE))&gt;100,(VLOOKUP(D10,Liste[],13,FALSE)),"")&amp;" mm","")</f>
        <v>840 mm</v>
      </c>
      <c r="E12" s="53"/>
      <c r="F12" s="48"/>
      <c r="G12" s="53"/>
      <c r="H12" s="2"/>
      <c r="I12" s="5" t="str">
        <f>IF(Nb_Men_Tapée&gt;=1,IF(ISBLANK(VLOOKUP(D10,Liste[],10,FALSE)),"","Seuil Alu :"),"")</f>
        <v/>
      </c>
      <c r="J12" s="5" t="str">
        <f>IF(Nb_Men_Tapée&gt;=1,IF(ISBLANK(VLOOKUP(D10,Liste[],10,FALSE)),"",VLOOKUP(D10,Liste[],10,FALSE)),"")</f>
        <v/>
      </c>
      <c r="K12" s="47"/>
      <c r="L12" s="35"/>
      <c r="M12" s="1"/>
      <c r="O12" s="49" t="str">
        <f>IF(Nb_Men_Tapée&gt;=4,"Largeur Entre Tapée :","")</f>
        <v/>
      </c>
      <c r="P12" s="2" t="str">
        <f>IF(Nb_Men_Tapée&gt;=4,IF((VLOOKUP(P10,Liste[],13,FALSE))&gt;100,(VLOOKUP(P10,Liste[],13,FALSE)),"")&amp;" mm","")</f>
        <v/>
      </c>
      <c r="Q12" s="53"/>
      <c r="R12" s="48"/>
      <c r="S12" s="53"/>
      <c r="T12" s="2"/>
      <c r="U12" s="5" t="str">
        <f>IF(Nb_Men_Tapée&gt;=4,IF(ISBLANK(VLOOKUP(P10,Liste[],10,FALSE)),"","Seuil Alu :"),"")</f>
        <v/>
      </c>
      <c r="V12" s="5" t="str">
        <f>IF(Nb_Men_Tapée&gt;=4,IF(ISBLANK(VLOOKUP(P10,Liste[],10,FALSE)),"",VLOOKUP(P10,Liste[],10,FALSE)),"")</f>
        <v/>
      </c>
      <c r="W12" s="2"/>
      <c r="X12" s="35"/>
    </row>
    <row r="13" spans="1:24" x14ac:dyDescent="0.2">
      <c r="B13" s="46"/>
      <c r="C13" s="5" t="str">
        <f>IF(Nb_Men_Tapée&gt;=1,"Debit Montant :","")</f>
        <v>Debit Montant :</v>
      </c>
      <c r="D13" s="5"/>
      <c r="E13" s="2"/>
      <c r="F13" s="2"/>
      <c r="G13" s="2"/>
      <c r="H13" s="2"/>
      <c r="I13" s="2"/>
      <c r="J13" s="2"/>
      <c r="K13" s="47"/>
      <c r="O13" s="5" t="str">
        <f>IF(Nb_Men_Tapée&gt;=4,"Debit Montant :","")</f>
        <v/>
      </c>
      <c r="P13" s="5"/>
      <c r="Q13" s="2"/>
      <c r="R13" s="2"/>
      <c r="S13" s="2"/>
      <c r="T13" s="2"/>
      <c r="U13" s="2"/>
      <c r="V13" s="2"/>
      <c r="W13" s="2"/>
      <c r="X13" s="2"/>
    </row>
    <row r="14" spans="1:24" x14ac:dyDescent="0.2">
      <c r="A14" s="23"/>
      <c r="B14" s="46"/>
      <c r="C14" s="5"/>
      <c r="D14" s="6" t="str">
        <f>IF(Nb_Men_Tapée&gt;=1,"Longueur : ","")</f>
        <v xml:space="preserve">Longueur : </v>
      </c>
      <c r="E14" s="54">
        <f>IF(Nb_Men_Tapée&gt;=1,IF(D12=" mm",E11,E11+VLOOKUP(H10,Tableau3[],3,FALSE)),"")</f>
        <v>2030</v>
      </c>
      <c r="F14" s="5"/>
      <c r="G14" s="55" t="str">
        <f>IF(Nb_Men_Tapée&gt;=1,"Qté : ","")</f>
        <v xml:space="preserve">Qté : </v>
      </c>
      <c r="H14" s="54">
        <f>IF(Nb_Men_Tapée&gt;=1,F10*2,"")</f>
        <v>4</v>
      </c>
      <c r="I14" s="2"/>
      <c r="J14" s="2"/>
      <c r="K14" s="47"/>
      <c r="M14" s="23"/>
      <c r="O14" s="5"/>
      <c r="P14" s="6" t="str">
        <f>IF(Nb_Men_Tapée&gt;=4,"Longueur : ","")</f>
        <v/>
      </c>
      <c r="Q14" s="54" t="str">
        <f>IF(Nb_Men_Tapée&gt;=4,IF(P12=" mm",Q11,Q11+VLOOKUP(T10,Tableau3[],3,FALSE)),"")</f>
        <v/>
      </c>
      <c r="R14" s="5"/>
      <c r="S14" s="55" t="str">
        <f>IF(Nb_Men_Tapée&gt;=4,"Qté : ","")</f>
        <v/>
      </c>
      <c r="T14" s="54" t="str">
        <f>IF(Nb_Men_Tapée&gt;=4,R10*2,"")</f>
        <v/>
      </c>
      <c r="U14" s="2"/>
      <c r="V14" s="2"/>
      <c r="W14" s="2"/>
      <c r="X14" s="2"/>
    </row>
    <row r="15" spans="1:24" x14ac:dyDescent="0.2">
      <c r="B15" s="46"/>
      <c r="C15" s="5"/>
      <c r="D15" s="6" t="str">
        <f>IF(Nb_Men_Tapée&gt;=1,"Largeur délignée : ","")</f>
        <v xml:space="preserve">Largeur délignée : </v>
      </c>
      <c r="E15" s="54">
        <f>IF(Nb_Men_Tapée&gt;=1,IF(D12=" mm","",(G11+VLOOKUP(H10,Tableau3[],3,FALSE)-VLOOKUP(D10,Liste[],13,FALSE))/2),"")</f>
        <v>55</v>
      </c>
      <c r="F15" s="5"/>
      <c r="G15" s="5"/>
      <c r="H15" s="5"/>
      <c r="I15" s="2"/>
      <c r="J15" s="2"/>
      <c r="K15" s="47"/>
      <c r="O15" s="5"/>
      <c r="P15" s="6" t="str">
        <f>IF(Nb_Men_Tapée&gt;=4,"Largeur délignée : ","")</f>
        <v/>
      </c>
      <c r="Q15" s="54" t="str">
        <f>IF(Nb_Men_Tapée&gt;=4,IF(P12=" mm","",(S11+VLOOKUP(T10,Tableau3[],3,FALSE)-VLOOKUP(P10,Liste[],13,FALSE))/2),"")</f>
        <v/>
      </c>
      <c r="R15" s="5"/>
      <c r="S15" s="5"/>
      <c r="T15" s="5"/>
      <c r="U15" s="2"/>
      <c r="V15" s="2"/>
      <c r="W15" s="2"/>
      <c r="X15" s="2"/>
    </row>
    <row r="16" spans="1:24" x14ac:dyDescent="0.2">
      <c r="B16" s="46"/>
      <c r="C16" s="5"/>
      <c r="D16" s="6" t="str">
        <f>IF(Nb_Men_Tapée&gt;=1,"Pente basse : ","")</f>
        <v xml:space="preserve">Pente basse : </v>
      </c>
      <c r="E16" s="54">
        <f>IF(Nb_Men_Tapée&gt;=1,IF(Nb_Men_Tapée&gt;=1,IF(D12=" mm","",VLOOKUP(H10,Tableau3[],5,FALSE))),"")</f>
        <v>0</v>
      </c>
      <c r="F16" s="5"/>
      <c r="G16" s="5"/>
      <c r="H16" s="5"/>
      <c r="I16" s="2"/>
      <c r="J16" s="2"/>
      <c r="K16" s="47"/>
      <c r="O16" s="5"/>
      <c r="P16" s="6" t="str">
        <f>IF(Nb_Men_Tapée&gt;=4,"Pente basse : ","")</f>
        <v/>
      </c>
      <c r="Q16" s="54" t="str">
        <f>IF(Nb_Men_Tapée&gt;=4,IF(Nb_Men_Tapée&gt;=1,IF(P12=" mm","",VLOOKUP(T10,Tableau3[],5,FALSE))),"")</f>
        <v/>
      </c>
      <c r="R16" s="5"/>
      <c r="S16" s="5"/>
      <c r="T16" s="5"/>
      <c r="U16" s="2"/>
      <c r="V16" s="2"/>
      <c r="W16" s="2"/>
      <c r="X16" s="2"/>
    </row>
    <row r="17" spans="1:36" x14ac:dyDescent="0.2">
      <c r="B17" s="46"/>
      <c r="C17" s="5"/>
      <c r="D17" s="6" t="str">
        <f>IF(Nb_Men_Tapée&gt;=1,"Pente haute : ","")</f>
        <v xml:space="preserve">Pente haute : </v>
      </c>
      <c r="E17" s="54">
        <f>IF(Nb_Men_Tapée&gt;=1,IF(Nb_Men_Tapée&gt;=1,IF(D12=" mm","",VLOOKUP(H10,Tableau3[],6,FALSE))),"")</f>
        <v>0</v>
      </c>
      <c r="F17" s="5"/>
      <c r="G17" s="5"/>
      <c r="H17" s="5"/>
      <c r="I17" s="2"/>
      <c r="J17" s="2"/>
      <c r="K17" s="47"/>
      <c r="O17" s="5"/>
      <c r="P17" s="6" t="str">
        <f>IF(Nb_Men_Tapée&gt;=4,"Pente haute : ","")</f>
        <v/>
      </c>
      <c r="Q17" s="54" t="str">
        <f>IF(Nb_Men_Tapée&gt;=4,IF(Nb_Men_Tapée&gt;=1,IF(P12=" mm","",VLOOKUP(T10,Tableau3[],6,FALSE))),"")</f>
        <v/>
      </c>
      <c r="R17" s="5"/>
      <c r="S17" s="5"/>
      <c r="T17" s="5"/>
      <c r="U17" s="2"/>
      <c r="V17" s="2"/>
      <c r="W17" s="2"/>
      <c r="X17" s="2"/>
      <c r="AA17" s="2"/>
      <c r="AB17" s="2"/>
      <c r="AC17" s="2"/>
      <c r="AD17" s="2"/>
      <c r="AE17" s="2"/>
      <c r="AF17" s="2"/>
      <c r="AG17" s="2"/>
      <c r="AH17" s="2"/>
      <c r="AI17" s="2"/>
      <c r="AJ17" s="2"/>
    </row>
    <row r="18" spans="1:36" x14ac:dyDescent="0.2">
      <c r="A18" s="23"/>
      <c r="B18" s="46"/>
      <c r="C18" s="5"/>
      <c r="D18" s="6" t="str">
        <f>IF(Nb_Men_Tapée&gt;=1,"Chant : ","")</f>
        <v xml:space="preserve">Chant : </v>
      </c>
      <c r="E18" s="54">
        <f>IF(Nb_Men_Tapée&gt;=1,IF(Nb_Men_Tapée&gt;=1,IF(D12=" mm","",VLOOKUP(H10,Tableau3[],7,FALSE))),"")</f>
        <v>0</v>
      </c>
      <c r="F18" s="5"/>
      <c r="G18" s="5"/>
      <c r="H18" s="5"/>
      <c r="I18" s="2"/>
      <c r="J18" s="2"/>
      <c r="K18" s="47"/>
      <c r="M18" s="23"/>
      <c r="O18" s="5"/>
      <c r="P18" s="6" t="str">
        <f>IF(Nb_Men_Tapée&gt;=4,"Chant : ","")</f>
        <v/>
      </c>
      <c r="Q18" s="54" t="str">
        <f>IF(Nb_Men_Tapée&gt;=4,IF(Nb_Men_Tapée&gt;=1,IF(P12=" mm","",VLOOKUP(T10,Tableau3[],7,FALSE))),"")</f>
        <v/>
      </c>
      <c r="R18" s="5"/>
      <c r="S18" s="5"/>
      <c r="T18" s="5"/>
      <c r="U18" s="2"/>
      <c r="V18" s="2"/>
      <c r="W18" s="2"/>
      <c r="X18" s="2"/>
      <c r="AA18" s="2"/>
      <c r="AB18" s="2"/>
      <c r="AC18" s="2"/>
      <c r="AD18" s="2"/>
      <c r="AE18" s="2"/>
      <c r="AF18" s="2"/>
      <c r="AG18" s="2"/>
      <c r="AH18" s="2"/>
      <c r="AI18" s="2"/>
      <c r="AJ18" s="2"/>
    </row>
    <row r="19" spans="1:36" x14ac:dyDescent="0.2">
      <c r="B19" s="46"/>
      <c r="C19" s="5"/>
      <c r="D19" s="5"/>
      <c r="E19" s="2"/>
      <c r="F19" s="2"/>
      <c r="G19" s="2"/>
      <c r="H19" s="2"/>
      <c r="I19" s="2"/>
      <c r="J19" s="2"/>
      <c r="K19" s="47"/>
      <c r="O19" s="5"/>
      <c r="P19" s="5"/>
      <c r="Q19" s="2"/>
      <c r="R19" s="2"/>
      <c r="S19" s="2"/>
      <c r="T19" s="2"/>
      <c r="U19" s="2"/>
      <c r="V19" s="2"/>
      <c r="W19" s="2"/>
      <c r="X19" s="2"/>
      <c r="AA19" s="2"/>
      <c r="AB19" s="2"/>
      <c r="AC19" s="2"/>
      <c r="AD19" s="2"/>
      <c r="AE19" s="2"/>
      <c r="AF19" s="2"/>
      <c r="AG19" s="2"/>
      <c r="AH19" s="2"/>
      <c r="AI19" s="2"/>
      <c r="AJ19" s="2"/>
    </row>
    <row r="20" spans="1:36" x14ac:dyDescent="0.2">
      <c r="B20" s="46"/>
      <c r="C20" s="6" t="str">
        <f>IF(Nb_Men_Tapée&gt;=1,"Debit Traverse : ","")</f>
        <v xml:space="preserve">Debit Traverse : </v>
      </c>
      <c r="D20" s="5"/>
      <c r="E20" s="2"/>
      <c r="F20" s="2"/>
      <c r="G20" s="2"/>
      <c r="H20" s="2"/>
      <c r="I20" s="2"/>
      <c r="J20" s="2"/>
      <c r="K20" s="47"/>
      <c r="O20" s="6" t="str">
        <f>IF(Nb_Men_Tapée&gt;=4,"Debit Traverse : ","")</f>
        <v/>
      </c>
      <c r="P20" s="5"/>
      <c r="Q20" s="2"/>
      <c r="R20" s="2"/>
      <c r="S20" s="2"/>
      <c r="T20" s="2"/>
      <c r="U20" s="2"/>
      <c r="V20" s="2"/>
      <c r="W20" s="2"/>
      <c r="X20" s="2"/>
      <c r="AA20" s="2"/>
      <c r="AB20" s="2"/>
      <c r="AC20" s="2"/>
      <c r="AD20" s="2"/>
      <c r="AE20" s="2"/>
      <c r="AF20" s="2"/>
      <c r="AG20" s="2"/>
      <c r="AH20" s="2"/>
      <c r="AI20" s="2"/>
      <c r="AJ20" s="2"/>
    </row>
    <row r="21" spans="1:36" x14ac:dyDescent="0.2">
      <c r="B21" s="46"/>
      <c r="C21" s="5"/>
      <c r="D21" s="6" t="str">
        <f>IF(Nb_Men_Tapée&gt;=1,"Longueur : ","")</f>
        <v xml:space="preserve">Longueur : </v>
      </c>
      <c r="E21" s="56">
        <f>IF(Nb_Men_Tapée&gt;=1,IF(D12=" mm",G11,G11+VLOOKUP(H10,Tableau3[],3,FALSE)-(2*E15)),"")</f>
        <v>840</v>
      </c>
      <c r="F21" s="2"/>
      <c r="G21" s="57" t="str">
        <f>IF(Nb_Men_Tapée&gt;=1,"Qté : ","")</f>
        <v xml:space="preserve">Qté : </v>
      </c>
      <c r="H21" s="56">
        <f>IF(Nb_Men_Tapée&gt;=1,F10,"")</f>
        <v>2</v>
      </c>
      <c r="I21" s="2"/>
      <c r="J21" s="2"/>
      <c r="K21" s="47"/>
      <c r="O21" s="5"/>
      <c r="P21" s="6" t="str">
        <f>IF(Nb_Men_Tapée&gt;=4,"Longueur : ","")</f>
        <v/>
      </c>
      <c r="Q21" s="56" t="str">
        <f>IF(Nb_Men_Tapée&gt;=4,IF(P12=" mm",S11,S11+VLOOKUP(T10,Tableau3[],3,FALSE)-(2*Q15)),"")</f>
        <v/>
      </c>
      <c r="R21" s="2"/>
      <c r="S21" s="57" t="str">
        <f>IF(Nb_Men_Tapée&gt;=4,"Qté : ","")</f>
        <v/>
      </c>
      <c r="T21" s="56" t="str">
        <f>IF(Nb_Men_Tapée&gt;=1,R10,"")</f>
        <v/>
      </c>
      <c r="U21" s="2"/>
      <c r="V21" s="2"/>
      <c r="W21" s="2"/>
      <c r="X21" s="2"/>
      <c r="AA21" s="2"/>
      <c r="AB21" s="2"/>
      <c r="AC21" s="2"/>
      <c r="AD21" s="2"/>
      <c r="AE21" s="2"/>
      <c r="AF21" s="2"/>
      <c r="AG21" s="2"/>
      <c r="AH21" s="2"/>
      <c r="AI21" s="2"/>
      <c r="AJ21" s="2"/>
    </row>
    <row r="22" spans="1:36" x14ac:dyDescent="0.2">
      <c r="A22" s="5"/>
      <c r="B22" s="46"/>
      <c r="C22" s="5"/>
      <c r="D22" s="6" t="str">
        <f>IF(Nb_Men_Tapée&gt;=1,"Largeur délignée : ","")</f>
        <v xml:space="preserve">Largeur délignée : </v>
      </c>
      <c r="E22" s="56">
        <f>IF(Nb_Men_Tapée&gt;=1,IF(Nb_Men_Tapée&gt;=1,IF(D12=" mm","",VLOOKUP(H10,Tableau3[],9,FALSE))),"")</f>
        <v>38</v>
      </c>
      <c r="F22" s="2"/>
      <c r="G22" s="2"/>
      <c r="H22" s="2"/>
      <c r="I22" s="2"/>
      <c r="J22" s="2"/>
      <c r="K22" s="47"/>
      <c r="M22" s="5"/>
      <c r="O22" s="5"/>
      <c r="P22" s="6" t="str">
        <f>IF(Nb_Men_Tapée&gt;=4,"Largeur délignée : ","")</f>
        <v/>
      </c>
      <c r="Q22" s="56" t="str">
        <f>IF(Nb_Men_Tapée&gt;=4,IF(Nb_Men_Tapée&gt;=1,IF(P12=" mm","",VLOOKUP(T10,Tableau3[],9,FALSE))),"")</f>
        <v/>
      </c>
      <c r="R22" s="2"/>
      <c r="S22" s="2"/>
      <c r="T22" s="2"/>
      <c r="U22" s="2"/>
      <c r="V22" s="2"/>
      <c r="W22" s="2"/>
      <c r="X22" s="2"/>
      <c r="AA22" s="2"/>
      <c r="AB22" s="2"/>
      <c r="AC22" s="2"/>
      <c r="AD22" s="2"/>
      <c r="AE22" s="2"/>
      <c r="AF22" s="2"/>
      <c r="AG22" s="2"/>
      <c r="AH22" s="2"/>
      <c r="AI22" s="2"/>
      <c r="AJ22" s="2"/>
    </row>
    <row r="23" spans="1:36" x14ac:dyDescent="0.2">
      <c r="A23" s="5"/>
      <c r="B23" s="46"/>
      <c r="C23" s="5"/>
      <c r="D23" s="6" t="str">
        <f>IF(Nb_Men_Tapée&gt;=1,"Chant : ","")</f>
        <v xml:space="preserve">Chant : </v>
      </c>
      <c r="E23" s="56">
        <f>IF(Nb_Men_Tapée&gt;=1,IF(Nb_Men_Tapée&gt;=1,IF(D12=" mm","",VLOOKUP(H10,Tableau3[],10,FALSE))),"")</f>
        <v>0</v>
      </c>
      <c r="F23" s="2"/>
      <c r="G23" s="2"/>
      <c r="H23" s="2"/>
      <c r="I23" s="2"/>
      <c r="J23" s="2"/>
      <c r="K23" s="47"/>
      <c r="M23" s="5"/>
      <c r="O23" s="5"/>
      <c r="P23" s="6" t="str">
        <f>IF(Nb_Men_Tapée&gt;=4,"Chant : ","")</f>
        <v/>
      </c>
      <c r="Q23" s="56" t="str">
        <f>IF(Nb_Men_Tapée&gt;=4,IF(Nb_Men_Tapée&gt;=1,IF(P12=" mm","",VLOOKUP(T10,Tableau3[],10,FALSE))),"")</f>
        <v/>
      </c>
      <c r="R23" s="2"/>
      <c r="S23" s="2"/>
      <c r="T23" s="2"/>
      <c r="U23" s="2"/>
      <c r="V23" s="2"/>
      <c r="W23" s="2"/>
      <c r="X23" s="2"/>
      <c r="AA23" s="2"/>
      <c r="AB23" s="2"/>
      <c r="AC23" s="2"/>
      <c r="AD23" s="2"/>
      <c r="AE23" s="2"/>
      <c r="AF23" s="2"/>
      <c r="AG23" s="2"/>
      <c r="AH23" s="2"/>
      <c r="AI23" s="2"/>
      <c r="AJ23" s="2"/>
    </row>
    <row r="24" spans="1:36" ht="13.5" thickBot="1" x14ac:dyDescent="0.25">
      <c r="A24" s="5"/>
      <c r="B24" s="58"/>
      <c r="C24" s="59"/>
      <c r="D24" s="59"/>
      <c r="E24" s="60"/>
      <c r="F24" s="60"/>
      <c r="G24" s="60"/>
      <c r="H24" s="60"/>
      <c r="I24" s="60"/>
      <c r="J24" s="60"/>
      <c r="K24" s="61"/>
      <c r="M24" s="5"/>
      <c r="O24" s="5"/>
      <c r="P24" s="5"/>
      <c r="Q24" s="2"/>
      <c r="R24" s="2"/>
      <c r="S24" s="2"/>
      <c r="T24" s="2"/>
      <c r="U24" s="2"/>
      <c r="V24" s="2"/>
      <c r="W24" s="2"/>
      <c r="X24" s="2"/>
      <c r="AA24" s="2"/>
      <c r="AB24" s="2"/>
      <c r="AC24" s="2"/>
      <c r="AD24" s="2"/>
      <c r="AE24" s="2"/>
      <c r="AF24" s="2"/>
      <c r="AG24" s="2"/>
      <c r="AH24" s="2"/>
      <c r="AI24" s="2"/>
      <c r="AJ24" s="2"/>
    </row>
    <row r="25" spans="1:36" ht="13.5" thickTop="1" x14ac:dyDescent="0.2">
      <c r="O25" s="2"/>
      <c r="P25" s="2"/>
      <c r="Q25" s="2"/>
      <c r="R25" s="2"/>
      <c r="S25" s="2"/>
      <c r="T25" s="2"/>
      <c r="U25" s="2"/>
      <c r="V25" s="2"/>
      <c r="W25" s="2"/>
      <c r="X25" s="2"/>
      <c r="AA25" s="2"/>
      <c r="AB25" s="2"/>
      <c r="AC25" s="2"/>
      <c r="AD25" s="2"/>
      <c r="AE25" s="2"/>
      <c r="AF25" s="2"/>
      <c r="AG25" s="2"/>
      <c r="AH25" s="2"/>
      <c r="AI25" s="2"/>
      <c r="AJ25" s="2"/>
    </row>
    <row r="26" spans="1:36" x14ac:dyDescent="0.2">
      <c r="O26" s="2"/>
      <c r="P26" s="2"/>
      <c r="Q26" s="2"/>
      <c r="R26" s="2"/>
      <c r="S26" s="2"/>
      <c r="T26" s="2"/>
      <c r="U26" s="2"/>
      <c r="V26" s="2"/>
      <c r="W26" s="2"/>
      <c r="X26" s="2"/>
      <c r="AA26" s="2"/>
      <c r="AB26" s="2"/>
      <c r="AC26" s="2"/>
      <c r="AD26" s="2"/>
      <c r="AE26" s="2"/>
      <c r="AF26" s="2"/>
      <c r="AG26" s="2"/>
      <c r="AH26" s="2"/>
      <c r="AI26" s="2"/>
      <c r="AJ26" s="2"/>
    </row>
    <row r="27" spans="1:36" ht="13.5" thickBot="1" x14ac:dyDescent="0.25">
      <c r="D27" s="34"/>
      <c r="L27" s="23"/>
      <c r="O27" s="2"/>
      <c r="P27" s="2"/>
      <c r="Q27" s="2"/>
      <c r="R27" s="2"/>
      <c r="S27" s="2"/>
      <c r="T27" s="2"/>
      <c r="U27" s="2"/>
      <c r="V27" s="2"/>
      <c r="W27" s="2"/>
      <c r="X27" s="53"/>
      <c r="AA27" s="2"/>
      <c r="AB27" s="2"/>
      <c r="AC27" s="2"/>
      <c r="AD27" s="2"/>
      <c r="AE27" s="2"/>
      <c r="AF27" s="2"/>
      <c r="AG27" s="2"/>
      <c r="AH27" s="2"/>
      <c r="AI27" s="2"/>
      <c r="AJ27" s="2"/>
    </row>
    <row r="28" spans="1:36" ht="13.5" thickTop="1" x14ac:dyDescent="0.2">
      <c r="B28" s="42"/>
      <c r="C28" s="43"/>
      <c r="D28" s="43"/>
      <c r="E28" s="44"/>
      <c r="F28" s="44"/>
      <c r="G28" s="44"/>
      <c r="H28" s="44"/>
      <c r="I28" s="44"/>
      <c r="J28" s="44"/>
      <c r="K28" s="45"/>
      <c r="O28" s="2"/>
      <c r="P28" s="2"/>
      <c r="Q28" s="2"/>
      <c r="R28" s="2"/>
      <c r="S28" s="2"/>
      <c r="T28" s="2"/>
      <c r="U28" s="2"/>
      <c r="V28" s="2"/>
      <c r="W28" s="2"/>
      <c r="X28" s="2"/>
      <c r="AA28" s="2"/>
      <c r="AB28" s="2"/>
      <c r="AC28" s="2"/>
      <c r="AD28" s="2"/>
      <c r="AE28" s="2"/>
      <c r="AF28" s="2"/>
      <c r="AG28" s="2"/>
      <c r="AH28" s="2"/>
      <c r="AI28" s="2"/>
      <c r="AJ28" s="2"/>
    </row>
    <row r="29" spans="1:36" x14ac:dyDescent="0.2">
      <c r="A29" s="1"/>
      <c r="B29" s="46"/>
      <c r="C29" s="5" t="str">
        <f>IF(Nb_Men_Tapée&gt;=2,"Repere :","")</f>
        <v>Repere :</v>
      </c>
      <c r="D29" s="5" t="str">
        <f>IF(Nb_Men_Tapée&gt;=2,MID(RechercheMultiples(Lot,Liste[[#All],[Num Lot]],Liste[[#All],[Repere]],","),8,6),"")</f>
        <v>0163-F</v>
      </c>
      <c r="E29" s="48" t="str">
        <f>IF(Nb_Men_Tapée&gt;=2,"Qté : ","")</f>
        <v xml:space="preserve">Qté : </v>
      </c>
      <c r="F29" s="3">
        <f>IF(Nb_Men_Tapée&gt;=2,VLOOKUP(D29,Liste[],7,FALSE),"")</f>
        <v>1</v>
      </c>
      <c r="G29" s="48" t="str">
        <f>IF(Nb_Men_Tapée&gt;=2,"Dormant :","")</f>
        <v>Dormant :</v>
      </c>
      <c r="H29" s="2" t="str">
        <f>IF(Nb_Men_Tapée&gt;=2,IF(RIGHT(VLOOKUP(D29,Liste[],8,FALSE),3)="S20",RIGHT(LEFT(VLOOKUP(D29,Liste[],8,FALSE),SEARCH("S20",VLOOKUP(D29,Liste[],8,FALSE))-1),LEN(LEFT(VLOOKUP(D29,Liste[],8,FALSE),SEARCH("S20",VLOOKUP(D29,Liste[],8,FALSE))-1))-3),
IF(RIGHT(VLOOKUP(D29,Liste[],8,FALSE),3)="S40",RIGHT(LEFT(VLOOKUP(D29,Liste[],8,FALSE),SEARCH("S40",VLOOKUP(D29,Liste[],8,FALSE))-1),LEN(LEFT(VLOOKUP(D29,Liste[],8,FALSE),SEARCH("S40",VLOOKUP(D29,Liste[],8,FALSE))-1))-3),
IF(RIGHT(VLOOKUP(D29,Liste[],8,FALSE),3)&lt;&gt;"S20",RIGHT(VLOOKUP(D29,Liste[],8,FALSE),LEN(VLOOKUP(D29,Liste[],8,FALSE))-3),
IF(RIGHT(VLOOKUP(D29,Liste[],8,FALSE),3)&lt;&gt;"S40",RIGHT(VLOOKUP(D29,Liste[],8,FALSE),LEN(VLOOKUP(D29,Liste[],8,FALSE))-3),
0)))),"")</f>
        <v>R60</v>
      </c>
      <c r="I29" s="2"/>
      <c r="J29" s="2"/>
      <c r="K29" s="47"/>
      <c r="L29" s="35"/>
      <c r="M29" s="1"/>
      <c r="X29" s="35"/>
      <c r="AA29" s="2"/>
      <c r="AB29" s="2"/>
      <c r="AC29" s="2"/>
      <c r="AD29" s="2"/>
      <c r="AE29" s="2"/>
      <c r="AF29" s="2"/>
      <c r="AG29" s="2"/>
      <c r="AH29" s="2"/>
      <c r="AI29" s="2"/>
      <c r="AJ29" s="2"/>
    </row>
    <row r="30" spans="1:36" x14ac:dyDescent="0.2">
      <c r="B30" s="46"/>
      <c r="C30" s="49" t="str">
        <f>IF(Nb_Men_Tapée&gt;=2,"Menuiserie Hors Tout :","")</f>
        <v>Menuiserie Hors Tout :</v>
      </c>
      <c r="D30" s="50" t="str">
        <f>IF(Nb_Men_Tapée&gt;=2,"Ht :","")</f>
        <v>Ht :</v>
      </c>
      <c r="E30" s="49">
        <f>IF(Nb_Men_Tapée&gt;=2,VLOOKUP(D29,Liste[],4,FALSE),"")</f>
        <v>2520</v>
      </c>
      <c r="F30" s="51" t="str">
        <f>IF(Nb_Men_Tapée&gt;=2,"x","")</f>
        <v>x</v>
      </c>
      <c r="G30" s="52">
        <f>IF(Nb_Men_Tapée&gt;=2,VLOOKUP(D29,Liste[],5,FALSE),"")</f>
        <v>1410</v>
      </c>
      <c r="H30" s="2"/>
      <c r="I30" s="5" t="str">
        <f>IF(Nb_Men_Tapée&gt;=2,IF(ISBLANK(VLOOKUP(D29,Liste[],9,FALSE)),"","Appui :"),"")</f>
        <v/>
      </c>
      <c r="J30" s="5" t="str">
        <f>IF(Nb_Men_Tapée&gt;=2,IF(ISBLANK(VLOOKUP(D29,Liste[],9,FALSE)),"",VLOOKUP(D29,Liste[],9,FALSE)),"")</f>
        <v/>
      </c>
      <c r="K30" s="47"/>
      <c r="AA30" s="2"/>
      <c r="AB30" s="2"/>
      <c r="AC30" s="2"/>
      <c r="AD30" s="2"/>
      <c r="AE30" s="2"/>
      <c r="AF30" s="2"/>
      <c r="AG30" s="2"/>
      <c r="AH30" s="2"/>
      <c r="AI30" s="2"/>
      <c r="AJ30" s="2"/>
    </row>
    <row r="31" spans="1:36" x14ac:dyDescent="0.2">
      <c r="B31" s="46"/>
      <c r="C31" s="49" t="str">
        <f>IF(Nb_Men_Tapée&gt;=2,"Largeur Entre Tapée :","")</f>
        <v>Largeur Entre Tapée :</v>
      </c>
      <c r="D31" s="2" t="str">
        <f>IF(Nb_Men_Tapée&gt;=2,IF((VLOOKUP(D29,Liste[],13,FALSE))&gt;100,(VLOOKUP(D29,Liste[],13,FALSE)),"")&amp;" mm","")</f>
        <v>1160 mm</v>
      </c>
      <c r="E31" s="53"/>
      <c r="F31" s="48"/>
      <c r="G31" s="53"/>
      <c r="H31" s="2"/>
      <c r="I31" s="5" t="str">
        <f>IF(Nb_Men_Tapée&gt;=2,IF(ISBLANK(VLOOKUP(D29,Liste[],10,FALSE)),"","Seuil Alu :"),"")</f>
        <v>Seuil Alu :</v>
      </c>
      <c r="J31" s="5" t="str">
        <f>IF(Nb_Men_Tapée&gt;=2,IF(ISBLANK(VLOOKUP(D29,Liste[],10,FALSE)),"",VLOOKUP(D29,Liste[],10,FALSE)),"")</f>
        <v>Seuil</v>
      </c>
      <c r="K31" s="47"/>
      <c r="AA31" s="2"/>
      <c r="AB31" s="2"/>
      <c r="AC31" s="2"/>
      <c r="AD31" s="2"/>
      <c r="AE31" s="2"/>
      <c r="AF31" s="2"/>
      <c r="AG31" s="2"/>
      <c r="AH31" s="2"/>
      <c r="AI31" s="2"/>
      <c r="AJ31" s="2"/>
    </row>
    <row r="32" spans="1:36" x14ac:dyDescent="0.2">
      <c r="B32" s="46"/>
      <c r="C32" s="5" t="str">
        <f>IF(Nb_Men_Tapée&gt;=2,"Debit Montant :","")</f>
        <v>Debit Montant :</v>
      </c>
      <c r="D32" s="5"/>
      <c r="E32" s="2"/>
      <c r="F32" s="2"/>
      <c r="G32" s="2"/>
      <c r="H32" s="2"/>
      <c r="I32" s="5"/>
      <c r="J32" s="5"/>
      <c r="K32" s="47"/>
      <c r="AA32" s="2"/>
      <c r="AB32" s="2"/>
      <c r="AC32" s="2"/>
      <c r="AD32" s="2"/>
      <c r="AE32" s="2"/>
      <c r="AF32" s="2"/>
      <c r="AG32" s="2"/>
      <c r="AH32" s="2"/>
      <c r="AI32" s="2"/>
      <c r="AJ32" s="2"/>
    </row>
    <row r="33" spans="1:24" x14ac:dyDescent="0.2">
      <c r="B33" s="46"/>
      <c r="C33" s="5"/>
      <c r="D33" s="6" t="str">
        <f>IF(Nb_Men_Tapée&gt;=2,"Longueur : ","")</f>
        <v xml:space="preserve">Longueur : </v>
      </c>
      <c r="E33" s="54">
        <f>IF(Nb_Men_Tapée&gt;=2,IF(D31=" mm",E30,E30+VLOOKUP(H29,Tableau3[],3,FALSE)),"")</f>
        <v>2380</v>
      </c>
      <c r="F33" s="5"/>
      <c r="G33" s="55" t="str">
        <f>IF(Nb_Men_Tapée&gt;=2,"Qté : ","")</f>
        <v xml:space="preserve">Qté : </v>
      </c>
      <c r="H33" s="54">
        <f>IF(Nb_Men_Tapée&gt;=2,F29*2,"")</f>
        <v>2</v>
      </c>
      <c r="I33" s="2"/>
      <c r="J33" s="2"/>
      <c r="K33" s="47"/>
    </row>
    <row r="34" spans="1:24" x14ac:dyDescent="0.2">
      <c r="B34" s="46"/>
      <c r="C34" s="5"/>
      <c r="D34" s="6" t="str">
        <f>IF(Nb_Men_Tapée&gt;=2,"Largeur délignée : ","")</f>
        <v xml:space="preserve">Largeur délignée : </v>
      </c>
      <c r="E34" s="54">
        <f>IF(Nb_Men_Tapée&gt;=2,IF(D31=" mm","",(G30+VLOOKUP(H29,Tableau3[],3,FALSE)-VLOOKUP(D29,Liste[],13,FALSE))/2),"")</f>
        <v>55</v>
      </c>
      <c r="F34" s="5"/>
      <c r="G34" s="5"/>
      <c r="H34" s="5"/>
      <c r="I34" s="2"/>
      <c r="J34" s="2"/>
      <c r="K34" s="47"/>
    </row>
    <row r="35" spans="1:24" x14ac:dyDescent="0.2">
      <c r="B35" s="46"/>
      <c r="C35" s="5"/>
      <c r="D35" s="6" t="str">
        <f>IF(Nb_Men_Tapée&gt;=2,"Pente basse : ","")</f>
        <v xml:space="preserve">Pente basse : </v>
      </c>
      <c r="E35" s="54">
        <f>IF(Nb_Men_Tapée&gt;=2,IF(Nb_Men_Tapée&gt;=1,IF(D31=" mm","",VLOOKUP(H29,Tableau3[],5,FALSE))),"")</f>
        <v>0</v>
      </c>
      <c r="F35" s="5"/>
      <c r="G35" s="5"/>
      <c r="H35" s="5"/>
      <c r="I35" s="2"/>
      <c r="J35" s="2"/>
      <c r="K35" s="47"/>
    </row>
    <row r="36" spans="1:24" x14ac:dyDescent="0.2">
      <c r="B36" s="46"/>
      <c r="C36" s="5"/>
      <c r="D36" s="6" t="str">
        <f>IF(Nb_Men_Tapée&gt;=2,"Pente haute : ","")</f>
        <v xml:space="preserve">Pente haute : </v>
      </c>
      <c r="E36" s="54">
        <f>IF(Nb_Men_Tapée&gt;=2,IF(Nb_Men_Tapée&gt;=1,IF(D31=" mm","",VLOOKUP(H29,Tableau3[],6,FALSE))),"")</f>
        <v>0</v>
      </c>
      <c r="F36" s="5"/>
      <c r="G36" s="5"/>
      <c r="H36" s="5"/>
      <c r="I36" s="2"/>
      <c r="J36" s="2"/>
      <c r="K36" s="47"/>
    </row>
    <row r="37" spans="1:24" x14ac:dyDescent="0.2">
      <c r="B37" s="46"/>
      <c r="C37" s="5"/>
      <c r="D37" s="6" t="str">
        <f>IF(Nb_Men_Tapée&gt;=2,"Chant : ","")</f>
        <v xml:space="preserve">Chant : </v>
      </c>
      <c r="E37" s="54">
        <f>IF(Nb_Men_Tapée&gt;=2,IF(Nb_Men_Tapée&gt;=1,IF(D31=" mm","",VLOOKUP(H29,Tableau3[],7,FALSE))),"")</f>
        <v>0</v>
      </c>
      <c r="F37" s="5"/>
      <c r="G37" s="5"/>
      <c r="H37" s="5"/>
      <c r="I37" s="2"/>
      <c r="J37" s="2"/>
      <c r="K37" s="47"/>
    </row>
    <row r="38" spans="1:24" x14ac:dyDescent="0.2">
      <c r="B38" s="46"/>
      <c r="C38" s="5"/>
      <c r="D38" s="5"/>
      <c r="E38" s="2"/>
      <c r="F38" s="2"/>
      <c r="G38" s="2"/>
      <c r="H38" s="2"/>
      <c r="I38" s="2"/>
      <c r="J38" s="2"/>
      <c r="K38" s="47"/>
    </row>
    <row r="39" spans="1:24" x14ac:dyDescent="0.2">
      <c r="B39" s="46"/>
      <c r="C39" s="6" t="str">
        <f>IF(Nb_Men_Tapée&gt;=2,"Debit Traverse : ","")</f>
        <v xml:space="preserve">Debit Traverse : </v>
      </c>
      <c r="D39" s="5"/>
      <c r="E39" s="2"/>
      <c r="F39" s="2"/>
      <c r="G39" s="2"/>
      <c r="H39" s="2"/>
      <c r="I39" s="2"/>
      <c r="J39" s="2"/>
      <c r="K39" s="47"/>
    </row>
    <row r="40" spans="1:24" x14ac:dyDescent="0.2">
      <c r="B40" s="46"/>
      <c r="C40" s="5"/>
      <c r="D40" s="6" t="str">
        <f>IF(Nb_Men_Tapée&gt;=2,"Longueur : ","")</f>
        <v xml:space="preserve">Longueur : </v>
      </c>
      <c r="E40" s="56">
        <f>IF(Nb_Men_Tapée&gt;=2,IF(D31=" mm",G30,G30+VLOOKUP(H29,Tableau3[],3,FALSE)-(2*E34)),"")</f>
        <v>1160</v>
      </c>
      <c r="F40" s="2"/>
      <c r="G40" s="57" t="str">
        <f>IF(Nb_Men_Tapée&gt;=2,"Qté : ","")</f>
        <v xml:space="preserve">Qté : </v>
      </c>
      <c r="H40" s="56">
        <f>IF(Nb_Men_Tapée&gt;=2,F29,"")</f>
        <v>1</v>
      </c>
      <c r="I40" s="2"/>
      <c r="J40" s="2"/>
      <c r="K40" s="47"/>
    </row>
    <row r="41" spans="1:24" x14ac:dyDescent="0.2">
      <c r="B41" s="46"/>
      <c r="C41" s="5"/>
      <c r="D41" s="6" t="str">
        <f>IF(Nb_Men_Tapée&gt;=2,"Largeur délignée : ","")</f>
        <v xml:space="preserve">Largeur délignée : </v>
      </c>
      <c r="E41" s="56">
        <f>IF(Nb_Men_Tapée&gt;=2,IF(Nb_Men_Tapée&gt;=1,IF(D31=" mm","",VLOOKUP(H29,Tableau3[],9,FALSE))),"")</f>
        <v>38</v>
      </c>
      <c r="F41" s="2"/>
      <c r="G41" s="2"/>
      <c r="H41" s="2"/>
      <c r="I41" s="2"/>
      <c r="J41" s="2"/>
      <c r="K41" s="47"/>
    </row>
    <row r="42" spans="1:24" x14ac:dyDescent="0.2">
      <c r="B42" s="46"/>
      <c r="C42" s="5"/>
      <c r="D42" s="6" t="str">
        <f>IF(Nb_Men_Tapée&gt;=2,"Chant : ","")</f>
        <v xml:space="preserve">Chant : </v>
      </c>
      <c r="E42" s="56">
        <f>IF(Nb_Men_Tapée&gt;=2,IF(Nb_Men_Tapée&gt;=1,IF(D31=" mm","",VLOOKUP(H29,Tableau3[],10,FALSE))),"")</f>
        <v>0</v>
      </c>
      <c r="F42" s="2"/>
      <c r="G42" s="2"/>
      <c r="H42" s="2"/>
      <c r="I42" s="2"/>
      <c r="J42" s="2"/>
      <c r="K42" s="47"/>
    </row>
    <row r="43" spans="1:24" ht="13.5" thickBot="1" x14ac:dyDescent="0.25">
      <c r="B43" s="58"/>
      <c r="C43" s="59"/>
      <c r="D43" s="59"/>
      <c r="E43" s="60"/>
      <c r="F43" s="60"/>
      <c r="G43" s="60"/>
      <c r="H43" s="60"/>
      <c r="I43" s="60"/>
      <c r="J43" s="60"/>
      <c r="K43" s="61"/>
    </row>
    <row r="44" spans="1:24" ht="13.5" thickTop="1" x14ac:dyDescent="0.2"/>
    <row r="46" spans="1:24" ht="13.5" thickBot="1" x14ac:dyDescent="0.25">
      <c r="D46" s="34"/>
    </row>
    <row r="47" spans="1:24" ht="13.5" thickTop="1" x14ac:dyDescent="0.2">
      <c r="B47" s="42"/>
      <c r="C47" s="43"/>
      <c r="D47" s="43"/>
      <c r="E47" s="44"/>
      <c r="F47" s="44"/>
      <c r="G47" s="44"/>
      <c r="H47" s="44"/>
      <c r="I47" s="44"/>
      <c r="J47" s="44"/>
      <c r="K47" s="45"/>
    </row>
    <row r="48" spans="1:24" x14ac:dyDescent="0.2">
      <c r="A48" s="1"/>
      <c r="B48" s="46"/>
      <c r="C48" s="5" t="str">
        <f>IF(Nb_Men_Tapée&gt;=3,"Repere :","")</f>
        <v>Repere :</v>
      </c>
      <c r="D48" s="5" t="str">
        <f>IF(Nb_Men_Tapée&gt;=2,MID(RechercheMultiples(Lot,Liste[[#All],[Num Lot]],Liste[[#All],[Repere]],","),15,6),"")</f>
        <v>0163-H</v>
      </c>
      <c r="E48" s="48" t="str">
        <f>IF(Nb_Men_Tapée&gt;=3,"Qté : ","")</f>
        <v xml:space="preserve">Qté : </v>
      </c>
      <c r="F48" s="3">
        <f>IF(Nb_Men_Tapée&gt;=3,VLOOKUP(D48,Liste[],7,FALSE),"")</f>
        <v>1</v>
      </c>
      <c r="G48" s="48" t="str">
        <f>IF(Nb_Men_Tapée&gt;=3,"Dormant :","")</f>
        <v>Dormant :</v>
      </c>
      <c r="H48" s="2" t="str">
        <f>IF(Nb_Men_Tapée&gt;=3,IF(RIGHT(VLOOKUP(D48,Liste[],8,FALSE),3)="S20",RIGHT(LEFT(VLOOKUP(D48,Liste[],8,FALSE),SEARCH("S20",VLOOKUP(D48,Liste[],8,FALSE))-1),LEN(LEFT(VLOOKUP(D48,Liste[],8,FALSE),SEARCH("S20",VLOOKUP(D48,Liste[],8,FALSE))-1))-3),
IF(RIGHT(VLOOKUP(D48,Liste[],8,FALSE),3)="S40",RIGHT(LEFT(VLOOKUP(D48,Liste[],8,FALSE),SEARCH("S40",VLOOKUP(D48,Liste[],8,FALSE))-1),LEN(LEFT(VLOOKUP(D48,Liste[],8,FALSE),SEARCH("S40",VLOOKUP(D48,Liste[],8,FALSE))-1))-3),
IF(RIGHT(VLOOKUP(D48,Liste[],8,FALSE),3)&lt;&gt;"S20",RIGHT(VLOOKUP(D48,Liste[],8,FALSE),LEN(VLOOKUP(D48,Liste[],8,FALSE))-3),
IF(RIGHT(VLOOKUP(D48,Liste[],8,FALSE),3)&lt;&gt;"S40",RIGHT(VLOOKUP(D48,Liste[],8,FALSE),LEN(VLOOKUP(D48,Liste[],8,FALSE))-3),
0)))),"")</f>
        <v>R60</v>
      </c>
      <c r="I48" s="2"/>
      <c r="J48" s="2"/>
      <c r="K48" s="47"/>
      <c r="L48" s="35"/>
      <c r="M48" s="1"/>
      <c r="X48" s="35"/>
    </row>
    <row r="49" spans="1:24" x14ac:dyDescent="0.2">
      <c r="B49" s="46"/>
      <c r="C49" s="49" t="str">
        <f>IF(Nb_Men_Tapée&gt;=3,"Menuiserie Hors Tout :","")</f>
        <v>Menuiserie Hors Tout :</v>
      </c>
      <c r="D49" s="50" t="str">
        <f>IF(Nb_Men_Tapée&gt;=3,"Ht :","")</f>
        <v>Ht :</v>
      </c>
      <c r="E49" s="49">
        <f>IF(Nb_Men_Tapée&gt;=3,VLOOKUP(D48,Liste[],4,FALSE),"")</f>
        <v>2310</v>
      </c>
      <c r="F49" s="51" t="str">
        <f>IF(Nb_Men_Tapée&gt;=3,"x","")</f>
        <v>x</v>
      </c>
      <c r="G49" s="52">
        <f>IF(Nb_Men_Tapée&gt;=3,VLOOKUP(D48,Liste[],5,FALSE),"")</f>
        <v>1630</v>
      </c>
      <c r="H49" s="2"/>
      <c r="I49" s="5" t="str">
        <f>IF(Nb_Men_Tapée&gt;=3,IF(ISBLANK(VLOOKUP(D48,Liste[],9,FALSE)),"","Appui :"),"")</f>
        <v/>
      </c>
      <c r="J49" s="5" t="str">
        <f>IF(Nb_Men_Tapée&gt;=3,IF(ISBLANK(VLOOKUP(D48,Liste[],9,FALSE)),"",VLOOKUP(D48,Liste[],9,FALSE)),"")</f>
        <v/>
      </c>
      <c r="K49" s="47"/>
    </row>
    <row r="50" spans="1:24" x14ac:dyDescent="0.2">
      <c r="B50" s="46"/>
      <c r="C50" s="49" t="str">
        <f>IF(Nb_Men_Tapée&gt;=3,"Largeur Entre Tapée :","")</f>
        <v>Largeur Entre Tapée :</v>
      </c>
      <c r="D50" s="2" t="str">
        <f>IF(Nb_Men_Tapée&gt;=3,IF((VLOOKUP(D48,Liste[],13,FALSE))&gt;100,(VLOOKUP(D48,Liste[],13,FALSE)),"")&amp;" mm","")</f>
        <v>1380 mm</v>
      </c>
      <c r="E50" s="53"/>
      <c r="F50" s="48"/>
      <c r="G50" s="53"/>
      <c r="H50" s="2"/>
      <c r="I50" s="5" t="str">
        <f>IF(Nb_Men_Tapée&gt;=3,IF(ISBLANK(VLOOKUP(D48,Liste[],10,FALSE)),"","Seuil Alu :"),"")</f>
        <v>Seuil Alu :</v>
      </c>
      <c r="J50" s="5" t="str">
        <f>IF(Nb_Men_Tapée&gt;=3,IF(ISBLANK(VLOOKUP(D48,Liste[],10,FALSE)),"",VLOOKUP(D48,Liste[],10,FALSE)),"")</f>
        <v>Seuil</v>
      </c>
      <c r="K50" s="47"/>
    </row>
    <row r="51" spans="1:24" x14ac:dyDescent="0.2">
      <c r="B51" s="46"/>
      <c r="C51" s="5" t="str">
        <f>IF(Nb_Men_Tapée&gt;=3,"Debit Montant :","")</f>
        <v>Debit Montant :</v>
      </c>
      <c r="D51" s="5"/>
      <c r="E51" s="2"/>
      <c r="F51" s="2"/>
      <c r="G51" s="2"/>
      <c r="H51" s="2"/>
      <c r="I51" s="2"/>
      <c r="J51" s="2"/>
      <c r="K51" s="47"/>
    </row>
    <row r="52" spans="1:24" x14ac:dyDescent="0.2">
      <c r="B52" s="46"/>
      <c r="C52" s="5"/>
      <c r="D52" s="6" t="str">
        <f>IF(Nb_Men_Tapée&gt;=3,"Longueur : ","")</f>
        <v xml:space="preserve">Longueur : </v>
      </c>
      <c r="E52" s="54">
        <f>IF(Nb_Men_Tapée&gt;=3,IF(D50=" mm",E49,E49+VLOOKUP(H48,Tableau3[],3,FALSE)),"")</f>
        <v>2170</v>
      </c>
      <c r="F52" s="5"/>
      <c r="G52" s="55" t="str">
        <f>IF(Nb_Men_Tapée&gt;=3,"Qté : ","")</f>
        <v xml:space="preserve">Qté : </v>
      </c>
      <c r="H52" s="54">
        <f>IF(Nb_Men_Tapée&gt;=3,F48*2,"")</f>
        <v>2</v>
      </c>
      <c r="I52" s="2"/>
      <c r="J52" s="2"/>
      <c r="K52" s="47"/>
    </row>
    <row r="53" spans="1:24" x14ac:dyDescent="0.2">
      <c r="B53" s="46"/>
      <c r="C53" s="5"/>
      <c r="D53" s="6" t="str">
        <f>IF(Nb_Men_Tapée&gt;=3,"Largeur délignée : ","")</f>
        <v xml:space="preserve">Largeur délignée : </v>
      </c>
      <c r="E53" s="54">
        <f>IF(Nb_Men_Tapée&gt;=3,IF(D50=" mm","",(G49+VLOOKUP(H48,Tableau3[],3,FALSE)-VLOOKUP(D48,Liste[],13,FALSE))/2),"")</f>
        <v>55</v>
      </c>
      <c r="F53" s="5"/>
      <c r="G53" s="5"/>
      <c r="H53" s="5"/>
      <c r="I53" s="2"/>
      <c r="J53" s="2"/>
      <c r="K53" s="47"/>
    </row>
    <row r="54" spans="1:24" x14ac:dyDescent="0.2">
      <c r="B54" s="46"/>
      <c r="C54" s="5"/>
      <c r="D54" s="6" t="str">
        <f>IF(Nb_Men_Tapée&gt;=3,"Pente basse : ","")</f>
        <v xml:space="preserve">Pente basse : </v>
      </c>
      <c r="E54" s="54">
        <f>IF(Nb_Men_Tapée&gt;=3,IF(Nb_Men_Tapée&gt;=1,IF(D50=" mm","",VLOOKUP(H48,Tableau3[],5,FALSE))),"")</f>
        <v>0</v>
      </c>
      <c r="F54" s="5"/>
      <c r="G54" s="5"/>
      <c r="H54" s="5"/>
      <c r="I54" s="2"/>
      <c r="J54" s="2"/>
      <c r="K54" s="47"/>
    </row>
    <row r="55" spans="1:24" x14ac:dyDescent="0.2">
      <c r="B55" s="46"/>
      <c r="C55" s="5"/>
      <c r="D55" s="6" t="str">
        <f>IF(Nb_Men_Tapée&gt;=3,"Pente haute : ","")</f>
        <v xml:space="preserve">Pente haute : </v>
      </c>
      <c r="E55" s="54">
        <f>IF(Nb_Men_Tapée&gt;=3,IF(Nb_Men_Tapée&gt;=1,IF(D50=" mm","",VLOOKUP(H48,Tableau3[],6,FALSE))),"")</f>
        <v>0</v>
      </c>
      <c r="F55" s="5"/>
      <c r="G55" s="5"/>
      <c r="H55" s="5"/>
      <c r="I55" s="2"/>
      <c r="J55" s="2"/>
      <c r="K55" s="47"/>
    </row>
    <row r="56" spans="1:24" x14ac:dyDescent="0.2">
      <c r="B56" s="46"/>
      <c r="C56" s="5"/>
      <c r="D56" s="6" t="str">
        <f>IF(Nb_Men_Tapée&gt;=3,"Chant : ","")</f>
        <v xml:space="preserve">Chant : </v>
      </c>
      <c r="E56" s="54">
        <f>IF(Nb_Men_Tapée&gt;=3,IF(Nb_Men_Tapée&gt;=1,IF(D50=" mm","",VLOOKUP(H48,Tableau3[],7,FALSE))),"")</f>
        <v>0</v>
      </c>
      <c r="F56" s="5"/>
      <c r="G56" s="5"/>
      <c r="H56" s="5"/>
      <c r="I56" s="2"/>
      <c r="J56" s="2"/>
      <c r="K56" s="47"/>
    </row>
    <row r="57" spans="1:24" x14ac:dyDescent="0.2">
      <c r="B57" s="46"/>
      <c r="C57" s="5"/>
      <c r="D57" s="5"/>
      <c r="E57" s="2"/>
      <c r="F57" s="2"/>
      <c r="G57" s="2"/>
      <c r="H57" s="2"/>
      <c r="I57" s="2"/>
      <c r="J57" s="2"/>
      <c r="K57" s="47"/>
    </row>
    <row r="58" spans="1:24" x14ac:dyDescent="0.2">
      <c r="B58" s="46"/>
      <c r="C58" s="6" t="str">
        <f>IF(Nb_Men_Tapée&gt;=3,"Debit Traverse : ","")</f>
        <v xml:space="preserve">Debit Traverse : </v>
      </c>
      <c r="D58" s="5"/>
      <c r="E58" s="2"/>
      <c r="F58" s="2"/>
      <c r="G58" s="2"/>
      <c r="H58" s="2"/>
      <c r="I58" s="2"/>
      <c r="J58" s="2"/>
      <c r="K58" s="47"/>
    </row>
    <row r="59" spans="1:24" x14ac:dyDescent="0.2">
      <c r="B59" s="46"/>
      <c r="C59" s="5"/>
      <c r="D59" s="6" t="str">
        <f>IF(Nb_Men_Tapée&gt;=3,"Longueur : ","")</f>
        <v xml:space="preserve">Longueur : </v>
      </c>
      <c r="E59" s="56">
        <f>IF(Nb_Men_Tapée&gt;=3,IF(D50=" mm",G49,G49+VLOOKUP(H48,Tableau3[],3,FALSE)-(2*E53)),"")</f>
        <v>1380</v>
      </c>
      <c r="F59" s="2"/>
      <c r="G59" s="57" t="str">
        <f>IF(Nb_Men_Tapée&gt;=3,"Qté : ","")</f>
        <v xml:space="preserve">Qté : </v>
      </c>
      <c r="H59" s="56">
        <f>IF(Nb_Men_Tapée&gt;=3,F48,"")</f>
        <v>1</v>
      </c>
      <c r="I59" s="2"/>
      <c r="J59" s="2"/>
      <c r="K59" s="47"/>
    </row>
    <row r="60" spans="1:24" x14ac:dyDescent="0.2">
      <c r="B60" s="46"/>
      <c r="C60" s="5"/>
      <c r="D60" s="6" t="str">
        <f>IF(Nb_Men_Tapée&gt;=3,"Largeur délignée : ","")</f>
        <v xml:space="preserve">Largeur délignée : </v>
      </c>
      <c r="E60" s="56">
        <f>IF(Nb_Men_Tapée&gt;=3,IF(Nb_Men_Tapée&gt;=1,IF(D50=" mm","",VLOOKUP(H48,Tableau3[],9,FALSE))),"")</f>
        <v>38</v>
      </c>
      <c r="F60" s="2"/>
      <c r="G60" s="2"/>
      <c r="H60" s="2"/>
      <c r="I60" s="2"/>
      <c r="J60" s="2"/>
      <c r="K60" s="47"/>
    </row>
    <row r="61" spans="1:24" ht="13.5" thickBot="1" x14ac:dyDescent="0.25">
      <c r="B61" s="58"/>
      <c r="C61" s="59"/>
      <c r="D61" s="62" t="str">
        <f>IF(Nb_Men_Tapée&gt;=3,"Chant : ","")</f>
        <v xml:space="preserve">Chant : </v>
      </c>
      <c r="E61" s="63">
        <f>IF(Nb_Men_Tapée&gt;=3,IF(Nb_Men_Tapée&gt;=1,IF(D50=" mm","",VLOOKUP(H48,Tableau3[],10,FALSE))),"")</f>
        <v>0</v>
      </c>
      <c r="F61" s="60"/>
      <c r="G61" s="60"/>
      <c r="H61" s="60"/>
      <c r="I61" s="60"/>
      <c r="J61" s="60"/>
      <c r="K61" s="61"/>
    </row>
    <row r="62" spans="1:24" ht="13.5" thickTop="1" x14ac:dyDescent="0.2">
      <c r="A62" s="5"/>
      <c r="G62" s="5"/>
      <c r="H62" s="5"/>
      <c r="I62" s="5"/>
      <c r="J62" s="5"/>
      <c r="L62" s="5"/>
      <c r="M62" s="5"/>
      <c r="X62" s="5"/>
    </row>
    <row r="63" spans="1:24" x14ac:dyDescent="0.2">
      <c r="A63" s="5"/>
      <c r="G63" s="5"/>
      <c r="H63" s="5"/>
      <c r="I63" s="5"/>
      <c r="J63" s="5"/>
      <c r="L63" s="5"/>
      <c r="M63" s="5"/>
      <c r="X63" s="5"/>
    </row>
  </sheetData>
  <phoneticPr fontId="0" type="noConversion"/>
  <conditionalFormatting sqref="C10:C13 D14:D18 C20 D21:D23">
    <cfRule type="expression" dxfId="2" priority="17">
      <formula>IF(Nb_Men_Tapée&gt;=1,1,0)</formula>
    </cfRule>
  </conditionalFormatting>
  <conditionalFormatting sqref="C29:C32 D33:D37 C39 D40:D42">
    <cfRule type="expression" dxfId="1" priority="4">
      <formula>IF(Nb_Men_Tapée&gt;=2,1,0)</formula>
    </cfRule>
  </conditionalFormatting>
  <conditionalFormatting sqref="O10:O13 P14:P18 O20 P21:P23">
    <cfRule type="expression" dxfId="0" priority="3">
      <formula>IF(Nb_Men_Tapée&gt;=4,1,0)</formula>
    </cfRule>
  </conditionalFormatting>
  <pageMargins left="0.27559055118110237" right="0.27559055118110237" top="0.39370078740157483" bottom="0.39370078740157483" header="0.31496062992125984" footer="0.31496062992125984"/>
  <pageSetup paperSize="9" orientation="portrait" horizontalDpi="1200" verticalDpi="1200" r:id="rId1"/>
  <headerFooter scaleWithDoc="0"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'Num Lot'!$A$1:$A$8</xm:f>
          </x14:formula1>
          <xm:sqref>D6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5"/>
  <sheetViews>
    <sheetView workbookViewId="0">
      <selection activeCell="B21" sqref="B21"/>
    </sheetView>
  </sheetViews>
  <sheetFormatPr baseColWidth="10" defaultRowHeight="12.75" x14ac:dyDescent="0.2"/>
  <cols>
    <col min="1" max="1" width="41.140625" style="1" customWidth="1"/>
    <col min="2" max="2" width="11" customWidth="1"/>
    <col min="3" max="3" width="16.85546875" customWidth="1"/>
    <col min="5" max="5" width="11" customWidth="1"/>
    <col min="6" max="6" width="6.140625" customWidth="1"/>
    <col min="7" max="7" width="11.5703125" customWidth="1"/>
    <col min="8" max="8" width="15.140625" customWidth="1"/>
    <col min="9" max="9" width="6.140625" customWidth="1"/>
    <col min="10" max="10" width="4.42578125" customWidth="1"/>
    <col min="11" max="11" width="27.85546875" customWidth="1"/>
  </cols>
  <sheetData>
    <row r="1" spans="1:12" ht="13.5" thickBot="1" x14ac:dyDescent="0.25">
      <c r="A1" s="7"/>
      <c r="B1" s="12" t="s">
        <v>0</v>
      </c>
      <c r="C1" s="13"/>
      <c r="D1" s="13"/>
      <c r="E1" s="13"/>
      <c r="F1" s="14"/>
      <c r="G1" s="12" t="s">
        <v>1</v>
      </c>
      <c r="H1" s="13"/>
      <c r="I1" s="13"/>
      <c r="J1" s="13"/>
      <c r="K1" s="14"/>
    </row>
    <row r="2" spans="1:12" x14ac:dyDescent="0.2">
      <c r="A2" s="8"/>
      <c r="B2" s="15" t="s">
        <v>2</v>
      </c>
      <c r="C2" s="15" t="s">
        <v>3</v>
      </c>
      <c r="D2" s="15" t="s">
        <v>4</v>
      </c>
      <c r="E2" s="15" t="s">
        <v>5</v>
      </c>
      <c r="F2" s="18" t="s">
        <v>12</v>
      </c>
      <c r="G2" s="15" t="s">
        <v>2</v>
      </c>
      <c r="H2" s="15" t="s">
        <v>3</v>
      </c>
      <c r="I2" s="15" t="s">
        <v>12</v>
      </c>
      <c r="J2" s="2"/>
      <c r="K2" s="9"/>
    </row>
    <row r="3" spans="1:12" x14ac:dyDescent="0.2">
      <c r="A3" s="8">
        <v>5008</v>
      </c>
      <c r="B3" s="16" t="e">
        <f>Feuil1!#REF!-62</f>
        <v>#REF!</v>
      </c>
      <c r="C3" s="16" t="e">
        <f>(Feuil1!#REF!-Feuil1!#REF!-62)/2</f>
        <v>#REF!</v>
      </c>
      <c r="D3" s="16"/>
      <c r="E3" s="16"/>
      <c r="F3" s="16"/>
      <c r="G3" s="16" t="e">
        <f>Feuil1!#REF!</f>
        <v>#REF!</v>
      </c>
      <c r="H3" s="16">
        <v>38</v>
      </c>
      <c r="I3" s="16"/>
      <c r="J3" s="2" t="s">
        <v>10</v>
      </c>
      <c r="K3" s="9" t="s">
        <v>10</v>
      </c>
    </row>
    <row r="4" spans="1:12" x14ac:dyDescent="0.2">
      <c r="A4" s="8">
        <v>5009</v>
      </c>
      <c r="B4" s="16" t="e">
        <f>Feuil1!#REF!-94</f>
        <v>#REF!</v>
      </c>
      <c r="C4" s="16" t="e">
        <f>(Feuil1!#REF!-Feuil1!#REF!-94)/2</f>
        <v>#REF!</v>
      </c>
      <c r="D4" s="16"/>
      <c r="E4" s="16"/>
      <c r="F4" s="16"/>
      <c r="G4" s="16" t="e">
        <f>Feuil1!#REF!</f>
        <v>#REF!</v>
      </c>
      <c r="H4" s="16">
        <v>38</v>
      </c>
      <c r="I4" s="16"/>
      <c r="J4" s="2" t="s">
        <v>10</v>
      </c>
      <c r="K4" s="9" t="s">
        <v>10</v>
      </c>
    </row>
    <row r="5" spans="1:12" x14ac:dyDescent="0.2">
      <c r="A5" s="8" t="s">
        <v>22</v>
      </c>
      <c r="B5" s="16" t="e">
        <f>Feuil1!#REF!-18</f>
        <v>#REF!</v>
      </c>
      <c r="C5" s="16" t="e">
        <f>(Feuil1!#REF!-Feuil1!#REF!)/2</f>
        <v>#REF!</v>
      </c>
      <c r="D5" s="16" t="s">
        <v>6</v>
      </c>
      <c r="E5" s="16"/>
      <c r="F5" s="16"/>
      <c r="G5" s="16" t="e">
        <f>Feuil1!#REF!</f>
        <v>#REF!</v>
      </c>
      <c r="H5" s="16">
        <v>58</v>
      </c>
      <c r="I5" s="16"/>
      <c r="J5" s="2" t="s">
        <v>10</v>
      </c>
      <c r="K5" s="9" t="s">
        <v>10</v>
      </c>
    </row>
    <row r="6" spans="1:12" x14ac:dyDescent="0.2">
      <c r="A6" s="8" t="s">
        <v>23</v>
      </c>
      <c r="B6" s="16" t="e">
        <f>Feuil1!#REF!-74</f>
        <v>#REF!</v>
      </c>
      <c r="C6" s="16" t="e">
        <f>(Feuil1!#REF!-Feuil1!#REF!)/2</f>
        <v>#REF!</v>
      </c>
      <c r="D6" s="16" t="s">
        <v>6</v>
      </c>
      <c r="E6" s="16"/>
      <c r="F6" s="16"/>
      <c r="G6" s="16" t="e">
        <f>Feuil1!#REF!</f>
        <v>#REF!</v>
      </c>
      <c r="H6" s="16" t="e">
        <f>Feuil1!#REF!+58</f>
        <v>#REF!</v>
      </c>
      <c r="I6" s="16"/>
      <c r="J6" s="2" t="s">
        <v>10</v>
      </c>
      <c r="K6" s="9" t="s">
        <v>11</v>
      </c>
    </row>
    <row r="7" spans="1:12" x14ac:dyDescent="0.2">
      <c r="A7" s="8" t="s">
        <v>24</v>
      </c>
      <c r="B7" s="16" t="e">
        <f>Feuil1!#REF!-74</f>
        <v>#REF!</v>
      </c>
      <c r="C7" s="16" t="e">
        <f>(Feuil1!#REF!-Feuil1!#REF!)/2</f>
        <v>#REF!</v>
      </c>
      <c r="D7" s="16" t="s">
        <v>6</v>
      </c>
      <c r="E7" s="16"/>
      <c r="F7" s="16"/>
      <c r="G7" s="16" t="e">
        <f>Feuil1!#REF!</f>
        <v>#REF!</v>
      </c>
      <c r="H7" s="16">
        <v>165</v>
      </c>
      <c r="I7" s="16"/>
      <c r="J7" s="2" t="s">
        <v>10</v>
      </c>
      <c r="K7" s="9" t="s">
        <v>13</v>
      </c>
    </row>
    <row r="8" spans="1:12" x14ac:dyDescent="0.2">
      <c r="A8" s="8" t="s">
        <v>25</v>
      </c>
      <c r="B8" s="16" t="e">
        <f>Feuil1!#REF!+10</f>
        <v>#REF!</v>
      </c>
      <c r="C8" s="16" t="e">
        <f>(Feuil1!#REF!-Feuil1!#REF!)/2</f>
        <v>#REF!</v>
      </c>
      <c r="D8" s="16" t="s">
        <v>10</v>
      </c>
      <c r="E8" s="16" t="s">
        <v>10</v>
      </c>
      <c r="F8" s="16" t="s">
        <v>10</v>
      </c>
      <c r="G8" s="16" t="e">
        <f>Feuil1!#REF!</f>
        <v>#REF!</v>
      </c>
      <c r="H8" s="16">
        <v>58</v>
      </c>
      <c r="I8" s="16" t="s">
        <v>10</v>
      </c>
      <c r="J8" s="2"/>
      <c r="K8" s="9" t="s">
        <v>10</v>
      </c>
    </row>
    <row r="9" spans="1:12" x14ac:dyDescent="0.2">
      <c r="A9" s="8" t="s">
        <v>26</v>
      </c>
      <c r="B9" s="16" t="e">
        <f>Feuil1!#REF!</f>
        <v>#REF!</v>
      </c>
      <c r="C9" s="16" t="e">
        <f>(Feuil1!#REF!-Feuil1!#REF!)/2</f>
        <v>#REF!</v>
      </c>
      <c r="D9" s="16"/>
      <c r="E9" s="16" t="s">
        <v>10</v>
      </c>
      <c r="F9" s="16" t="s">
        <v>10</v>
      </c>
      <c r="G9" s="16" t="e">
        <f>Feuil1!#REF!</f>
        <v>#REF!</v>
      </c>
      <c r="H9" s="16">
        <v>58</v>
      </c>
      <c r="I9" s="16"/>
      <c r="J9" s="2" t="s">
        <v>10</v>
      </c>
      <c r="K9" s="9" t="s">
        <v>10</v>
      </c>
    </row>
    <row r="10" spans="1:12" x14ac:dyDescent="0.2">
      <c r="A10" s="8" t="s">
        <v>27</v>
      </c>
      <c r="B10" s="16" t="e">
        <f>Feuil1!#REF!</f>
        <v>#REF!</v>
      </c>
      <c r="C10" s="16" t="e">
        <f>(Feuil1!#REF!-Feuil1!#REF!)/2</f>
        <v>#REF!</v>
      </c>
      <c r="D10" s="16"/>
      <c r="E10" s="16"/>
      <c r="F10" s="16"/>
      <c r="G10" s="16" t="e">
        <f>Feuil1!#REF!</f>
        <v>#REF!</v>
      </c>
      <c r="H10" s="16">
        <v>58</v>
      </c>
      <c r="I10" s="16"/>
      <c r="J10" s="2" t="s">
        <v>10</v>
      </c>
      <c r="K10" s="9" t="s">
        <v>10</v>
      </c>
    </row>
    <row r="11" spans="1:12" x14ac:dyDescent="0.2">
      <c r="A11" s="8" t="s">
        <v>15</v>
      </c>
      <c r="B11" s="16" t="e">
        <f>Feuil1!#REF!-8</f>
        <v>#REF!</v>
      </c>
      <c r="C11" s="16" t="e">
        <f>(Feuil1!#REF!-10 -Feuil1!#REF!)/2</f>
        <v>#REF!</v>
      </c>
      <c r="D11" s="16" t="s">
        <v>14</v>
      </c>
      <c r="E11" s="16"/>
      <c r="F11" s="16"/>
      <c r="G11" s="16" t="e">
        <f>Feuil1!#REF!</f>
        <v>#REF!</v>
      </c>
      <c r="H11" s="16">
        <v>38</v>
      </c>
      <c r="I11" s="16"/>
      <c r="J11" s="2"/>
      <c r="K11" s="9"/>
    </row>
    <row r="12" spans="1:12" x14ac:dyDescent="0.2">
      <c r="A12" s="8" t="s">
        <v>28</v>
      </c>
      <c r="B12" s="16" t="e">
        <f>Feuil1!#REF!-31</f>
        <v>#REF!</v>
      </c>
      <c r="C12" s="16" t="e">
        <f>(Feuil1!#REF!-Feuil1!#REF!-62)/2</f>
        <v>#REF!</v>
      </c>
      <c r="D12" s="16"/>
      <c r="E12" s="16"/>
      <c r="F12" s="16"/>
      <c r="G12" s="16" t="e">
        <f>Feuil1!#REF!</f>
        <v>#REF!</v>
      </c>
      <c r="H12" s="16">
        <v>38</v>
      </c>
      <c r="I12" s="16"/>
      <c r="J12" s="2" t="s">
        <v>10</v>
      </c>
      <c r="K12" s="9" t="s">
        <v>10</v>
      </c>
    </row>
    <row r="13" spans="1:12" x14ac:dyDescent="0.2">
      <c r="A13" s="8" t="s">
        <v>16</v>
      </c>
      <c r="B13" s="16" t="e">
        <f>Feuil1!#REF!-47</f>
        <v>#REF!</v>
      </c>
      <c r="C13" s="16" t="e">
        <f>(Feuil1!#REF!-Feuil1!#REF!-94)/2</f>
        <v>#REF!</v>
      </c>
      <c r="D13" s="16"/>
      <c r="E13" s="16"/>
      <c r="F13" s="16"/>
      <c r="G13" s="16" t="e">
        <f>Feuil1!#REF!</f>
        <v>#REF!</v>
      </c>
      <c r="H13" s="16">
        <v>38</v>
      </c>
      <c r="I13" s="16"/>
      <c r="J13" s="2" t="s">
        <v>10</v>
      </c>
      <c r="K13" s="9" t="s">
        <v>10</v>
      </c>
    </row>
    <row r="14" spans="1:12" x14ac:dyDescent="0.2">
      <c r="A14" s="8" t="s">
        <v>17</v>
      </c>
      <c r="B14" s="16" t="e">
        <f>Feuil1!#REF!-47</f>
        <v>#REF!</v>
      </c>
      <c r="C14" s="16" t="e">
        <f>(Feuil1!#REF!-Feuil1!#REF!-34)/2</f>
        <v>#REF!</v>
      </c>
      <c r="D14" s="16" t="s">
        <v>7</v>
      </c>
      <c r="E14" s="16"/>
      <c r="F14" s="16"/>
      <c r="G14" s="16" t="e">
        <f>Feuil1!#REF!</f>
        <v>#REF!</v>
      </c>
      <c r="H14" s="16">
        <v>48</v>
      </c>
      <c r="I14" s="16"/>
      <c r="J14" s="2" t="s">
        <v>10</v>
      </c>
      <c r="K14" s="9" t="s">
        <v>10</v>
      </c>
    </row>
    <row r="15" spans="1:12" x14ac:dyDescent="0.2">
      <c r="A15" s="8" t="s">
        <v>18</v>
      </c>
      <c r="B15" s="16" t="e">
        <f>Feuil1!#REF!-95</f>
        <v>#REF!</v>
      </c>
      <c r="C15" s="16" t="e">
        <f>(Feuil1!#REF!-Feuil1!#REF!-34)/2</f>
        <v>#REF!</v>
      </c>
      <c r="D15" s="16" t="s">
        <v>7</v>
      </c>
      <c r="E15" s="16"/>
      <c r="F15" s="16"/>
      <c r="G15" s="16" t="e">
        <f>Feuil1!#REF!-34</f>
        <v>#REF!</v>
      </c>
      <c r="H15" s="16" t="e">
        <f>Feuil1!#REF!+53</f>
        <v>#REF!</v>
      </c>
      <c r="I15" s="16"/>
      <c r="J15" s="2"/>
      <c r="K15" s="9" t="s">
        <v>11</v>
      </c>
    </row>
    <row r="16" spans="1:12" x14ac:dyDescent="0.2">
      <c r="A16" s="8" t="s">
        <v>19</v>
      </c>
      <c r="B16" s="16" t="e">
        <f>Feuil1!#REF!-95</f>
        <v>#REF!</v>
      </c>
      <c r="C16" s="16" t="e">
        <f>(Feuil1!#REF!-Feuil1!#REF!-34)/2</f>
        <v>#REF!</v>
      </c>
      <c r="D16" s="16" t="s">
        <v>7</v>
      </c>
      <c r="E16" s="16"/>
      <c r="F16" s="16"/>
      <c r="G16" s="16" t="e">
        <f>Feuil1!#REF!-34</f>
        <v>#REF!</v>
      </c>
      <c r="H16" s="16">
        <v>165</v>
      </c>
      <c r="I16" s="16"/>
      <c r="J16" s="2" t="s">
        <v>10</v>
      </c>
      <c r="K16" s="9" t="s">
        <v>13</v>
      </c>
      <c r="L16" t="s">
        <v>10</v>
      </c>
    </row>
    <row r="17" spans="1:11" x14ac:dyDescent="0.2">
      <c r="A17" s="8" t="s">
        <v>20</v>
      </c>
      <c r="B17" s="16" t="e">
        <f>Feuil1!#REF!-17</f>
        <v>#REF!</v>
      </c>
      <c r="C17" s="16" t="e">
        <f>(Feuil1!#REF!-Feuil1!#REF!-34)/2</f>
        <v>#REF!</v>
      </c>
      <c r="D17" s="16"/>
      <c r="E17" s="16"/>
      <c r="F17" s="16"/>
      <c r="G17" s="16" t="e">
        <f>Feuil1!#REF!</f>
        <v>#REF!</v>
      </c>
      <c r="H17" s="16">
        <v>48</v>
      </c>
      <c r="I17" s="16"/>
      <c r="J17" s="2" t="s">
        <v>10</v>
      </c>
      <c r="K17" s="9" t="s">
        <v>10</v>
      </c>
    </row>
    <row r="18" spans="1:11" x14ac:dyDescent="0.2">
      <c r="A18" s="8" t="s">
        <v>21</v>
      </c>
      <c r="B18" s="16" t="e">
        <f>Feuil1!#REF!-34</f>
        <v>#REF!</v>
      </c>
      <c r="C18" s="16" t="e">
        <f>(Feuil1!#REF!-Feuil1!#REF!-34)/2</f>
        <v>#REF!</v>
      </c>
      <c r="D18" s="16"/>
      <c r="E18" s="16"/>
      <c r="F18" s="16"/>
      <c r="G18" s="16" t="e">
        <f>Feuil1!#REF!</f>
        <v>#REF!</v>
      </c>
      <c r="H18" s="16">
        <v>48</v>
      </c>
      <c r="I18" s="16"/>
      <c r="J18" s="2" t="s">
        <v>10</v>
      </c>
      <c r="K18" s="9" t="s">
        <v>10</v>
      </c>
    </row>
    <row r="19" spans="1:11" x14ac:dyDescent="0.2">
      <c r="A19" s="8" t="s">
        <v>9</v>
      </c>
      <c r="B19" s="16" t="e">
        <f>Feuil1!#REF!-60</f>
        <v>#REF!</v>
      </c>
      <c r="C19" s="16" t="e">
        <f>(Feuil1!#REF!-60-Feuil1!#REF!)/2</f>
        <v>#REF!</v>
      </c>
      <c r="D19" s="16" t="s">
        <v>7</v>
      </c>
      <c r="E19" s="16" t="s">
        <v>7</v>
      </c>
      <c r="F19" s="16" t="s">
        <v>7</v>
      </c>
      <c r="G19" s="16" t="e">
        <f>Feuil1!#REF!</f>
        <v>#REF!</v>
      </c>
      <c r="H19" s="16">
        <v>38</v>
      </c>
      <c r="I19" s="16" t="s">
        <v>7</v>
      </c>
      <c r="J19" s="2"/>
      <c r="K19" s="9" t="s">
        <v>10</v>
      </c>
    </row>
    <row r="20" spans="1:11" x14ac:dyDescent="0.2">
      <c r="A20" s="8" t="s">
        <v>8</v>
      </c>
      <c r="B20" s="16" t="e">
        <f>Feuil1!#REF!-39</f>
        <v>#REF!</v>
      </c>
      <c r="C20" s="16" t="e">
        <f>(Feuil1!#REF!-60-Feuil1!#REF!)/2</f>
        <v>#REF!</v>
      </c>
      <c r="D20" s="16"/>
      <c r="E20" s="16" t="s">
        <v>7</v>
      </c>
      <c r="F20" s="16" t="s">
        <v>7</v>
      </c>
      <c r="G20" s="16" t="e">
        <f>Feuil1!#REF!</f>
        <v>#REF!</v>
      </c>
      <c r="H20" s="16">
        <v>38</v>
      </c>
      <c r="I20" s="16" t="s">
        <v>7</v>
      </c>
      <c r="J20" s="2"/>
      <c r="K20" s="9" t="s">
        <v>10</v>
      </c>
    </row>
    <row r="21" spans="1:11" x14ac:dyDescent="0.2">
      <c r="A21" s="8">
        <v>5006</v>
      </c>
      <c r="B21" s="16" t="e">
        <f>Feuil1!#REF!-140</f>
        <v>#REF!</v>
      </c>
      <c r="C21" s="16" t="e">
        <f>(Feuil1!#REF!-Feuil1!#REF!-140)/2</f>
        <v>#REF!</v>
      </c>
      <c r="D21" s="16"/>
      <c r="E21" s="16"/>
      <c r="F21" s="16"/>
      <c r="G21" s="16" t="e">
        <f>Feuil1!#REF!</f>
        <v>#REF!</v>
      </c>
      <c r="H21" s="16">
        <v>38</v>
      </c>
      <c r="I21" s="16"/>
      <c r="J21" s="2" t="s">
        <v>10</v>
      </c>
      <c r="K21" s="9" t="s">
        <v>10</v>
      </c>
    </row>
    <row r="22" spans="1:11" x14ac:dyDescent="0.2">
      <c r="A22" s="19"/>
      <c r="B22" s="16"/>
      <c r="C22" s="16"/>
      <c r="D22" s="16"/>
      <c r="E22" s="16"/>
      <c r="F22" s="16"/>
      <c r="G22" s="16"/>
      <c r="H22" s="16"/>
      <c r="I22" s="16"/>
      <c r="J22" s="2"/>
      <c r="K22" s="9"/>
    </row>
    <row r="23" spans="1:11" x14ac:dyDescent="0.2">
      <c r="A23" s="19"/>
      <c r="B23" s="16"/>
      <c r="C23" s="16"/>
      <c r="D23" s="20"/>
      <c r="E23" s="20"/>
      <c r="F23" s="16"/>
      <c r="G23" s="16"/>
      <c r="H23" s="16"/>
      <c r="I23" s="16"/>
      <c r="J23" s="2"/>
      <c r="K23" s="9"/>
    </row>
    <row r="24" spans="1:11" x14ac:dyDescent="0.2">
      <c r="A24" s="19"/>
      <c r="B24" s="16"/>
      <c r="C24" s="16"/>
      <c r="D24" s="20"/>
      <c r="E24" s="20"/>
      <c r="F24" s="16"/>
      <c r="G24" s="16"/>
      <c r="H24" s="16"/>
      <c r="I24" s="16"/>
      <c r="J24" s="2"/>
      <c r="K24" s="9"/>
    </row>
    <row r="25" spans="1:11" x14ac:dyDescent="0.2">
      <c r="A25" s="19"/>
      <c r="B25" s="16"/>
      <c r="C25" s="16"/>
      <c r="D25" s="20"/>
      <c r="E25" s="20"/>
      <c r="F25" s="16"/>
      <c r="G25" s="16"/>
      <c r="H25" s="16"/>
      <c r="I25" s="16"/>
      <c r="J25" s="2"/>
      <c r="K25" s="9"/>
    </row>
    <row r="26" spans="1:11" x14ac:dyDescent="0.2">
      <c r="A26" s="8"/>
      <c r="B26" s="16"/>
      <c r="C26" s="16"/>
      <c r="D26" s="16"/>
      <c r="E26" s="16"/>
      <c r="F26" s="16"/>
      <c r="G26" s="16"/>
      <c r="H26" s="16"/>
      <c r="I26" s="16"/>
      <c r="J26" s="2" t="s">
        <v>10</v>
      </c>
      <c r="K26" s="9" t="s">
        <v>10</v>
      </c>
    </row>
    <row r="27" spans="1:11" x14ac:dyDescent="0.2">
      <c r="A27" s="8"/>
      <c r="B27" s="16"/>
      <c r="C27" s="16"/>
      <c r="D27" s="16"/>
      <c r="E27" s="16"/>
      <c r="F27" s="16"/>
      <c r="G27" s="16"/>
      <c r="H27" s="16"/>
      <c r="I27" s="16"/>
      <c r="J27" s="2" t="s">
        <v>10</v>
      </c>
      <c r="K27" s="9" t="s">
        <v>10</v>
      </c>
    </row>
    <row r="28" spans="1:11" x14ac:dyDescent="0.2">
      <c r="A28" s="8"/>
      <c r="B28" s="16"/>
      <c r="C28" s="16"/>
      <c r="D28" s="16"/>
      <c r="E28" s="16"/>
      <c r="F28" s="16"/>
      <c r="G28" s="16"/>
      <c r="H28" s="16"/>
      <c r="I28" s="16"/>
      <c r="J28" s="2" t="s">
        <v>10</v>
      </c>
      <c r="K28" s="9" t="s">
        <v>10</v>
      </c>
    </row>
    <row r="29" spans="1:11" x14ac:dyDescent="0.2">
      <c r="A29" s="8"/>
      <c r="B29" s="16"/>
      <c r="C29" s="16"/>
      <c r="D29" s="16"/>
      <c r="E29" s="16"/>
      <c r="F29" s="16"/>
      <c r="G29" s="16"/>
      <c r="H29" s="16"/>
      <c r="I29" s="16"/>
      <c r="J29" s="2" t="s">
        <v>10</v>
      </c>
      <c r="K29" s="9" t="s">
        <v>10</v>
      </c>
    </row>
    <row r="30" spans="1:11" x14ac:dyDescent="0.2">
      <c r="A30" s="8"/>
      <c r="B30" s="16"/>
      <c r="C30" s="16"/>
      <c r="D30" s="16"/>
      <c r="E30" s="16"/>
      <c r="F30" s="16"/>
      <c r="G30" s="16"/>
      <c r="H30" s="16"/>
      <c r="I30" s="16"/>
      <c r="J30" s="2" t="s">
        <v>10</v>
      </c>
      <c r="K30" s="9" t="s">
        <v>10</v>
      </c>
    </row>
    <row r="31" spans="1:11" x14ac:dyDescent="0.2">
      <c r="A31" s="8"/>
      <c r="B31" s="16"/>
      <c r="C31" s="16"/>
      <c r="D31" s="16"/>
      <c r="E31" s="16"/>
      <c r="F31" s="16"/>
      <c r="G31" s="16"/>
      <c r="H31" s="16"/>
      <c r="I31" s="16"/>
      <c r="J31" s="2" t="s">
        <v>10</v>
      </c>
      <c r="K31" s="9" t="s">
        <v>10</v>
      </c>
    </row>
    <row r="32" spans="1:11" x14ac:dyDescent="0.2">
      <c r="A32" s="8"/>
      <c r="B32" s="16"/>
      <c r="C32" s="16"/>
      <c r="D32" s="16"/>
      <c r="E32" s="16"/>
      <c r="F32" s="16"/>
      <c r="G32" s="16"/>
      <c r="H32" s="16"/>
      <c r="I32" s="16"/>
      <c r="J32" s="2" t="s">
        <v>10</v>
      </c>
      <c r="K32" s="9" t="s">
        <v>10</v>
      </c>
    </row>
    <row r="33" spans="1:11" x14ac:dyDescent="0.2">
      <c r="A33" s="8"/>
      <c r="B33" s="16"/>
      <c r="C33" s="16"/>
      <c r="D33" s="16"/>
      <c r="E33" s="16"/>
      <c r="F33" s="16"/>
      <c r="G33" s="16"/>
      <c r="H33" s="16"/>
      <c r="I33" s="16"/>
      <c r="J33" s="2" t="s">
        <v>10</v>
      </c>
      <c r="K33" s="9" t="s">
        <v>10</v>
      </c>
    </row>
    <row r="34" spans="1:11" x14ac:dyDescent="0.2">
      <c r="A34" s="8"/>
      <c r="B34" s="16"/>
      <c r="C34" s="16"/>
      <c r="D34" s="16"/>
      <c r="E34" s="16"/>
      <c r="F34" s="16"/>
      <c r="G34" s="16"/>
      <c r="H34" s="16"/>
      <c r="I34" s="16"/>
      <c r="J34" s="2" t="s">
        <v>10</v>
      </c>
      <c r="K34" s="9" t="s">
        <v>10</v>
      </c>
    </row>
    <row r="35" spans="1:11" ht="13.5" thickBot="1" x14ac:dyDescent="0.25">
      <c r="A35" s="10"/>
      <c r="B35" s="17"/>
      <c r="C35" s="17"/>
      <c r="D35" s="17"/>
      <c r="E35" s="17"/>
      <c r="F35" s="17"/>
      <c r="G35" s="17"/>
      <c r="H35" s="17"/>
      <c r="I35" s="17"/>
      <c r="J35" s="4" t="s">
        <v>10</v>
      </c>
      <c r="K35" s="11" t="s">
        <v>10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7BA0D10-CF74-419E-9F8D-A0DC990D82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Debit</vt:lpstr>
      <vt:lpstr>Num Lot</vt:lpstr>
      <vt:lpstr>Tab Données</vt:lpstr>
      <vt:lpstr>Feuil1</vt:lpstr>
      <vt:lpstr>Feuil2</vt:lpstr>
      <vt:lpstr>Feuil1!Impression_des_titres</vt:lpstr>
      <vt:lpstr>Lot</vt:lpstr>
      <vt:lpstr>Nb_Men_Tapée</vt:lpstr>
      <vt:lpstr>Num_Lot</vt:lpstr>
      <vt:lpstr>Tableau</vt:lpstr>
    </vt:vector>
  </TitlesOfParts>
  <Company>PIC Menuiserie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RAMOS</dc:creator>
  <cp:lastModifiedBy>LECOSSIER Jerome</cp:lastModifiedBy>
  <cp:lastPrinted>2017-02-20T13:19:08Z</cp:lastPrinted>
  <dcterms:created xsi:type="dcterms:W3CDTF">2004-12-14T12:54:41Z</dcterms:created>
  <dcterms:modified xsi:type="dcterms:W3CDTF">2017-02-21T10:05:30Z</dcterms:modified>
</cp:coreProperties>
</file>