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17970" windowHeight="6480"/>
  </bookViews>
  <sheets>
    <sheet name="PRODUIT" sheetId="1" r:id="rId1"/>
    <sheet name="FACTURE" sheetId="2" r:id="rId2"/>
    <sheet name="DETAILS" sheetId="12" r:id="rId3"/>
  </sheets>
  <functionGroups builtInGroupCount="18"/>
  <definedNames>
    <definedName name="BDD_DESIGNATION">OFFSET(PRODUIT!$B$2,,,COUNTA(PRODUIT!$B:$B)-1)</definedName>
    <definedName name="BDD_LISTE">OFFSET(PRODUIT!$B$2:$H$2,,,COUNTA(PRODUIT!$A:$A)-1)</definedName>
    <definedName name="BDD_LISTE_EQUI">OFFSET(PRODUIT!$O$2,,,COUNTA(PRODUIT!$O:$O)-1)</definedName>
    <definedName name="BDD_LISTE_REF">OFFSET(PRODUIT!$C$2:$F$2,,,COUNTA(PRODUIT!$C:$C)-1)</definedName>
    <definedName name="BDD_MAIN_D_ŒUVRE">OFFSET(PRODUIT!$Q$2,,,COUNTA(PRODUIT!$Q:$Q)-1)</definedName>
    <definedName name="BDD_MAIN_D_ŒUVRE_DESIGNATION">OFFSET(PRODUIT!$S$2,,,COUNTA(PRODUIT!$S:$S)-1)</definedName>
    <definedName name="CP">OFFSET(DETAILS!$C$2,,,COUNTA(DETAILS!$C:$C)-1)</definedName>
    <definedName name="DETAILS_APE">OFFSET(DETAILS!$L$2:$M$2,,,COUNTA(DETAILS!$L:$L)-1)</definedName>
    <definedName name="DETAILS_Banque">OFFSET(DETAILS!$Z$2,,,COUNTA(DETAILS!$Z:$Z)-1)</definedName>
    <definedName name="DETAILS_Code_APE">OFFSET(DETAILS!$L$2,,,COUNTA(DETAILS!$L:$L)-1)</definedName>
    <definedName name="DETAILS_Couleur">DETAILS!$H$2:$H$10</definedName>
    <definedName name="DETAILS_CP_VILLE">OFFSET(DETAILS!$C$2:$D$2,,,COUNTA(DETAILS!$D:$D)-1)</definedName>
    <definedName name="DETAILS_DELAI">OFFSET(DETAILS!$F$2,,,COUNTA(DETAILS!$F:$F)-1)</definedName>
    <definedName name="DETAILS_Pays">OFFSET(DETAILS!$X$2,,,COUNTA(DETAILS!$X:$X)-1)</definedName>
    <definedName name="DETAILS_Raison_Sociale">OFFSET(DETAILS!$V$2,,,COUNTA(DETAILS!$V:$V)-1)</definedName>
    <definedName name="DETAILS_Remise">OFFSET(DETAILS!$J$2,,,COUNTA(DETAILS!$J:$J)-1)</definedName>
    <definedName name="DETAILS_TVA">OFFSET(DETAILS!$A$2,,,COUNTA(DETAILS!$A:$A)-1)</definedName>
    <definedName name="H">HOUR(NOW())</definedName>
    <definedName name="J">TODAY()</definedName>
    <definedName name="M">MINUTE(NOW())</definedName>
    <definedName name="S">SECOND(NOW())</definedName>
    <definedName name="VILLE">OFFSET(DETAILS!$D$2,,,COUNTA(DETAILS!$D:$D)-1)</definedName>
    <definedName name="_xlnm.Print_Area" localSheetId="1">FACTURE!$C$1:$N$160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L2" i="1"/>
  <c r="L9" i="1" l="1"/>
  <c r="M9" i="1" s="1"/>
  <c r="A39" i="2"/>
  <c r="A40" i="2"/>
  <c r="A41" i="2"/>
  <c r="A42" i="2"/>
  <c r="A43" i="2"/>
  <c r="A44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X26" i="1" l="1"/>
  <c r="X27" i="1"/>
  <c r="X28" i="1"/>
  <c r="X29" i="1"/>
  <c r="X30" i="1"/>
  <c r="X31" i="1"/>
  <c r="X32" i="1"/>
  <c r="X33" i="1"/>
  <c r="X34" i="1"/>
  <c r="X35" i="1"/>
  <c r="X36" i="1"/>
  <c r="X37" i="1"/>
  <c r="X22" i="1"/>
  <c r="X23" i="1"/>
  <c r="X24" i="1"/>
  <c r="X25" i="1"/>
  <c r="X19" i="1"/>
  <c r="X20" i="1"/>
  <c r="X21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5" i="1"/>
  <c r="L3" i="1"/>
  <c r="L4" i="1"/>
  <c r="P25" i="2"/>
  <c r="P26" i="2"/>
  <c r="P27" i="2"/>
  <c r="P28" i="2"/>
  <c r="P29" i="2"/>
  <c r="P30" i="2"/>
  <c r="P31" i="2"/>
  <c r="P32" i="2"/>
  <c r="P33" i="2"/>
  <c r="P34" i="2"/>
  <c r="P35" i="2"/>
  <c r="G40" i="2"/>
  <c r="G41" i="2"/>
  <c r="G42" i="2"/>
  <c r="G43" i="2"/>
  <c r="G44" i="2"/>
  <c r="G39" i="2"/>
  <c r="G36" i="2"/>
  <c r="K11" i="2"/>
  <c r="K19" i="2"/>
  <c r="K13" i="2"/>
  <c r="N4" i="2"/>
  <c r="G19" i="2" s="1"/>
  <c r="X1" i="1" l="1"/>
  <c r="L28" i="1"/>
  <c r="M28" i="1" s="1"/>
  <c r="M3" i="1"/>
  <c r="L5" i="1"/>
  <c r="M5" i="1" s="1"/>
  <c r="L6" i="1"/>
  <c r="L7" i="1"/>
  <c r="M7" i="1" s="1"/>
  <c r="L8" i="1"/>
  <c r="L10" i="1"/>
  <c r="M10" i="1" s="1"/>
  <c r="L11" i="1"/>
  <c r="L12" i="1"/>
  <c r="M12" i="1" s="1"/>
  <c r="L13" i="1"/>
  <c r="L14" i="1"/>
  <c r="M14" i="1" s="1"/>
  <c r="L15" i="1"/>
  <c r="L16" i="1"/>
  <c r="M16" i="1" s="1"/>
  <c r="L17" i="1"/>
  <c r="L18" i="1"/>
  <c r="M18" i="1" s="1"/>
  <c r="L19" i="1"/>
  <c r="L20" i="1"/>
  <c r="M20" i="1" s="1"/>
  <c r="L21" i="1"/>
  <c r="L22" i="1"/>
  <c r="M22" i="1" s="1"/>
  <c r="L23" i="1"/>
  <c r="L24" i="1"/>
  <c r="M24" i="1" s="1"/>
  <c r="L25" i="1"/>
  <c r="L26" i="1"/>
  <c r="M26" i="1" s="1"/>
  <c r="L27" i="1"/>
  <c r="F2" i="1"/>
  <c r="F3" i="1"/>
  <c r="F4" i="1"/>
  <c r="F5" i="1"/>
  <c r="F6" i="1"/>
  <c r="F7" i="1"/>
  <c r="F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M27" i="1" l="1"/>
  <c r="M25" i="1"/>
  <c r="M23" i="1"/>
  <c r="M21" i="1"/>
  <c r="M19" i="1"/>
  <c r="M17" i="1"/>
  <c r="M15" i="1"/>
  <c r="M13" i="1"/>
  <c r="M11" i="1"/>
  <c r="M8" i="1"/>
  <c r="M6" i="1"/>
  <c r="M4" i="1"/>
  <c r="M2" i="1"/>
  <c r="P1" i="2" l="1"/>
  <c r="N3" i="2" s="1"/>
  <c r="J48" i="2"/>
  <c r="J49" i="2" s="1"/>
  <c r="J44" i="2"/>
  <c r="N44" i="2" s="1"/>
  <c r="C44" i="2"/>
  <c r="J43" i="2"/>
  <c r="C43" i="2"/>
  <c r="J42" i="2"/>
  <c r="C42" i="2"/>
  <c r="J41" i="2"/>
  <c r="C41" i="2"/>
  <c r="J40" i="2"/>
  <c r="C40" i="2"/>
  <c r="J39" i="2"/>
  <c r="C39" i="2"/>
  <c r="P36" i="2"/>
  <c r="R36" i="2" s="1"/>
  <c r="J36" i="2"/>
  <c r="N36" i="2" s="1"/>
  <c r="C36" i="2"/>
  <c r="R35" i="2"/>
  <c r="J35" i="2"/>
  <c r="N35" i="2" s="1"/>
  <c r="G35" i="2"/>
  <c r="C35" i="2"/>
  <c r="R34" i="2"/>
  <c r="J34" i="2"/>
  <c r="N34" i="2" s="1"/>
  <c r="G34" i="2"/>
  <c r="C34" i="2"/>
  <c r="R33" i="2"/>
  <c r="J33" i="2"/>
  <c r="N33" i="2" s="1"/>
  <c r="G33" i="2"/>
  <c r="C33" i="2"/>
  <c r="R32" i="2"/>
  <c r="J32" i="2"/>
  <c r="N32" i="2" s="1"/>
  <c r="G32" i="2"/>
  <c r="C32" i="2"/>
  <c r="R31" i="2"/>
  <c r="J31" i="2"/>
  <c r="N31" i="2" s="1"/>
  <c r="G31" i="2"/>
  <c r="C31" i="2"/>
  <c r="R30" i="2"/>
  <c r="J30" i="2"/>
  <c r="N30" i="2" s="1"/>
  <c r="G30" i="2"/>
  <c r="C30" i="2"/>
  <c r="R29" i="2"/>
  <c r="J29" i="2"/>
  <c r="N29" i="2" s="1"/>
  <c r="G29" i="2"/>
  <c r="C29" i="2"/>
  <c r="R28" i="2"/>
  <c r="J28" i="2"/>
  <c r="N28" i="2" s="1"/>
  <c r="G28" i="2"/>
  <c r="C28" i="2"/>
  <c r="R27" i="2"/>
  <c r="J27" i="2"/>
  <c r="G27" i="2"/>
  <c r="C27" i="2"/>
  <c r="R26" i="2"/>
  <c r="J26" i="2"/>
  <c r="K26" i="2" s="1"/>
  <c r="G26" i="2"/>
  <c r="C26" i="2"/>
  <c r="R25" i="2"/>
  <c r="J25" i="2"/>
  <c r="G25" i="2"/>
  <c r="C25" i="2"/>
  <c r="P24" i="2"/>
  <c r="R24" i="2" s="1"/>
  <c r="J24" i="2"/>
  <c r="G24" i="2"/>
  <c r="C24" i="2"/>
  <c r="P23" i="2"/>
  <c r="R23" i="2" s="1"/>
  <c r="J23" i="2"/>
  <c r="M23" i="2" s="1"/>
  <c r="G23" i="2"/>
  <c r="C23" i="2"/>
  <c r="A23" i="2" s="1"/>
  <c r="K17" i="2"/>
  <c r="K16" i="2"/>
  <c r="K15" i="2"/>
  <c r="K14" i="2"/>
  <c r="K12" i="2"/>
  <c r="L11" i="2"/>
  <c r="K9" i="2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24" i="2" l="1"/>
  <c r="M28" i="2"/>
  <c r="M29" i="2"/>
  <c r="M30" i="2"/>
  <c r="M31" i="2"/>
  <c r="M32" i="2"/>
  <c r="M33" i="2"/>
  <c r="M34" i="2"/>
  <c r="M35" i="2"/>
  <c r="M36" i="2"/>
  <c r="K24" i="2"/>
  <c r="N24" i="2" s="1"/>
  <c r="N26" i="2"/>
  <c r="M26" i="2"/>
  <c r="K28" i="2"/>
  <c r="K29" i="2"/>
  <c r="K30" i="2"/>
  <c r="K31" i="2"/>
  <c r="K32" i="2"/>
  <c r="K33" i="2"/>
  <c r="K34" i="2"/>
  <c r="K35" i="2"/>
  <c r="K36" i="2"/>
  <c r="J50" i="2"/>
  <c r="L23" i="2"/>
  <c r="K23" i="2"/>
  <c r="N23" i="2" s="1"/>
  <c r="L24" i="2"/>
  <c r="K25" i="2"/>
  <c r="N25" i="2" s="1"/>
  <c r="M25" i="2"/>
  <c r="L26" i="2"/>
  <c r="K27" i="2"/>
  <c r="N27" i="2" s="1"/>
  <c r="M27" i="2"/>
  <c r="L28" i="2"/>
  <c r="L29" i="2"/>
  <c r="L30" i="2"/>
  <c r="L31" i="2"/>
  <c r="L32" i="2"/>
  <c r="L33" i="2"/>
  <c r="L34" i="2"/>
  <c r="L35" i="2"/>
  <c r="L36" i="2"/>
  <c r="K39" i="2"/>
  <c r="N39" i="2" s="1"/>
  <c r="M39" i="2"/>
  <c r="K40" i="2"/>
  <c r="N40" i="2" s="1"/>
  <c r="M40" i="2"/>
  <c r="K41" i="2"/>
  <c r="N41" i="2" s="1"/>
  <c r="M41" i="2"/>
  <c r="K42" i="2"/>
  <c r="N42" i="2" s="1"/>
  <c r="M42" i="2"/>
  <c r="K43" i="2"/>
  <c r="N43" i="2" s="1"/>
  <c r="M43" i="2"/>
  <c r="K44" i="2"/>
  <c r="M44" i="2"/>
  <c r="L25" i="2"/>
  <c r="L27" i="2"/>
  <c r="R37" i="2"/>
  <c r="L39" i="2"/>
  <c r="L40" i="2"/>
  <c r="L41" i="2"/>
  <c r="L42" i="2"/>
  <c r="L43" i="2"/>
  <c r="L44" i="2"/>
  <c r="N47" i="2" l="1"/>
  <c r="J52" i="2"/>
  <c r="J51" i="2"/>
  <c r="N53" i="2" l="1"/>
  <c r="M53" i="2" s="1"/>
  <c r="N52" i="2"/>
  <c r="M52" i="2" s="1"/>
  <c r="N50" i="2"/>
  <c r="M50" i="2" s="1"/>
  <c r="N51" i="2"/>
  <c r="M51" i="2" s="1"/>
  <c r="I57" i="2" l="1"/>
  <c r="N54" i="2"/>
  <c r="C63" i="2"/>
</calcChain>
</file>

<file path=xl/sharedStrings.xml><?xml version="1.0" encoding="utf-8"?>
<sst xmlns="http://schemas.openxmlformats.org/spreadsheetml/2006/main" count="665" uniqueCount="516">
  <si>
    <t>EQUIPEMENT</t>
  </si>
  <si>
    <t>DESIGNATION</t>
  </si>
  <si>
    <t>REFERENCE</t>
  </si>
  <si>
    <t>Prix HT</t>
  </si>
  <si>
    <t>Coeff revente</t>
  </si>
  <si>
    <t>Prix de Vente HT</t>
  </si>
  <si>
    <t>QUANTITE</t>
  </si>
  <si>
    <t>POIDS</t>
  </si>
  <si>
    <t>SEUIL</t>
  </si>
  <si>
    <t>ENTREE</t>
  </si>
  <si>
    <t>SORTIE</t>
  </si>
  <si>
    <t>STOCK</t>
  </si>
  <si>
    <t>ETAT</t>
  </si>
  <si>
    <t>Automobile I Huile</t>
  </si>
  <si>
    <t>10w40 marque 1</t>
  </si>
  <si>
    <t>HUIL-MOT-10401</t>
  </si>
  <si>
    <t>DEPLAC1</t>
  </si>
  <si>
    <t>5w50 marque 2</t>
  </si>
  <si>
    <t>HUIL-MOT-55002</t>
  </si>
  <si>
    <t>Boissons I 1</t>
  </si>
  <si>
    <t>DEPLAC2</t>
  </si>
  <si>
    <t>0w30 marque 1</t>
  </si>
  <si>
    <t>HUIL-MOT-30001</t>
  </si>
  <si>
    <t>Boissons I 2</t>
  </si>
  <si>
    <t>DEVIS</t>
  </si>
  <si>
    <t>Jus de fruits - 1</t>
  </si>
  <si>
    <t>BOIS-JSF-1054</t>
  </si>
  <si>
    <t>Boissons I 3</t>
  </si>
  <si>
    <t>FORFAIT-SUPP</t>
  </si>
  <si>
    <t>Jus de fruits - 2</t>
  </si>
  <si>
    <t>BOIS-JSF-1055</t>
  </si>
  <si>
    <t>Boissons I 4</t>
  </si>
  <si>
    <t>FORFAIT-INSTALL-SITE</t>
  </si>
  <si>
    <t>Jus de fruits - 3</t>
  </si>
  <si>
    <t>BOIS-JSF-1056</t>
  </si>
  <si>
    <t>Main D'œuvre I Deplacement</t>
  </si>
  <si>
    <t>FORFAIT-LIVRAISON</t>
  </si>
  <si>
    <t>Jus de fruits - 4</t>
  </si>
  <si>
    <t>BOIS-JSF-1057</t>
  </si>
  <si>
    <t>Main D'œuvre I Forfait</t>
  </si>
  <si>
    <t>LIV-DEB-SITE</t>
  </si>
  <si>
    <t>Déplacement inférieur à 6 KM. (facturé au KM Aller + Retour))</t>
  </si>
  <si>
    <t>Main D'œuvre I Livraison</t>
  </si>
  <si>
    <t>LIV-SITE</t>
  </si>
  <si>
    <t>Déplacement supérieur à 6 KM. (facturé au KM Aller + Retour))</t>
  </si>
  <si>
    <t>Main D'œuvre I Magasin</t>
  </si>
  <si>
    <t>FORFAIT-MAT-VENDU</t>
  </si>
  <si>
    <t>Devis préalable à une intervention / étude des problèmes</t>
  </si>
  <si>
    <t>Main D'œuvre I Sur Site</t>
  </si>
  <si>
    <t>FORFAIT-MAT</t>
  </si>
  <si>
    <t>Forfait ajouté pour prise en charge de votre matériel en EXPRESS</t>
  </si>
  <si>
    <t>Ordinateurs I  ASUS-EEETOP</t>
  </si>
  <si>
    <t>MO-SITE</t>
  </si>
  <si>
    <t>Forfait pour livraison, installation et paramètrage sur site</t>
  </si>
  <si>
    <t>Ordinateurs I  ASUS-PORTABLES</t>
  </si>
  <si>
    <t>MO-RAP-SITE</t>
  </si>
  <si>
    <t>Forfait pour livraison</t>
  </si>
  <si>
    <t>MO-SITE-FORFAIT-2H</t>
  </si>
  <si>
    <t>Livraison /déballage /mise en place du matériel sur site 1/4h (hors déplacement)</t>
  </si>
  <si>
    <t>Livraison à effectuer sur site (dépose des colis, hors déplacement)</t>
  </si>
  <si>
    <t>Forfait pour sur matériel vendu</t>
  </si>
  <si>
    <t>Forfait pour sur matériel</t>
  </si>
  <si>
    <t>Main d'oeuvre site : intervention sur site</t>
  </si>
  <si>
    <t>Main d'oeuvre site : intervention sur site EXPRESS (Dans la journée)</t>
  </si>
  <si>
    <t>Main d'oeuvre site : intervention sur site FORFAIT 2 Heures maxi (hors déplac)</t>
  </si>
  <si>
    <t>ASUS AIO 20" A4310-BB020T  i3-4160 4Go 500Go W7P64/8.1P64</t>
  </si>
  <si>
    <t>ASUS-A4310-BB020T</t>
  </si>
  <si>
    <t>ASUS AIO 21.5" A6410-BC021T  i3-4160 4Go 500Go W7P64/8.1P64</t>
  </si>
  <si>
    <t>ASUS-A6410-BC021T</t>
  </si>
  <si>
    <t>PORTABLE ASUS 10.1" T100CHI-FG004P  Z3775 2Go 64GoSSD WiFin/BT Win8.1Pro32</t>
  </si>
  <si>
    <t>ASUS-T100CHI-FG004P</t>
  </si>
  <si>
    <t>PORTABLE ASUS 10.1" T100HA-FU002T  Z8500 2Go 32GoSSD WiFin/BT Win10-32</t>
  </si>
  <si>
    <t>ASUS-T100HA-FU002T</t>
  </si>
  <si>
    <t>PORTABLE ASUS 10.1" T100HA-FU004T  Z8500 2Go 32GoSSD WiFin/BT Win10-64</t>
  </si>
  <si>
    <t>ASUS-T100HA-FU004T</t>
  </si>
  <si>
    <t>Vitrage I AIXAM</t>
  </si>
  <si>
    <t>Lunette Verte Solextra Chauffante pour AIXAM CITY 11 Tous les Modèles</t>
  </si>
  <si>
    <t>CITY 16</t>
  </si>
  <si>
    <t>Nom de la société (ou logo)</t>
  </si>
  <si>
    <t>Couleur</t>
  </si>
  <si>
    <t>Bleu</t>
  </si>
  <si>
    <t>FACTURE</t>
  </si>
  <si>
    <t>Facture n°</t>
  </si>
  <si>
    <t>Date</t>
  </si>
  <si>
    <t>Facturé à</t>
  </si>
  <si>
    <t>SECTEUR D'ACTIVITE :</t>
  </si>
  <si>
    <t>FRAIS DE PORT</t>
  </si>
  <si>
    <t>Désignation</t>
  </si>
  <si>
    <t>POIDS U</t>
  </si>
  <si>
    <t>TOTAL</t>
  </si>
  <si>
    <t>Référence</t>
  </si>
  <si>
    <t>Qté</t>
  </si>
  <si>
    <t>% TVA</t>
  </si>
  <si>
    <t>Prix unitaire HT</t>
  </si>
  <si>
    <t>Prix unitaire TTC</t>
  </si>
  <si>
    <t>Total HT</t>
  </si>
  <si>
    <t>Total TVA</t>
  </si>
  <si>
    <t>Total TTC</t>
  </si>
  <si>
    <t>MAIN D'ŒUVRE</t>
  </si>
  <si>
    <t>Indemnité forfaitaire pour frais de recouvrement en cas de retard de paiement : 40 €</t>
  </si>
  <si>
    <t>Nos conditions de vente ne prévoient pas d'escompte pour paiement anticipé.</t>
  </si>
  <si>
    <t>Coordonnées bancaires</t>
  </si>
  <si>
    <t>REMISE</t>
  </si>
  <si>
    <t>Frais de port</t>
  </si>
  <si>
    <t>Toute palette 'EURO' livrée devra être échangée contre une palette du même type, faute de quoi un supplément de 12,50 € sera facturé</t>
  </si>
  <si>
    <t>CP</t>
  </si>
  <si>
    <t>VILLE</t>
  </si>
  <si>
    <t>Crédit Agricole</t>
  </si>
  <si>
    <t>Taux des pénalités exigibles à compter du 2 mars 2015 en l'absence de paiement : XXX %</t>
  </si>
  <si>
    <t>RIB : 30004 2249 10941791  84</t>
  </si>
  <si>
    <t>IBAN : FR76 30 00402 24900 010 941 791 84</t>
  </si>
  <si>
    <t>BIC : BNPAFRPPLPD</t>
  </si>
  <si>
    <t xml:space="preserve"> 350000 €,  RCS  AAAAA XXX XXX XXX XXX</t>
  </si>
  <si>
    <t>SIREN 453179541</t>
  </si>
  <si>
    <t xml:space="preserve"> FR21 453 179 541</t>
  </si>
  <si>
    <t>Sarl Riethys</t>
  </si>
  <si>
    <t>31, rue de la république</t>
  </si>
  <si>
    <t>riethys.compagny@orange.fr</t>
  </si>
  <si>
    <t>04 54 59 87 54</t>
  </si>
  <si>
    <t>04 54 59 87 55</t>
  </si>
  <si>
    <t/>
  </si>
  <si>
    <t>06 81 87 95 21</t>
  </si>
  <si>
    <t>Titulaire du compte : Dominique Dupond</t>
  </si>
  <si>
    <t>Taux TVA</t>
  </si>
  <si>
    <t xml:space="preserve">Délai </t>
  </si>
  <si>
    <t>Couleurs</t>
  </si>
  <si>
    <t>Remise</t>
  </si>
  <si>
    <t>Code APE</t>
  </si>
  <si>
    <t>Libéllé</t>
  </si>
  <si>
    <t>Dpt</t>
  </si>
  <si>
    <t>Dept</t>
  </si>
  <si>
    <t>Préfecture</t>
  </si>
  <si>
    <t>Info à afficher</t>
  </si>
  <si>
    <t>Poids Limite</t>
  </si>
  <si>
    <t>Raison Sociale</t>
  </si>
  <si>
    <t>Pays</t>
  </si>
  <si>
    <t>Banque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</si>
  <si>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</si>
  <si>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</si>
  <si>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</si>
  <si>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</si>
  <si>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</si>
  <si>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</si>
  <si>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</si>
  <si>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Civilité</t>
  </si>
  <si>
    <t>VERIFICATION IBAN</t>
  </si>
  <si>
    <t>01000</t>
  </si>
  <si>
    <t>Bourg En Bresse</t>
  </si>
  <si>
    <t>Violet</t>
  </si>
  <si>
    <t>0111Z</t>
  </si>
  <si>
    <t>Culture de céréales (à l'exception du riz), de légumineuses et de graines oléagineuses</t>
  </si>
  <si>
    <t>Ain</t>
  </si>
  <si>
    <t>BOURG-EN-BRESSE</t>
  </si>
  <si>
    <t>Transports Alloin</t>
  </si>
  <si>
    <t>Association</t>
  </si>
  <si>
    <t>Afghanistan</t>
  </si>
  <si>
    <t>AXA</t>
  </si>
  <si>
    <t>Colis abîmé</t>
  </si>
  <si>
    <t>DLC dépassée</t>
  </si>
  <si>
    <t>Biologique</t>
  </si>
  <si>
    <t>Dangereux</t>
  </si>
  <si>
    <t>Accessoires</t>
  </si>
  <si>
    <t>CO</t>
  </si>
  <si>
    <t>Conditionneur</t>
  </si>
  <si>
    <t>Monsieur</t>
  </si>
  <si>
    <t>0</t>
  </si>
  <si>
    <t>Brou</t>
  </si>
  <si>
    <t>Rose</t>
  </si>
  <si>
    <t>0112Z</t>
  </si>
  <si>
    <t>Culture du riz</t>
  </si>
  <si>
    <t>Aisne</t>
  </si>
  <si>
    <t>LAON</t>
  </si>
  <si>
    <t>Transports Dachser</t>
  </si>
  <si>
    <t>EI</t>
  </si>
  <si>
    <t>Afrique du Sud</t>
  </si>
  <si>
    <t>Bank of America</t>
  </si>
  <si>
    <t>Colis déchiré</t>
  </si>
  <si>
    <t>Emballage non conforme</t>
  </si>
  <si>
    <t>Crise</t>
  </si>
  <si>
    <t>Non</t>
  </si>
  <si>
    <t>Alcool</t>
  </si>
  <si>
    <t>DI</t>
  </si>
  <si>
    <t>Distributeur</t>
  </si>
  <si>
    <t>Madame</t>
  </si>
  <si>
    <t>1</t>
  </si>
  <si>
    <t>St Denis Les Bourg</t>
  </si>
  <si>
    <t>Rouge</t>
  </si>
  <si>
    <t>0113Z</t>
  </si>
  <si>
    <t>Culture de légumes, de melons, de racines et de tubercules</t>
  </si>
  <si>
    <t>Allier</t>
  </si>
  <si>
    <t>MOULINS</t>
  </si>
  <si>
    <t>EIRL</t>
  </si>
  <si>
    <t>Albanie</t>
  </si>
  <si>
    <t>Bank of China</t>
  </si>
  <si>
    <t>Colis écrasé</t>
  </si>
  <si>
    <t>Indéterminé</t>
  </si>
  <si>
    <t>Interdiction</t>
  </si>
  <si>
    <t>Rappel Fournisseur</t>
  </si>
  <si>
    <t>Boisson</t>
  </si>
  <si>
    <t>FC</t>
  </si>
  <si>
    <t>Client</t>
  </si>
  <si>
    <t>Mademoiselle</t>
  </si>
  <si>
    <t>2</t>
  </si>
  <si>
    <t>01090</t>
  </si>
  <si>
    <t>Amareins</t>
  </si>
  <si>
    <t>Orange</t>
  </si>
  <si>
    <t>0114Z</t>
  </si>
  <si>
    <t>Culture de la canne à sucre</t>
  </si>
  <si>
    <t>Alpes Hte Provence</t>
  </si>
  <si>
    <t>DIGNE-LES-BAINS</t>
  </si>
  <si>
    <t>Eurl</t>
  </si>
  <si>
    <t>Algérie</t>
  </si>
  <si>
    <t>Bank of New York Mellon</t>
  </si>
  <si>
    <t>Colis non conforme</t>
  </si>
  <si>
    <t>Interdit à la Vente</t>
  </si>
  <si>
    <t>Manutention</t>
  </si>
  <si>
    <t>Réclamation</t>
  </si>
  <si>
    <t>Boucherie</t>
  </si>
  <si>
    <t>FN</t>
  </si>
  <si>
    <t>Fournisseur</t>
  </si>
  <si>
    <t>3</t>
  </si>
  <si>
    <t>Amareins Francheleins Ces</t>
  </si>
  <si>
    <t>Jaune</t>
  </si>
  <si>
    <t>0115Z</t>
  </si>
  <si>
    <t>Culture du tabac</t>
  </si>
  <si>
    <t>Hautes Alpes</t>
  </si>
  <si>
    <t>GAP</t>
  </si>
  <si>
    <t>S.A</t>
  </si>
  <si>
    <t>Allemagne</t>
  </si>
  <si>
    <t>Banques Populaires</t>
  </si>
  <si>
    <t>Colis non vérifié</t>
  </si>
  <si>
    <t>Manque d'information</t>
  </si>
  <si>
    <t>Mauvaise Gestion</t>
  </si>
  <si>
    <t>Vice caché</t>
  </si>
  <si>
    <t>Boulangerie</t>
  </si>
  <si>
    <t>IM</t>
  </si>
  <si>
    <t>Imprimeur</t>
  </si>
  <si>
    <t>4</t>
  </si>
  <si>
    <t>Cesseins</t>
  </si>
  <si>
    <t>Vert</t>
  </si>
  <si>
    <t>0116Z</t>
  </si>
  <si>
    <t>Culture de plantes à fibres</t>
  </si>
  <si>
    <t>Alpes Maritimes</t>
  </si>
  <si>
    <t>NICE</t>
  </si>
  <si>
    <t>Sarl</t>
  </si>
  <si>
    <t>Andorre</t>
  </si>
  <si>
    <t>Barclays</t>
  </si>
  <si>
    <t>Colis partiel</t>
  </si>
  <si>
    <t>Odeur suspect</t>
  </si>
  <si>
    <t>Mauvaise Référence</t>
  </si>
  <si>
    <t>Charcuterie</t>
  </si>
  <si>
    <t>IT</t>
  </si>
  <si>
    <t>Importateur</t>
  </si>
  <si>
    <t>5</t>
  </si>
  <si>
    <t>Genouilleux</t>
  </si>
  <si>
    <t>0119Z</t>
  </si>
  <si>
    <t>Autres cultures non permanentes</t>
  </si>
  <si>
    <t>Ardèche</t>
  </si>
  <si>
    <t>PRIVAS</t>
  </si>
  <si>
    <t>SAS</t>
  </si>
  <si>
    <t>Angleterre</t>
  </si>
  <si>
    <t>BNP Paribas</t>
  </si>
  <si>
    <t>Colis plein d'eau</t>
  </si>
  <si>
    <t>Perte,Vol</t>
  </si>
  <si>
    <t>Chaussures</t>
  </si>
  <si>
    <t>TR</t>
  </si>
  <si>
    <t>Transporteur</t>
  </si>
  <si>
    <t>6</t>
  </si>
  <si>
    <t>Guereins</t>
  </si>
  <si>
    <t>Marron</t>
  </si>
  <si>
    <t>0121Z</t>
  </si>
  <si>
    <t>Culture de la vigne</t>
  </si>
  <si>
    <t>Ardennes</t>
  </si>
  <si>
    <t>CHARLEVILLE-MEZIERES</t>
  </si>
  <si>
    <t>Mbs Transports Express</t>
  </si>
  <si>
    <t>SASU</t>
  </si>
  <si>
    <t>Angola</t>
  </si>
  <si>
    <t>Boursorama Banque</t>
  </si>
  <si>
    <t>RAS</t>
  </si>
  <si>
    <t>Problème Fournisseur</t>
  </si>
  <si>
    <t>Condiment</t>
  </si>
  <si>
    <t>VD</t>
  </si>
  <si>
    <t>Vente au détails</t>
  </si>
  <si>
    <t>7</t>
  </si>
  <si>
    <t>Lurcy</t>
  </si>
  <si>
    <t>Noir</t>
  </si>
  <si>
    <t>0122Z</t>
  </si>
  <si>
    <t>Culture de fruits tropicaux et subtropicaux</t>
  </si>
  <si>
    <t>Ariege</t>
  </si>
  <si>
    <t>FOIX</t>
  </si>
  <si>
    <t>SNC</t>
  </si>
  <si>
    <t>Arabie Saoudite</t>
  </si>
  <si>
    <t>BRED</t>
  </si>
  <si>
    <t>Visuel suspect</t>
  </si>
  <si>
    <t>Vandalisme</t>
  </si>
  <si>
    <t>Confiserie</t>
  </si>
  <si>
    <t>VG</t>
  </si>
  <si>
    <t>Vente en gros</t>
  </si>
  <si>
    <t>8</t>
  </si>
  <si>
    <t>Montceaux</t>
  </si>
  <si>
    <t>0123Z</t>
  </si>
  <si>
    <t>Culture d'agrumes</t>
  </si>
  <si>
    <t>Aube</t>
  </si>
  <si>
    <t>TROYES</t>
  </si>
  <si>
    <t>Argentine</t>
  </si>
  <si>
    <t>Caisse d'épargne</t>
  </si>
  <si>
    <t>Conserve</t>
  </si>
  <si>
    <t>9</t>
  </si>
  <si>
    <t>Montmerle Sur Saone</t>
  </si>
  <si>
    <t>0124Z</t>
  </si>
  <si>
    <t>Culture de fruits à pépins et à noyau</t>
  </si>
  <si>
    <t>Aude</t>
  </si>
  <si>
    <t>CARCASSONNE</t>
  </si>
  <si>
    <t>Arménie</t>
  </si>
  <si>
    <t>CIC</t>
  </si>
  <si>
    <t>Consoles</t>
  </si>
  <si>
    <t>A</t>
  </si>
  <si>
    <t>01100</t>
  </si>
  <si>
    <t>Apremont</t>
  </si>
  <si>
    <t>0125Z</t>
  </si>
  <si>
    <t>Culture d'autres fruits d'arbres ou d'arbustes et de fruits à coque</t>
  </si>
  <si>
    <t>Aveyron</t>
  </si>
  <si>
    <t>RODEZ</t>
  </si>
  <si>
    <t>Antigua-et-Barbuda</t>
  </si>
  <si>
    <t>Citigroup</t>
  </si>
  <si>
    <t>Dessert</t>
  </si>
  <si>
    <t>B</t>
  </si>
  <si>
    <t>Arbent</t>
  </si>
  <si>
    <t>0126Z</t>
  </si>
  <si>
    <t>Culture de fruits oléagineux</t>
  </si>
  <si>
    <t>Bouches du Rhône</t>
  </si>
  <si>
    <t>MARSEILLE--1ER-ARRONDISSEMENT</t>
  </si>
  <si>
    <t>Australie</t>
  </si>
  <si>
    <t>Commerzbank</t>
  </si>
  <si>
    <t>Divers</t>
  </si>
  <si>
    <t>C</t>
  </si>
  <si>
    <t>Bouvent</t>
  </si>
  <si>
    <t>0127Z</t>
  </si>
  <si>
    <t>Culture de plantes à boissons</t>
  </si>
  <si>
    <t>Calvados</t>
  </si>
  <si>
    <t>CAEN</t>
  </si>
  <si>
    <t>Autriche</t>
  </si>
  <si>
    <t>Droguerie</t>
  </si>
  <si>
    <t>D</t>
  </si>
  <si>
    <t>Geovreisset</t>
  </si>
  <si>
    <t>0128Z</t>
  </si>
  <si>
    <t>Culture de plantes à épices, aromatiques, médicinales et pharmaceutiques</t>
  </si>
  <si>
    <t>Cantal</t>
  </si>
  <si>
    <t>AURILLAC</t>
  </si>
  <si>
    <t>Azerbaïdjan</t>
  </si>
  <si>
    <t>Crédit du Nord</t>
  </si>
  <si>
    <t>Frais</t>
  </si>
  <si>
    <t>E</t>
  </si>
  <si>
    <t>Oyonnax</t>
  </si>
  <si>
    <t>0129Z</t>
  </si>
  <si>
    <t>Autres cultures permanentes</t>
  </si>
  <si>
    <t>Charente</t>
  </si>
  <si>
    <t>ANGOULEME</t>
  </si>
  <si>
    <t>Bahamas</t>
  </si>
  <si>
    <t>Crédit Mutuel</t>
  </si>
  <si>
    <t>Fromage</t>
  </si>
  <si>
    <t>F</t>
  </si>
  <si>
    <t>Veyziat</t>
  </si>
  <si>
    <t>0130Z</t>
  </si>
  <si>
    <t>Reproduction de plantes</t>
  </si>
  <si>
    <t>Charente Maritime</t>
  </si>
  <si>
    <t>LA ROCHELLE</t>
  </si>
  <si>
    <t>Bahreïn</t>
  </si>
  <si>
    <t>Credit Suisse</t>
  </si>
  <si>
    <t>Fruits secs</t>
  </si>
  <si>
    <t>G</t>
  </si>
  <si>
    <t>01110</t>
  </si>
  <si>
    <t>Aranc</t>
  </si>
  <si>
    <t>0141Z</t>
  </si>
  <si>
    <t>Élevage de vaches laitières</t>
  </si>
  <si>
    <t>Cher</t>
  </si>
  <si>
    <t>BOURGES</t>
  </si>
  <si>
    <t>Bangladesh</t>
  </si>
  <si>
    <t>Deutsche Bank</t>
  </si>
  <si>
    <t>Hifi / TV</t>
  </si>
  <si>
    <t>H</t>
  </si>
  <si>
    <t>Brenod</t>
  </si>
  <si>
    <t>0142Z</t>
  </si>
  <si>
    <t>Élevage d'autres bovins et de buffles</t>
  </si>
  <si>
    <t>Correze</t>
  </si>
  <si>
    <t>TULLE</t>
  </si>
  <si>
    <t>Barbade</t>
  </si>
  <si>
    <t>Dexia</t>
  </si>
  <si>
    <t>Hygiène</t>
  </si>
  <si>
    <t>I</t>
  </si>
  <si>
    <t>Champdor</t>
  </si>
  <si>
    <t>0143Z</t>
  </si>
  <si>
    <t>Élevage de chevaux et d'autres équidés</t>
  </si>
  <si>
    <t>Corse</t>
  </si>
  <si>
    <t>Belgique</t>
  </si>
  <si>
    <t>Goldman Sachs</t>
  </si>
  <si>
    <t>Jeux / Jouets</t>
  </si>
  <si>
    <t>J</t>
  </si>
  <si>
    <t>Corcelles</t>
  </si>
  <si>
    <t>0144Z</t>
  </si>
  <si>
    <t>Élevage de chameaux et d'autres camélidés</t>
  </si>
  <si>
    <t>Cote d'Or</t>
  </si>
  <si>
    <t>DIJON</t>
  </si>
  <si>
    <t>Belize</t>
  </si>
  <si>
    <t>GroupamaBanque</t>
  </si>
  <si>
    <t>Légumes</t>
  </si>
  <si>
    <t>K</t>
  </si>
  <si>
    <t>Corlier</t>
  </si>
  <si>
    <t>0145Z</t>
  </si>
  <si>
    <t>Élevage d'ovins et de caprins</t>
  </si>
  <si>
    <t>Cote d'Armor</t>
  </si>
  <si>
    <t>SAINT-BRIEUC</t>
  </si>
  <si>
    <t>Bénin</t>
  </si>
  <si>
    <t>HSBC</t>
  </si>
  <si>
    <t>Meubles</t>
  </si>
  <si>
    <t>L</t>
  </si>
  <si>
    <t>Cormaranche En Bugey</t>
  </si>
  <si>
    <t>0146Z</t>
  </si>
  <si>
    <t>Élevage de porcins</t>
  </si>
  <si>
    <t>Creuse</t>
  </si>
  <si>
    <t>GUERET</t>
  </si>
  <si>
    <t>Bhoutan</t>
  </si>
  <si>
    <t>ING Bank</t>
  </si>
  <si>
    <t>Pc</t>
  </si>
  <si>
    <t>M</t>
  </si>
  <si>
    <t>Hauteville Lompnes</t>
  </si>
  <si>
    <t>0147Z</t>
  </si>
  <si>
    <t>Élevage de volailles</t>
  </si>
  <si>
    <t>Dordogne</t>
  </si>
  <si>
    <t>PERIGUEUX</t>
  </si>
  <si>
    <t>Biélorussie</t>
  </si>
  <si>
    <t>JP Morgan Chase</t>
  </si>
  <si>
    <t>Poissonnerie</t>
  </si>
  <si>
    <t>N</t>
  </si>
  <si>
    <t>Hostias</t>
  </si>
  <si>
    <t>0149Z</t>
  </si>
  <si>
    <t>Élevage d'autres animaux</t>
  </si>
  <si>
    <t>Doubs</t>
  </si>
  <si>
    <t>BESANCON</t>
  </si>
  <si>
    <t>Birmanie</t>
  </si>
  <si>
    <t>La Poste</t>
  </si>
  <si>
    <t>Surgelé</t>
  </si>
  <si>
    <t>O</t>
  </si>
  <si>
    <t>Thezillieu</t>
  </si>
  <si>
    <t>0150Z</t>
  </si>
  <si>
    <t>Culture et élevage associés</t>
  </si>
  <si>
    <t>Drome</t>
  </si>
  <si>
    <t>VALENCE</t>
  </si>
  <si>
    <t>Bolivie</t>
  </si>
  <si>
    <t>LCL</t>
  </si>
  <si>
    <t>Téléphonie</t>
  </si>
  <si>
    <t>P</t>
  </si>
  <si>
    <t>01120</t>
  </si>
  <si>
    <t>Chanes</t>
  </si>
  <si>
    <t>0161Z</t>
  </si>
  <si>
    <t>Activités de soutien aux cultures</t>
  </si>
  <si>
    <t>Eure</t>
  </si>
  <si>
    <t>EVREUX</t>
  </si>
  <si>
    <t>Bosnie-Herzégovine</t>
  </si>
  <si>
    <t>Lloyds Banking Group</t>
  </si>
  <si>
    <t>Vetements</t>
  </si>
  <si>
    <t>Q</t>
  </si>
  <si>
    <t>Cordieux</t>
  </si>
  <si>
    <t>0162Z</t>
  </si>
  <si>
    <t>Activités de soutien à la production animale</t>
  </si>
  <si>
    <t>Eure et Loire</t>
  </si>
  <si>
    <t>CHARTRES</t>
  </si>
  <si>
    <t>Botswana</t>
  </si>
  <si>
    <t>Mitsubishi UFJ FG</t>
  </si>
  <si>
    <t>R</t>
  </si>
  <si>
    <t>Dagneux</t>
  </si>
  <si>
    <t>0163Z</t>
  </si>
  <si>
    <t>Traitement primaire des récoltes</t>
  </si>
  <si>
    <t>Finistère</t>
  </si>
  <si>
    <t>QUIMPER</t>
  </si>
  <si>
    <t>Brésil</t>
  </si>
  <si>
    <t>Mizuho FG</t>
  </si>
  <si>
    <t>S</t>
  </si>
  <si>
    <t>Jailleux</t>
  </si>
  <si>
    <t>0164Z</t>
  </si>
  <si>
    <t>Traitement des semences</t>
  </si>
  <si>
    <t>Gard</t>
  </si>
  <si>
    <t>NIMES</t>
  </si>
  <si>
    <t>Brunei</t>
  </si>
  <si>
    <t>MonaBanq</t>
  </si>
  <si>
    <t>T</t>
  </si>
  <si>
    <t>Nom 25</t>
  </si>
  <si>
    <t>TZ12CLA62</t>
  </si>
  <si>
    <t>06000 - Nice</t>
  </si>
  <si>
    <t>Conditions générales des ventes</t>
  </si>
  <si>
    <t>Désignation Main d'œuvre</t>
  </si>
  <si>
    <t>Colisage</t>
  </si>
  <si>
    <t>Code postal - Ville :</t>
  </si>
  <si>
    <t>Adresse :</t>
  </si>
  <si>
    <t>Nom :</t>
  </si>
  <si>
    <t>Adresse e-mail :</t>
  </si>
  <si>
    <t>Téléphone :</t>
  </si>
  <si>
    <t>Fax :</t>
  </si>
  <si>
    <t>CONTACT :</t>
  </si>
  <si>
    <t>No TVA :</t>
  </si>
  <si>
    <t>SIRET :</t>
  </si>
  <si>
    <t>Code Postal - Ville :</t>
  </si>
  <si>
    <t>Email :</t>
  </si>
  <si>
    <t>Mobile :</t>
  </si>
  <si>
    <t>Date d'échéance :</t>
  </si>
  <si>
    <t>(Plusieurs éléments)</t>
  </si>
  <si>
    <t>Valeurs</t>
  </si>
  <si>
    <t>Valeur HT</t>
  </si>
  <si>
    <t>Valeur Total</t>
  </si>
  <si>
    <t>Total STOCK</t>
  </si>
  <si>
    <t>x</t>
  </si>
  <si>
    <t>Boissons I 5</t>
  </si>
  <si>
    <t>Coca Cola Pack-6 x2 Litres Edition Pâques</t>
  </si>
  <si>
    <t>CCL6x2PQEDIT1</t>
  </si>
  <si>
    <t>10</t>
  </si>
  <si>
    <t xml:space="preserve"> 21,51Kg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</si>
</sst>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40C]_-;\-* #,##0.00\ [$€-40C]_-;_-* &quot;-&quot;??\ [$€-40C]_-;_-@_-"/>
    <numFmt numFmtId="167" formatCode="_(* #,##0_);_(* \(#,##0\);_(* &quot;-&quot;??_);_(@_)"/>
    <numFmt numFmtId="168" formatCode="0.000\ \k\g"/>
    <numFmt numFmtId="169" formatCode="dd/mm/yy;@"/>
    <numFmt numFmtId="170" formatCode="00000"/>
    <numFmt numFmtId="171" formatCode="0#&quot; &quot;##&quot; &quot;##&quot; &quot;##&quot; &quot;##"/>
    <numFmt numFmtId="172" formatCode="&quot;( &quot;0&quot; jours )&quot;"/>
    <numFmt numFmtId="173" formatCode="#,##0.00\ [$€-1]"/>
    <numFmt numFmtId="174" formatCode="0.0"/>
    <numFmt numFmtId="175" formatCode="[$€-2]\ #,##0.00"/>
    <numFmt numFmtId="176" formatCode="#,##0.00\ &quot;€&quot;"/>
    <numFmt numFmtId="177" formatCode="0\ &quot;Colis&quot;"/>
    <numFmt numFmtId="178" formatCode="[&gt;1]0&quot; palettes&quot;;0&quot; palette&quot;"/>
    <numFmt numFmtId="179" formatCode="0\ \k\g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D5D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theme="3"/>
      <name val="Century Gothic"/>
      <family val="2"/>
    </font>
    <font>
      <sz val="12"/>
      <color theme="3"/>
      <name val="Century Gothic"/>
      <family val="2"/>
    </font>
    <font>
      <sz val="10"/>
      <color theme="3"/>
      <name val="Century Gothic"/>
      <family val="2"/>
    </font>
    <font>
      <sz val="11"/>
      <color theme="1"/>
      <name val="Century Gothic"/>
      <family val="2"/>
    </font>
    <font>
      <sz val="11"/>
      <color theme="3"/>
      <name val="Century Gothic"/>
      <family val="2"/>
    </font>
    <font>
      <b/>
      <sz val="11"/>
      <color theme="3"/>
      <name val="Century Gothic"/>
      <family val="2"/>
    </font>
    <font>
      <b/>
      <u/>
      <sz val="12"/>
      <color theme="3"/>
      <name val="Century Gothic"/>
      <family val="2"/>
    </font>
    <font>
      <i/>
      <sz val="10"/>
      <color theme="3"/>
      <name val="Century Gothic"/>
      <family val="2"/>
    </font>
    <font>
      <b/>
      <sz val="10"/>
      <color theme="3"/>
      <name val="Century Gothic"/>
      <family val="2"/>
    </font>
    <font>
      <sz val="11"/>
      <color rgb="FFFF0000"/>
      <name val="Century Gothic"/>
      <family val="2"/>
    </font>
    <font>
      <sz val="11"/>
      <color theme="3"/>
      <name val="Sitka Small"/>
    </font>
    <font>
      <b/>
      <sz val="14"/>
      <color theme="3"/>
      <name val="Century Gothic"/>
      <family val="2"/>
    </font>
    <font>
      <sz val="12"/>
      <color theme="1" tint="0.24994659260841701"/>
      <name val="Century Gothic"/>
      <family val="2"/>
    </font>
    <font>
      <sz val="11"/>
      <color rgb="FFFFFF6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66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2"/>
      <color theme="3"/>
      <name val="Century Gothic"/>
      <family val="2"/>
    </font>
    <font>
      <sz val="11"/>
      <color rgb="FFFFFD5D"/>
      <name val="Calibri"/>
      <family val="2"/>
      <scheme val="minor"/>
    </font>
    <font>
      <b/>
      <sz val="10"/>
      <color theme="3"/>
      <name val="Ebrima"/>
    </font>
    <font>
      <b/>
      <sz val="20"/>
      <color theme="3"/>
      <name val="Grand National 3D Italic"/>
    </font>
    <font>
      <sz val="14"/>
      <color theme="3"/>
      <name val="Neuropol X Free"/>
    </font>
    <font>
      <sz val="11"/>
      <color rgb="FF2E6A68"/>
      <name val="Century Gothic"/>
      <family val="2"/>
    </font>
    <font>
      <b/>
      <sz val="11"/>
      <color rgb="FF2E6A68"/>
      <name val="Century Gothic"/>
      <family val="2"/>
    </font>
    <font>
      <b/>
      <sz val="12"/>
      <color rgb="FF002060"/>
      <name val="Calibri"/>
      <family val="2"/>
      <scheme val="minor"/>
    </font>
    <font>
      <sz val="11"/>
      <color theme="2" tint="-0.499984740745262"/>
      <name val="Century Gothic"/>
      <family val="2"/>
    </font>
  </fonts>
  <fills count="2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D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2E6A68"/>
        <bgColor indexed="64"/>
      </patternFill>
    </fill>
    <fill>
      <patternFill patternType="solid">
        <fgColor theme="8" tint="-0.499984740745262"/>
        <bgColor indexed="64"/>
      </patternFill>
    </fill>
  </fills>
  <borders count="62">
    <border>
      <left/>
      <right/>
      <top/>
      <bottom/>
      <diagonal/>
    </border>
    <border>
      <left style="thin">
        <color rgb="FFFFFF66"/>
      </left>
      <right style="thin">
        <color rgb="FFFFFF66"/>
      </right>
      <top/>
      <bottom/>
      <diagonal/>
    </border>
    <border>
      <left style="hair">
        <color theme="3"/>
      </left>
      <right style="hair">
        <color theme="3"/>
      </right>
      <top style="dotted">
        <color theme="3"/>
      </top>
      <bottom style="dotted">
        <color theme="3"/>
      </bottom>
      <diagonal/>
    </border>
    <border>
      <left style="hair">
        <color rgb="FF002060"/>
      </left>
      <right style="hair">
        <color rgb="FF002060"/>
      </right>
      <top style="dotted">
        <color rgb="FFFFFF00"/>
      </top>
      <bottom style="dotted">
        <color rgb="FF002060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theme="3"/>
      </top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theme="3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 style="hair">
        <color theme="3"/>
      </left>
      <right/>
      <top/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/>
      <right style="hair">
        <color theme="3"/>
      </right>
      <top/>
      <bottom style="hair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rgb="FF3366FF"/>
      </left>
      <right/>
      <top/>
      <bottom/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/>
      <bottom/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/>
      <diagonal/>
    </border>
    <border>
      <left style="hair">
        <color rgb="FF3366FF"/>
      </left>
      <right/>
      <top style="hair">
        <color rgb="FFFFFF99"/>
      </top>
      <bottom style="hair">
        <color rgb="FFFFFF99"/>
      </bottom>
      <diagonal/>
    </border>
    <border>
      <left/>
      <right style="hair">
        <color rgb="FF3366FF"/>
      </right>
      <top style="hair">
        <color rgb="FFFFFF99"/>
      </top>
      <bottom style="hair">
        <color rgb="FFFFFF99"/>
      </bottom>
      <diagonal/>
    </border>
    <border>
      <left style="hair">
        <color rgb="FF3366FF"/>
      </left>
      <right style="hair">
        <color rgb="FF3366FF"/>
      </right>
      <top style="hair">
        <color rgb="FFFFFF99"/>
      </top>
      <bottom/>
      <diagonal/>
    </border>
    <border>
      <left style="thin">
        <color rgb="FFFFFF99"/>
      </left>
      <right style="thin">
        <color rgb="FFFFFF99"/>
      </right>
      <top style="thin">
        <color rgb="FFFFFF99"/>
      </top>
      <bottom style="thin">
        <color rgb="FFFFFF99"/>
      </bottom>
      <diagonal/>
    </border>
    <border>
      <left style="hair">
        <color rgb="FF3366FF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 style="hair">
        <color rgb="FF3366FF"/>
      </left>
      <right/>
      <top style="hair">
        <color rgb="FFFFFF99"/>
      </top>
      <bottom/>
      <diagonal/>
    </border>
    <border>
      <left/>
      <right style="hair">
        <color rgb="FF3366FF"/>
      </right>
      <top style="hair">
        <color rgb="FFFFFF99"/>
      </top>
      <bottom/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/>
      <diagonal/>
    </border>
    <border>
      <left style="dotted">
        <color theme="3" tint="0.59996337778862885"/>
      </left>
      <right/>
      <top style="dotted">
        <color theme="3" tint="0.59996337778862885"/>
      </top>
      <bottom/>
      <diagonal/>
    </border>
    <border>
      <left/>
      <right/>
      <top style="dotted">
        <color theme="3" tint="0.59996337778862885"/>
      </top>
      <bottom/>
      <diagonal/>
    </border>
    <border>
      <left/>
      <right style="dotted">
        <color theme="3" tint="0.59996337778862885"/>
      </right>
      <top style="dotted">
        <color theme="3" tint="0.59996337778862885"/>
      </top>
      <bottom/>
      <diagonal/>
    </border>
    <border>
      <left style="dotted">
        <color theme="3" tint="0.59996337778862885"/>
      </left>
      <right/>
      <top/>
      <bottom/>
      <diagonal/>
    </border>
    <border>
      <left/>
      <right style="dotted">
        <color theme="3" tint="0.59996337778862885"/>
      </right>
      <top/>
      <bottom/>
      <diagonal/>
    </border>
    <border>
      <left style="dotted">
        <color theme="3" tint="0.59996337778862885"/>
      </left>
      <right/>
      <top/>
      <bottom style="dotted">
        <color theme="3" tint="0.59996337778862885"/>
      </bottom>
      <diagonal/>
    </border>
    <border>
      <left/>
      <right/>
      <top/>
      <bottom style="dotted">
        <color theme="3" tint="0.59996337778862885"/>
      </bottom>
      <diagonal/>
    </border>
    <border>
      <left/>
      <right style="dotted">
        <color theme="3" tint="0.59996337778862885"/>
      </right>
      <top/>
      <bottom style="dotted">
        <color theme="3" tint="0.59996337778862885"/>
      </bottom>
      <diagonal/>
    </border>
    <border>
      <left style="dotted">
        <color theme="3"/>
      </left>
      <right/>
      <top style="dotted">
        <color theme="3"/>
      </top>
      <bottom/>
      <diagonal/>
    </border>
    <border>
      <left/>
      <right/>
      <top style="dotted">
        <color theme="3"/>
      </top>
      <bottom/>
      <diagonal/>
    </border>
    <border>
      <left/>
      <right style="dotted">
        <color theme="3"/>
      </right>
      <top style="dotted">
        <color theme="3"/>
      </top>
      <bottom/>
      <diagonal/>
    </border>
    <border>
      <left style="dotted">
        <color theme="3"/>
      </left>
      <right/>
      <top/>
      <bottom style="dotted">
        <color theme="3"/>
      </bottom>
      <diagonal/>
    </border>
    <border>
      <left/>
      <right/>
      <top/>
      <bottom style="dotted">
        <color theme="3"/>
      </bottom>
      <diagonal/>
    </border>
    <border>
      <left/>
      <right style="dotted">
        <color theme="3"/>
      </right>
      <top/>
      <bottom style="dotted">
        <color theme="3"/>
      </bottom>
      <diagonal/>
    </border>
    <border>
      <left/>
      <right style="hair">
        <color theme="3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9" fontId="2" fillId="2" borderId="1" xfId="3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7" fontId="2" fillId="2" borderId="1" xfId="1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6" fillId="4" borderId="12" xfId="0" applyFont="1" applyFill="1" applyBorder="1" applyAlignment="1">
      <alignment horizontal="center" vertical="center"/>
    </xf>
    <xf numFmtId="170" fontId="6" fillId="4" borderId="0" xfId="0" applyNumberFormat="1" applyFont="1" applyFill="1" applyBorder="1" applyAlignment="1">
      <alignment vertical="center"/>
    </xf>
    <xf numFmtId="170" fontId="6" fillId="4" borderId="0" xfId="0" applyNumberFormat="1" applyFont="1" applyFill="1" applyBorder="1" applyAlignment="1">
      <alignment vertical="center" wrapText="1"/>
    </xf>
    <xf numFmtId="0" fontId="6" fillId="4" borderId="0" xfId="4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 wrapText="1"/>
    </xf>
    <xf numFmtId="14" fontId="6" fillId="4" borderId="0" xfId="0" applyNumberFormat="1" applyFont="1" applyFill="1" applyBorder="1" applyAlignment="1">
      <alignment horizontal="left" vertical="center"/>
    </xf>
    <xf numFmtId="0" fontId="13" fillId="4" borderId="0" xfId="0" applyFont="1" applyFill="1" applyBorder="1" applyAlignment="1">
      <alignment vertical="center"/>
    </xf>
    <xf numFmtId="0" fontId="13" fillId="4" borderId="0" xfId="0" applyFont="1" applyFill="1" applyBorder="1" applyAlignment="1">
      <alignment horizontal="left" vertical="center"/>
    </xf>
    <xf numFmtId="1" fontId="9" fillId="4" borderId="20" xfId="0" applyNumberFormat="1" applyFont="1" applyFill="1" applyBorder="1" applyAlignment="1">
      <alignment horizontal="left" vertical="center"/>
    </xf>
    <xf numFmtId="10" fontId="9" fillId="4" borderId="20" xfId="3" applyNumberFormat="1" applyFont="1" applyFill="1" applyBorder="1" applyAlignment="1" applyProtection="1">
      <alignment horizontal="center" vertical="center"/>
      <protection locked="0"/>
    </xf>
    <xf numFmtId="164" fontId="9" fillId="4" borderId="20" xfId="0" applyNumberFormat="1" applyFont="1" applyFill="1" applyBorder="1" applyAlignment="1">
      <alignment horizontal="center" vertical="center"/>
    </xf>
    <xf numFmtId="173" fontId="9" fillId="4" borderId="20" xfId="0" applyNumberFormat="1" applyFont="1" applyFill="1" applyBorder="1" applyAlignment="1">
      <alignment horizontal="center" vertical="center"/>
    </xf>
    <xf numFmtId="173" fontId="9" fillId="4" borderId="24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5" fillId="4" borderId="25" xfId="0" applyNumberFormat="1" applyFont="1" applyFill="1" applyBorder="1" applyAlignment="1">
      <alignment horizontal="right" vertical="center"/>
    </xf>
    <xf numFmtId="0" fontId="5" fillId="4" borderId="26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vertical="center" wrapText="1"/>
    </xf>
    <xf numFmtId="0" fontId="16" fillId="4" borderId="27" xfId="0" applyNumberFormat="1" applyFont="1" applyFill="1" applyBorder="1" applyAlignment="1">
      <alignment horizontal="right" vertical="center"/>
    </xf>
    <xf numFmtId="0" fontId="4" fillId="3" borderId="4" xfId="0" applyFont="1" applyFill="1" applyBorder="1" applyAlignment="1">
      <alignment vertical="center"/>
    </xf>
    <xf numFmtId="10" fontId="21" fillId="2" borderId="32" xfId="3" applyNumberFormat="1" applyFont="1" applyFill="1" applyBorder="1" applyAlignment="1">
      <alignment vertical="center"/>
    </xf>
    <xf numFmtId="0" fontId="18" fillId="5" borderId="0" xfId="0" applyFont="1" applyFill="1" applyAlignment="1">
      <alignment vertical="center"/>
    </xf>
    <xf numFmtId="0" fontId="21" fillId="2" borderId="34" xfId="0" applyFont="1" applyFill="1" applyBorder="1" applyAlignment="1">
      <alignment vertical="center"/>
    </xf>
    <xf numFmtId="172" fontId="21" fillId="2" borderId="35" xfId="0" applyNumberFormat="1" applyFont="1" applyFill="1" applyBorder="1" applyAlignment="1">
      <alignment vertical="center"/>
    </xf>
    <xf numFmtId="0" fontId="18" fillId="2" borderId="32" xfId="0" applyFont="1" applyFill="1" applyBorder="1" applyAlignment="1">
      <alignment vertical="center"/>
    </xf>
    <xf numFmtId="9" fontId="21" fillId="2" borderId="36" xfId="3" applyFont="1" applyFill="1" applyBorder="1" applyAlignment="1">
      <alignment vertical="center"/>
    </xf>
    <xf numFmtId="0" fontId="21" fillId="2" borderId="28" xfId="0" applyFont="1" applyFill="1" applyBorder="1" applyAlignment="1">
      <alignment vertical="center"/>
    </xf>
    <xf numFmtId="0" fontId="21" fillId="2" borderId="30" xfId="0" applyFont="1" applyFill="1" applyBorder="1" applyAlignment="1">
      <alignment vertical="center"/>
    </xf>
    <xf numFmtId="0" fontId="21" fillId="2" borderId="37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vertical="center" wrapText="1"/>
    </xf>
    <xf numFmtId="0" fontId="21" fillId="2" borderId="30" xfId="0" applyFont="1" applyFill="1" applyBorder="1" applyAlignment="1">
      <alignment vertical="center" wrapText="1"/>
    </xf>
    <xf numFmtId="0" fontId="21" fillId="2" borderId="32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10" fontId="0" fillId="6" borderId="32" xfId="3" applyNumberFormat="1" applyFont="1" applyFill="1" applyBorder="1" applyAlignment="1">
      <alignment vertical="center"/>
    </xf>
    <xf numFmtId="0" fontId="0" fillId="6" borderId="40" xfId="0" applyFill="1" applyBorder="1" applyAlignment="1">
      <alignment vertical="center"/>
    </xf>
    <xf numFmtId="172" fontId="0" fillId="6" borderId="32" xfId="0" applyNumberFormat="1" applyFill="1" applyBorder="1" applyAlignment="1">
      <alignment vertical="center"/>
    </xf>
    <xf numFmtId="0" fontId="19" fillId="7" borderId="32" xfId="0" applyFont="1" applyFill="1" applyBorder="1" applyAlignment="1">
      <alignment vertical="center"/>
    </xf>
    <xf numFmtId="9" fontId="0" fillId="6" borderId="26" xfId="3" applyFont="1" applyFill="1" applyBorder="1" applyAlignment="1">
      <alignment vertical="center"/>
    </xf>
    <xf numFmtId="0" fontId="0" fillId="6" borderId="28" xfId="0" applyFill="1" applyBorder="1" applyAlignment="1">
      <alignment vertical="center"/>
    </xf>
    <xf numFmtId="0" fontId="0" fillId="6" borderId="30" xfId="0" applyFill="1" applyBorder="1" applyAlignment="1">
      <alignment vertical="center"/>
    </xf>
    <xf numFmtId="0" fontId="0" fillId="6" borderId="28" xfId="0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32" xfId="0" applyFill="1" applyBorder="1" applyAlignment="1">
      <alignment vertical="center"/>
    </xf>
    <xf numFmtId="0" fontId="19" fillId="8" borderId="32" xfId="0" applyFont="1" applyFill="1" applyBorder="1" applyAlignment="1">
      <alignment vertical="center"/>
    </xf>
    <xf numFmtId="0" fontId="19" fillId="9" borderId="32" xfId="0" applyFont="1" applyFill="1" applyBorder="1" applyAlignment="1">
      <alignment vertical="center"/>
    </xf>
    <xf numFmtId="0" fontId="0" fillId="6" borderId="41" xfId="0" applyFill="1" applyBorder="1" applyAlignment="1">
      <alignment vertical="center"/>
    </xf>
    <xf numFmtId="10" fontId="0" fillId="6" borderId="41" xfId="3" applyNumberFormat="1" applyFont="1" applyFill="1" applyBorder="1" applyAlignment="1">
      <alignment vertical="center"/>
    </xf>
    <xf numFmtId="172" fontId="0" fillId="6" borderId="41" xfId="0" applyNumberFormat="1" applyFill="1" applyBorder="1" applyAlignment="1">
      <alignment vertical="center"/>
    </xf>
    <xf numFmtId="0" fontId="0" fillId="10" borderId="32" xfId="0" applyFill="1" applyBorder="1" applyAlignment="1">
      <alignment vertical="center"/>
    </xf>
    <xf numFmtId="10" fontId="0" fillId="5" borderId="0" xfId="3" applyNumberFormat="1" applyFont="1" applyFill="1" applyAlignment="1">
      <alignment vertical="center"/>
    </xf>
    <xf numFmtId="172" fontId="0" fillId="5" borderId="0" xfId="0" applyNumberFormat="1" applyFill="1" applyAlignment="1">
      <alignment vertical="center"/>
    </xf>
    <xf numFmtId="0" fontId="0" fillId="11" borderId="32" xfId="0" applyFill="1" applyBorder="1" applyAlignment="1">
      <alignment vertical="center"/>
    </xf>
    <xf numFmtId="9" fontId="0" fillId="6" borderId="27" xfId="3" applyFont="1" applyFill="1" applyBorder="1" applyAlignment="1">
      <alignment vertical="center"/>
    </xf>
    <xf numFmtId="0" fontId="0" fillId="12" borderId="32" xfId="0" applyFill="1" applyBorder="1" applyAlignment="1">
      <alignment vertical="center"/>
    </xf>
    <xf numFmtId="9" fontId="0" fillId="5" borderId="0" xfId="3" applyFont="1" applyFill="1" applyAlignment="1">
      <alignment vertical="center"/>
    </xf>
    <xf numFmtId="0" fontId="22" fillId="2" borderId="32" xfId="0" applyFont="1" applyFill="1" applyBorder="1" applyAlignment="1">
      <alignment vertical="center"/>
    </xf>
    <xf numFmtId="0" fontId="20" fillId="13" borderId="32" xfId="0" applyFont="1" applyFill="1" applyBorder="1" applyAlignment="1">
      <alignment vertical="center"/>
    </xf>
    <xf numFmtId="0" fontId="20" fillId="14" borderId="41" xfId="0" applyFont="1" applyFill="1" applyBorder="1" applyAlignment="1">
      <alignment vertical="center"/>
    </xf>
    <xf numFmtId="0" fontId="0" fillId="6" borderId="29" xfId="0" applyFill="1" applyBorder="1" applyAlignment="1">
      <alignment vertical="center"/>
    </xf>
    <xf numFmtId="0" fontId="0" fillId="6" borderId="31" xfId="0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23" fillId="4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49" fontId="21" fillId="2" borderId="33" xfId="6" applyNumberFormat="1" applyFont="1" applyFill="1" applyBorder="1" applyAlignment="1">
      <alignment vertical="center"/>
    </xf>
    <xf numFmtId="49" fontId="0" fillId="6" borderId="39" xfId="6" applyNumberFormat="1" applyFont="1" applyFill="1" applyBorder="1" applyAlignment="1">
      <alignment vertical="center"/>
    </xf>
    <xf numFmtId="49" fontId="0" fillId="6" borderId="28" xfId="6" applyNumberFormat="1" applyFont="1" applyFill="1" applyBorder="1" applyAlignment="1">
      <alignment vertical="center"/>
    </xf>
    <xf numFmtId="49" fontId="0" fillId="5" borderId="0" xfId="6" applyNumberFormat="1" applyFont="1" applyFill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0" fillId="5" borderId="0" xfId="0" applyFill="1" applyAlignment="1">
      <alignment horizontal="left" vertical="center" wrapText="1"/>
    </xf>
    <xf numFmtId="0" fontId="4" fillId="5" borderId="0" xfId="0" applyFont="1" applyFill="1" applyBorder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5" borderId="0" xfId="0" applyFont="1" applyFill="1" applyAlignment="1">
      <alignment horizontal="left" vertical="center"/>
    </xf>
    <xf numFmtId="0" fontId="6" fillId="5" borderId="5" xfId="0" applyFont="1" applyFill="1" applyBorder="1" applyAlignment="1" applyProtection="1">
      <alignment vertical="center"/>
      <protection locked="0"/>
    </xf>
    <xf numFmtId="0" fontId="10" fillId="5" borderId="5" xfId="0" applyFont="1" applyFill="1" applyBorder="1" applyAlignment="1">
      <alignment horizontal="center" vertical="center"/>
    </xf>
    <xf numFmtId="1" fontId="9" fillId="5" borderId="0" xfId="0" applyNumberFormat="1" applyFont="1" applyFill="1" applyAlignment="1">
      <alignment vertical="center"/>
    </xf>
    <xf numFmtId="0" fontId="9" fillId="5" borderId="0" xfId="0" applyFon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vertical="center"/>
    </xf>
    <xf numFmtId="1" fontId="9" fillId="4" borderId="20" xfId="0" applyNumberFormat="1" applyFont="1" applyFill="1" applyBorder="1" applyAlignment="1">
      <alignment horizontal="center" vertical="center"/>
    </xf>
    <xf numFmtId="174" fontId="9" fillId="4" borderId="20" xfId="0" applyNumberFormat="1" applyFont="1" applyFill="1" applyBorder="1" applyAlignment="1">
      <alignment horizontal="center" vertical="center"/>
    </xf>
    <xf numFmtId="175" fontId="9" fillId="4" borderId="20" xfId="0" applyNumberFormat="1" applyFont="1" applyFill="1" applyBorder="1" applyAlignment="1">
      <alignment horizontal="center" vertical="center"/>
    </xf>
    <xf numFmtId="0" fontId="6" fillId="15" borderId="17" xfId="0" applyNumberFormat="1" applyFont="1" applyFill="1" applyBorder="1" applyAlignment="1">
      <alignment horizontal="center" vertical="center"/>
    </xf>
    <xf numFmtId="0" fontId="6" fillId="15" borderId="5" xfId="0" applyNumberFormat="1" applyFont="1" applyFill="1" applyBorder="1" applyAlignment="1">
      <alignment horizontal="center" vertical="center"/>
    </xf>
    <xf numFmtId="0" fontId="6" fillId="15" borderId="5" xfId="3" applyNumberFormat="1" applyFont="1" applyFill="1" applyBorder="1" applyAlignment="1">
      <alignment horizontal="center" vertical="center"/>
    </xf>
    <xf numFmtId="0" fontId="6" fillId="15" borderId="5" xfId="0" applyNumberFormat="1" applyFont="1" applyFill="1" applyBorder="1" applyAlignment="1">
      <alignment horizontal="center" vertical="center" wrapText="1"/>
    </xf>
    <xf numFmtId="0" fontId="6" fillId="15" borderId="19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64" fontId="4" fillId="3" borderId="3" xfId="2" applyNumberFormat="1" applyFont="1" applyFill="1" applyBorder="1" applyAlignment="1">
      <alignment vertical="center"/>
    </xf>
    <xf numFmtId="9" fontId="4" fillId="3" borderId="3" xfId="3" applyFont="1" applyFill="1" applyBorder="1" applyAlignment="1">
      <alignment vertical="center"/>
    </xf>
    <xf numFmtId="166" fontId="4" fillId="3" borderId="3" xfId="2" applyNumberFormat="1" applyFont="1" applyFill="1" applyBorder="1" applyAlignment="1">
      <alignment vertical="center"/>
    </xf>
    <xf numFmtId="167" fontId="4" fillId="3" borderId="3" xfId="1" applyNumberFormat="1" applyFont="1" applyFill="1" applyBorder="1" applyAlignment="1">
      <alignment vertical="center"/>
    </xf>
    <xf numFmtId="168" fontId="4" fillId="3" borderId="3" xfId="0" applyNumberFormat="1" applyFont="1" applyFill="1" applyBorder="1" applyAlignment="1">
      <alignment vertical="center"/>
    </xf>
    <xf numFmtId="164" fontId="4" fillId="3" borderId="4" xfId="2" applyNumberFormat="1" applyFont="1" applyFill="1" applyBorder="1" applyAlignment="1">
      <alignment vertical="center"/>
    </xf>
    <xf numFmtId="9" fontId="4" fillId="3" borderId="4" xfId="3" applyFont="1" applyFill="1" applyBorder="1" applyAlignment="1">
      <alignment vertical="center"/>
    </xf>
    <xf numFmtId="166" fontId="4" fillId="3" borderId="4" xfId="2" applyNumberFormat="1" applyFont="1" applyFill="1" applyBorder="1" applyAlignment="1">
      <alignment vertical="center"/>
    </xf>
    <xf numFmtId="167" fontId="4" fillId="3" borderId="4" xfId="1" applyNumberFormat="1" applyFont="1" applyFill="1" applyBorder="1" applyAlignment="1">
      <alignment vertical="center"/>
    </xf>
    <xf numFmtId="168" fontId="4" fillId="3" borderId="4" xfId="0" applyNumberFormat="1" applyFont="1" applyFill="1" applyBorder="1" applyAlignment="1">
      <alignment vertical="center"/>
    </xf>
    <xf numFmtId="0" fontId="0" fillId="5" borderId="0" xfId="0" applyFont="1" applyFill="1" applyAlignment="1">
      <alignment vertical="center"/>
    </xf>
    <xf numFmtId="164" fontId="0" fillId="5" borderId="0" xfId="2" applyNumberFormat="1" applyFont="1" applyFill="1" applyAlignment="1">
      <alignment vertical="center"/>
    </xf>
    <xf numFmtId="166" fontId="0" fillId="5" borderId="0" xfId="2" applyNumberFormat="1" applyFont="1" applyFill="1" applyAlignment="1">
      <alignment vertical="center"/>
    </xf>
    <xf numFmtId="167" fontId="0" fillId="5" borderId="0" xfId="1" applyNumberFormat="1" applyFont="1" applyFill="1" applyAlignment="1">
      <alignment vertical="center"/>
    </xf>
    <xf numFmtId="168" fontId="0" fillId="5" borderId="0" xfId="0" applyNumberFormat="1" applyFill="1" applyAlignment="1">
      <alignment vertical="center"/>
    </xf>
    <xf numFmtId="0" fontId="3" fillId="5" borderId="0" xfId="4" applyFill="1" applyAlignment="1">
      <alignment vertical="center"/>
    </xf>
    <xf numFmtId="0" fontId="0" fillId="6" borderId="32" xfId="0" quotePrefix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14" fillId="5" borderId="0" xfId="0" applyFont="1" applyFill="1" applyAlignment="1">
      <alignment vertical="center"/>
    </xf>
    <xf numFmtId="0" fontId="8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right" vertical="center"/>
    </xf>
    <xf numFmtId="179" fontId="8" fillId="5" borderId="0" xfId="0" applyNumberFormat="1" applyFont="1" applyFill="1" applyAlignment="1">
      <alignment vertical="center"/>
    </xf>
    <xf numFmtId="0" fontId="17" fillId="5" borderId="0" xfId="5" applyFont="1" applyFill="1" applyBorder="1" applyAlignment="1" applyProtection="1">
      <alignment vertical="center"/>
      <protection hidden="1"/>
    </xf>
    <xf numFmtId="0" fontId="8" fillId="5" borderId="0" xfId="0" applyFont="1" applyFill="1" applyBorder="1" applyAlignment="1">
      <alignment vertical="center"/>
    </xf>
    <xf numFmtId="0" fontId="4" fillId="3" borderId="42" xfId="0" applyFont="1" applyFill="1" applyBorder="1" applyAlignment="1">
      <alignment horizontal="left" vertical="center"/>
    </xf>
    <xf numFmtId="0" fontId="4" fillId="3" borderId="42" xfId="0" applyFont="1" applyFill="1" applyBorder="1" applyAlignment="1">
      <alignment vertical="center"/>
    </xf>
    <xf numFmtId="166" fontId="4" fillId="3" borderId="42" xfId="2" applyNumberFormat="1" applyFont="1" applyFill="1" applyBorder="1" applyAlignment="1">
      <alignment vertical="center"/>
    </xf>
    <xf numFmtId="168" fontId="4" fillId="3" borderId="42" xfId="0" applyNumberFormat="1" applyFont="1" applyFill="1" applyBorder="1" applyAlignment="1">
      <alignment vertical="center"/>
    </xf>
    <xf numFmtId="0" fontId="5" fillId="4" borderId="0" xfId="0" applyFont="1" applyFill="1" applyBorder="1" applyAlignment="1">
      <alignment horizontal="righ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left" vertical="center"/>
    </xf>
    <xf numFmtId="171" fontId="6" fillId="4" borderId="0" xfId="0" applyNumberFormat="1" applyFont="1" applyFill="1" applyBorder="1" applyAlignment="1">
      <alignment horizontal="left" vertical="center"/>
    </xf>
    <xf numFmtId="171" fontId="6" fillId="4" borderId="0" xfId="0" applyNumberFormat="1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right" vertical="center"/>
    </xf>
    <xf numFmtId="14" fontId="6" fillId="4" borderId="16" xfId="0" applyNumberFormat="1" applyFont="1" applyFill="1" applyBorder="1" applyAlignment="1" applyProtection="1">
      <alignment horizontal="center" vertical="center"/>
    </xf>
    <xf numFmtId="1" fontId="9" fillId="17" borderId="20" xfId="0" applyNumberFormat="1" applyFont="1" applyFill="1" applyBorder="1" applyAlignment="1" applyProtection="1">
      <alignment horizontal="center" vertical="center"/>
      <protection locked="0"/>
    </xf>
    <xf numFmtId="1" fontId="9" fillId="17" borderId="22" xfId="0" applyNumberFormat="1" applyFont="1" applyFill="1" applyBorder="1" applyAlignment="1" applyProtection="1">
      <alignment horizontal="center" vertical="center"/>
      <protection locked="0"/>
    </xf>
    <xf numFmtId="172" fontId="12" fillId="17" borderId="0" xfId="0" applyNumberFormat="1" applyFont="1" applyFill="1" applyBorder="1" applyAlignment="1" applyProtection="1">
      <alignment vertical="center"/>
      <protection locked="0"/>
    </xf>
    <xf numFmtId="0" fontId="9" fillId="4" borderId="0" xfId="0" applyFont="1" applyFill="1" applyAlignment="1">
      <alignment vertical="center"/>
    </xf>
    <xf numFmtId="169" fontId="9" fillId="4" borderId="20" xfId="0" applyNumberFormat="1" applyFont="1" applyFill="1" applyBorder="1" applyAlignment="1">
      <alignment horizontal="center" vertical="center"/>
    </xf>
    <xf numFmtId="1" fontId="9" fillId="4" borderId="20" xfId="0" applyNumberFormat="1" applyFont="1" applyFill="1" applyBorder="1" applyAlignment="1" applyProtection="1">
      <alignment horizontal="left" vertical="center"/>
    </xf>
    <xf numFmtId="177" fontId="5" fillId="4" borderId="25" xfId="0" applyNumberFormat="1" applyFont="1" applyFill="1" applyBorder="1" applyAlignment="1">
      <alignment vertical="center"/>
    </xf>
    <xf numFmtId="0" fontId="5" fillId="4" borderId="26" xfId="0" applyFont="1" applyFill="1" applyBorder="1" applyAlignment="1">
      <alignment horizontal="right" vertical="center"/>
    </xf>
    <xf numFmtId="168" fontId="5" fillId="4" borderId="26" xfId="0" applyNumberFormat="1" applyFont="1" applyFill="1" applyBorder="1" applyAlignment="1">
      <alignment vertical="center"/>
    </xf>
    <xf numFmtId="178" fontId="5" fillId="4" borderId="27" xfId="0" applyNumberFormat="1" applyFont="1" applyFill="1" applyBorder="1" applyAlignment="1">
      <alignment horizontal="right" vertical="center"/>
    </xf>
    <xf numFmtId="176" fontId="6" fillId="4" borderId="25" xfId="0" applyNumberFormat="1" applyFont="1" applyFill="1" applyBorder="1" applyAlignment="1">
      <alignment horizontal="right" vertical="center"/>
    </xf>
    <xf numFmtId="9" fontId="6" fillId="17" borderId="26" xfId="3" applyFont="1" applyFill="1" applyBorder="1" applyAlignment="1">
      <alignment horizontal="right" vertical="center"/>
    </xf>
    <xf numFmtId="176" fontId="6" fillId="17" borderId="26" xfId="0" applyNumberFormat="1" applyFont="1" applyFill="1" applyBorder="1" applyAlignment="1">
      <alignment horizontal="right" vertical="center"/>
    </xf>
    <xf numFmtId="176" fontId="6" fillId="4" borderId="26" xfId="0" applyNumberFormat="1" applyFont="1" applyFill="1" applyBorder="1" applyAlignment="1">
      <alignment horizontal="right" vertical="center"/>
    </xf>
    <xf numFmtId="164" fontId="5" fillId="4" borderId="27" xfId="0" applyNumberFormat="1" applyFont="1" applyFill="1" applyBorder="1" applyAlignment="1">
      <alignment horizontal="right" vertical="center"/>
    </xf>
    <xf numFmtId="0" fontId="27" fillId="4" borderId="0" xfId="0" applyFont="1" applyFill="1" applyBorder="1" applyAlignment="1">
      <alignment horizontal="center"/>
    </xf>
    <xf numFmtId="0" fontId="15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171" fontId="6" fillId="4" borderId="0" xfId="0" applyNumberFormat="1" applyFont="1" applyFill="1" applyBorder="1" applyAlignment="1">
      <alignment vertical="center" wrapText="1"/>
    </xf>
    <xf numFmtId="0" fontId="6" fillId="4" borderId="0" xfId="0" applyFont="1" applyFill="1" applyBorder="1" applyAlignment="1">
      <alignment vertical="center" wrapText="1"/>
    </xf>
    <xf numFmtId="3" fontId="6" fillId="4" borderId="0" xfId="0" applyNumberFormat="1" applyFont="1" applyFill="1" applyBorder="1" applyAlignment="1">
      <alignment vertical="center" wrapText="1"/>
    </xf>
    <xf numFmtId="170" fontId="6" fillId="4" borderId="0" xfId="0" applyNumberFormat="1" applyFont="1" applyFill="1" applyBorder="1" applyAlignment="1">
      <alignment horizontal="left" vertical="center"/>
    </xf>
    <xf numFmtId="171" fontId="6" fillId="4" borderId="0" xfId="0" applyNumberFormat="1" applyFont="1" applyFill="1" applyBorder="1" applyAlignment="1">
      <alignment vertical="center"/>
    </xf>
    <xf numFmtId="168" fontId="29" fillId="19" borderId="5" xfId="1" applyNumberFormat="1" applyFont="1" applyFill="1" applyBorder="1" applyAlignment="1">
      <alignment vertical="center"/>
    </xf>
    <xf numFmtId="168" fontId="28" fillId="18" borderId="25" xfId="1" applyNumberFormat="1" applyFont="1" applyFill="1" applyBorder="1" applyAlignment="1">
      <alignment vertical="center"/>
    </xf>
    <xf numFmtId="168" fontId="28" fillId="18" borderId="26" xfId="1" applyNumberFormat="1" applyFont="1" applyFill="1" applyBorder="1" applyAlignment="1">
      <alignment vertical="center"/>
    </xf>
    <xf numFmtId="0" fontId="0" fillId="5" borderId="0" xfId="0" applyFill="1"/>
    <xf numFmtId="0" fontId="2" fillId="2" borderId="0" xfId="0" applyFont="1" applyFill="1" applyAlignment="1">
      <alignment horizontal="center" vertical="center"/>
    </xf>
    <xf numFmtId="0" fontId="0" fillId="5" borderId="58" xfId="0" applyFill="1" applyBorder="1"/>
    <xf numFmtId="0" fontId="24" fillId="20" borderId="58" xfId="0" applyFont="1" applyFill="1" applyBorder="1"/>
    <xf numFmtId="0" fontId="24" fillId="20" borderId="59" xfId="0" applyFont="1" applyFill="1" applyBorder="1"/>
    <xf numFmtId="166" fontId="30" fillId="3" borderId="0" xfId="2" applyNumberFormat="1" applyFont="1" applyFill="1" applyAlignment="1">
      <alignment horizontal="center" vertical="center"/>
    </xf>
    <xf numFmtId="0" fontId="24" fillId="2" borderId="2" xfId="0" applyFont="1" applyFill="1" applyBorder="1"/>
    <xf numFmtId="164" fontId="4" fillId="3" borderId="2" xfId="0" applyNumberFormat="1" applyFont="1" applyFill="1" applyBorder="1"/>
    <xf numFmtId="0" fontId="4" fillId="3" borderId="2" xfId="0" applyNumberFormat="1" applyFont="1" applyFill="1" applyBorder="1"/>
    <xf numFmtId="44" fontId="4" fillId="3" borderId="2" xfId="0" applyNumberFormat="1" applyFont="1" applyFill="1" applyBorder="1"/>
    <xf numFmtId="0" fontId="24" fillId="21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2" fillId="2" borderId="58" xfId="0" applyFont="1" applyFill="1" applyBorder="1"/>
    <xf numFmtId="0" fontId="2" fillId="2" borderId="61" xfId="0" applyFont="1" applyFill="1" applyBorder="1"/>
    <xf numFmtId="0" fontId="2" fillId="2" borderId="60" xfId="0" applyFont="1" applyFill="1" applyBorder="1" applyAlignment="1">
      <alignment horizontal="center" vertical="center"/>
    </xf>
    <xf numFmtId="0" fontId="31" fillId="5" borderId="0" xfId="0" applyFont="1" applyFill="1" applyAlignment="1">
      <alignment vertical="center"/>
    </xf>
    <xf numFmtId="8" fontId="4" fillId="3" borderId="42" xfId="2" applyNumberFormat="1" applyFont="1" applyFill="1" applyBorder="1" applyAlignment="1">
      <alignment vertical="center"/>
    </xf>
    <xf numFmtId="9" fontId="4" fillId="3" borderId="42" xfId="3" applyNumberFormat="1" applyFont="1" applyFill="1" applyBorder="1" applyAlignment="1">
      <alignment vertical="center"/>
    </xf>
    <xf numFmtId="0" fontId="7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9" fillId="17" borderId="20" xfId="0" applyFont="1" applyFill="1" applyBorder="1" applyAlignment="1" applyProtection="1">
      <alignment vertical="center" wrapText="1"/>
      <protection locked="0"/>
    </xf>
    <xf numFmtId="0" fontId="9" fillId="17" borderId="22" xfId="0" applyFont="1" applyFill="1" applyBorder="1" applyAlignment="1" applyProtection="1">
      <alignment vertical="center" wrapText="1"/>
      <protection locked="0"/>
    </xf>
    <xf numFmtId="0" fontId="9" fillId="4" borderId="51" xfId="0" applyFont="1" applyFill="1" applyBorder="1" applyAlignment="1">
      <alignment horizontal="left" vertical="center" wrapText="1"/>
    </xf>
    <xf numFmtId="0" fontId="9" fillId="4" borderId="52" xfId="0" applyFont="1" applyFill="1" applyBorder="1" applyAlignment="1">
      <alignment horizontal="left" vertical="center" wrapText="1"/>
    </xf>
    <xf numFmtId="0" fontId="9" fillId="4" borderId="53" xfId="0" applyFont="1" applyFill="1" applyBorder="1" applyAlignment="1">
      <alignment horizontal="left" vertical="center" wrapText="1"/>
    </xf>
    <xf numFmtId="0" fontId="9" fillId="4" borderId="54" xfId="0" applyFont="1" applyFill="1" applyBorder="1" applyAlignment="1">
      <alignment horizontal="left" vertical="center" wrapText="1"/>
    </xf>
    <xf numFmtId="0" fontId="9" fillId="4" borderId="55" xfId="0" applyFont="1" applyFill="1" applyBorder="1" applyAlignment="1">
      <alignment horizontal="left" vertical="center" wrapText="1"/>
    </xf>
    <xf numFmtId="0" fontId="9" fillId="4" borderId="56" xfId="0" applyFont="1" applyFill="1" applyBorder="1" applyAlignment="1">
      <alignment horizontal="left" vertical="center" wrapText="1"/>
    </xf>
    <xf numFmtId="0" fontId="25" fillId="4" borderId="0" xfId="0" applyFont="1" applyFill="1" applyBorder="1" applyAlignment="1">
      <alignment horizontal="center" vertical="center"/>
    </xf>
    <xf numFmtId="0" fontId="6" fillId="15" borderId="5" xfId="0" applyNumberFormat="1" applyFont="1" applyFill="1" applyBorder="1" applyAlignment="1">
      <alignment horizontal="center" vertical="center" wrapText="1"/>
    </xf>
    <xf numFmtId="0" fontId="9" fillId="17" borderId="20" xfId="0" applyFont="1" applyFill="1" applyBorder="1" applyAlignment="1" applyProtection="1">
      <alignment horizontal="left" vertical="center" wrapText="1"/>
      <protection locked="0"/>
    </xf>
    <xf numFmtId="169" fontId="5" fillId="16" borderId="17" xfId="0" applyNumberFormat="1" applyFont="1" applyFill="1" applyBorder="1" applyAlignment="1">
      <alignment horizontal="center" vertical="center"/>
    </xf>
    <xf numFmtId="169" fontId="5" fillId="16" borderId="5" xfId="0" applyNumberFormat="1" applyFont="1" applyFill="1" applyBorder="1" applyAlignment="1">
      <alignment horizontal="center" vertical="center"/>
    </xf>
    <xf numFmtId="169" fontId="5" fillId="16" borderId="19" xfId="0" applyNumberFormat="1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 wrapText="1"/>
    </xf>
    <xf numFmtId="0" fontId="5" fillId="4" borderId="19" xfId="0" applyNumberFormat="1" applyFont="1" applyFill="1" applyBorder="1" applyAlignment="1">
      <alignment horizontal="center" vertical="center" wrapText="1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26" fillId="4" borderId="43" xfId="0" applyFont="1" applyFill="1" applyBorder="1" applyAlignment="1">
      <alignment horizontal="center" vertical="center"/>
    </xf>
    <xf numFmtId="0" fontId="26" fillId="4" borderId="44" xfId="0" applyFont="1" applyFill="1" applyBorder="1" applyAlignment="1">
      <alignment horizontal="center" vertical="center"/>
    </xf>
    <xf numFmtId="0" fontId="26" fillId="4" borderId="45" xfId="0" applyFont="1" applyFill="1" applyBorder="1" applyAlignment="1">
      <alignment horizontal="center" vertical="center"/>
    </xf>
    <xf numFmtId="0" fontId="26" fillId="4" borderId="46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26" fillId="4" borderId="47" xfId="0" applyFont="1" applyFill="1" applyBorder="1" applyAlignment="1">
      <alignment horizontal="center" vertical="center"/>
    </xf>
    <xf numFmtId="0" fontId="26" fillId="4" borderId="48" xfId="0" applyFont="1" applyFill="1" applyBorder="1" applyAlignment="1">
      <alignment horizontal="center" vertical="center"/>
    </xf>
    <xf numFmtId="0" fontId="26" fillId="4" borderId="49" xfId="0" applyFont="1" applyFill="1" applyBorder="1" applyAlignment="1">
      <alignment horizontal="center" vertical="center"/>
    </xf>
    <xf numFmtId="0" fontId="26" fillId="4" borderId="5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top"/>
    </xf>
    <xf numFmtId="3" fontId="6" fillId="4" borderId="0" xfId="0" applyNumberFormat="1" applyFont="1" applyFill="1" applyBorder="1" applyAlignment="1">
      <alignment horizontal="left" vertical="center"/>
    </xf>
    <xf numFmtId="0" fontId="5" fillId="4" borderId="17" xfId="0" applyNumberFormat="1" applyFont="1" applyFill="1" applyBorder="1" applyAlignment="1">
      <alignment horizontal="center" vertical="center" wrapText="1"/>
    </xf>
    <xf numFmtId="0" fontId="5" fillId="4" borderId="8" xfId="0" applyNumberFormat="1" applyFont="1" applyFill="1" applyBorder="1" applyAlignment="1">
      <alignment horizontal="center" vertical="center" wrapText="1"/>
    </xf>
    <xf numFmtId="0" fontId="5" fillId="4" borderId="18" xfId="0" applyNumberFormat="1" applyFont="1" applyFill="1" applyBorder="1" applyAlignment="1">
      <alignment horizontal="center" vertical="center" wrapText="1"/>
    </xf>
    <xf numFmtId="0" fontId="5" fillId="4" borderId="9" xfId="0" applyNumberFormat="1" applyFont="1" applyFill="1" applyBorder="1" applyAlignment="1">
      <alignment horizontal="center" vertical="center" wrapText="1"/>
    </xf>
    <xf numFmtId="0" fontId="5" fillId="4" borderId="21" xfId="0" applyNumberFormat="1" applyFont="1" applyFill="1" applyBorder="1" applyAlignment="1">
      <alignment horizontal="center" vertical="center" wrapText="1"/>
    </xf>
    <xf numFmtId="0" fontId="5" fillId="4" borderId="22" xfId="0" applyNumberFormat="1" applyFont="1" applyFill="1" applyBorder="1" applyAlignment="1">
      <alignment horizontal="center" vertical="center" wrapText="1"/>
    </xf>
    <xf numFmtId="0" fontId="5" fillId="4" borderId="23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left" vertical="center" wrapText="1"/>
    </xf>
    <xf numFmtId="168" fontId="28" fillId="18" borderId="13" xfId="0" applyNumberFormat="1" applyFont="1" applyFill="1" applyBorder="1" applyAlignment="1">
      <alignment horizontal="right" vertical="center"/>
    </xf>
    <xf numFmtId="168" fontId="28" fillId="18" borderId="57" xfId="0" applyNumberFormat="1" applyFont="1" applyFill="1" applyBorder="1" applyAlignment="1">
      <alignment horizontal="right" vertical="center"/>
    </xf>
    <xf numFmtId="168" fontId="28" fillId="18" borderId="21" xfId="0" applyNumberFormat="1" applyFont="1" applyFill="1" applyBorder="1" applyAlignment="1">
      <alignment horizontal="right" vertical="center"/>
    </xf>
    <xf numFmtId="168" fontId="28" fillId="18" borderId="23" xfId="0" applyNumberFormat="1" applyFont="1" applyFill="1" applyBorder="1" applyAlignment="1">
      <alignment horizontal="right" vertical="center"/>
    </xf>
    <xf numFmtId="168" fontId="28" fillId="18" borderId="8" xfId="0" applyNumberFormat="1" applyFont="1" applyFill="1" applyBorder="1" applyAlignment="1">
      <alignment horizontal="right" vertical="center"/>
    </xf>
    <xf numFmtId="168" fontId="28" fillId="18" borderId="9" xfId="0" applyNumberFormat="1" applyFont="1" applyFill="1" applyBorder="1" applyAlignment="1">
      <alignment horizontal="right" vertical="center"/>
    </xf>
    <xf numFmtId="0" fontId="21" fillId="2" borderId="0" xfId="0" applyFont="1" applyFill="1" applyAlignment="1">
      <alignment horizontal="center" vertical="center"/>
    </xf>
  </cellXfs>
  <cellStyles count="8">
    <cellStyle name="Lien hypertexte" xfId="4" builtinId="8"/>
    <cellStyle name="Milliers" xfId="1" builtinId="3"/>
    <cellStyle name="Milliers 2" xfId="6"/>
    <cellStyle name="Monétaire" xfId="2" builtinId="4"/>
    <cellStyle name="Monétaire 2" xfId="7"/>
    <cellStyle name="Normal" xfId="0" builtinId="0"/>
    <cellStyle name="Normal 2 2" xfId="5"/>
    <cellStyle name="Pourcentage" xfId="3" builtinId="5"/>
  </cellStyles>
  <dxfs count="103">
    <dxf>
      <font>
        <color rgb="FFFFFF66"/>
      </font>
      <fill>
        <patternFill patternType="solid">
          <bgColor rgb="FF00206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auto="1"/>
      </font>
      <fill>
        <patternFill patternType="solid">
          <bgColor rgb="FFFF669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rgb="FF663300"/>
      </font>
      <fill>
        <patternFill>
          <bgColor rgb="FFFFC000"/>
        </patternFill>
      </fill>
    </dxf>
    <dxf>
      <font>
        <color rgb="FFFFFF66"/>
      </font>
      <fill>
        <patternFill patternType="solid">
          <bgColor rgb="FF00206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auto="1"/>
      </font>
      <fill>
        <patternFill patternType="solid">
          <bgColor rgb="FFFF669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rgb="FF663300"/>
      </font>
      <fill>
        <patternFill>
          <bgColor rgb="FFFFC000"/>
        </patternFill>
      </fill>
    </dxf>
    <dxf>
      <font>
        <color rgb="FFFFFF66"/>
      </font>
      <fill>
        <patternFill patternType="solid">
          <bgColor rgb="FF00206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auto="1"/>
      </font>
      <fill>
        <patternFill patternType="solid">
          <bgColor rgb="FFFF669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rgb="FF663300"/>
      </font>
      <fill>
        <patternFill>
          <bgColor rgb="FFFFC000"/>
        </patternFill>
      </fill>
    </dxf>
    <dxf>
      <font>
        <color rgb="FFFFFF66"/>
      </font>
      <fill>
        <patternFill patternType="solid">
          <bgColor rgb="FF002060"/>
        </patternFill>
      </fill>
    </dxf>
    <dxf>
      <font>
        <color theme="0"/>
      </font>
      <fill>
        <patternFill patternType="solid">
          <bgColor rgb="FF7030A0"/>
        </patternFill>
      </fill>
    </dxf>
    <dxf>
      <font>
        <color auto="1"/>
      </font>
      <fill>
        <patternFill patternType="solid">
          <bgColor rgb="FFFF6699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663300"/>
        </patternFill>
      </fill>
    </dxf>
    <dxf>
      <font>
        <color rgb="FF66330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8" formatCode="0.000\ \k\g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6" formatCode="_-* #,##0.00\ [$€-40C]_-;\-* #,##0.00\ [$€-40C]_-;_-* &quot;-&quot;??\ [$€-40C]_-;_-@_-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_(&quot;€&quot;* #,##0.00_);_(&quot;€&quot;* \(#,##0.00\);_(&quot;€&quot;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indexed="64"/>
          <bgColor rgb="FFFFFD5D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FFFD5D"/>
        </patternFill>
      </fill>
      <alignment vertical="center" textRotation="0" indent="0" justifyLastLine="0" shrinkToFit="0" readingOrder="0"/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D5D"/>
        <name val="Calibri"/>
        <family val="2"/>
        <scheme val="minor"/>
      </font>
      <numFmt numFmtId="167" formatCode="_(* #,##0_);_(* \(#,##0\);_(* &quot;-&quot;??_);_(@_)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  <dxf>
      <font>
        <sz val="11"/>
        <family val="2"/>
      </font>
    </dxf>
    <dxf>
      <font>
        <sz val="10"/>
        <family val="2"/>
      </font>
    </dxf>
    <dxf>
      <font>
        <sz val="9"/>
        <family val="2"/>
      </font>
    </dxf>
    <dxf>
      <font>
        <b/>
        <family val="2"/>
      </font>
    </dxf>
    <dxf>
      <font>
        <b val="0"/>
        <family val="2"/>
      </font>
    </dxf>
    <dxf>
      <border>
        <left style="hair">
          <color theme="3"/>
        </left>
        <right style="hair">
          <color theme="3"/>
        </right>
        <top style="dotted">
          <color theme="3"/>
        </top>
        <bottom style="dotted">
          <color theme="3"/>
        </bottom>
        <vertical style="hair">
          <color theme="3"/>
        </vertical>
        <horizontal style="dotted">
          <color theme="3"/>
        </horizontal>
      </border>
    </dxf>
    <dxf>
      <border>
        <left style="hair">
          <color theme="3"/>
        </left>
        <right style="hair">
          <color theme="3"/>
        </right>
        <top style="dotted">
          <color theme="3"/>
        </top>
        <bottom style="dotted">
          <color theme="3"/>
        </bottom>
        <vertical style="hair">
          <color theme="3"/>
        </vertical>
        <horizontal style="dotted">
          <color theme="3"/>
        </horizontal>
      </border>
    </dxf>
    <dxf>
      <font>
        <color rgb="FFFFFD5D"/>
        <family val="2"/>
      </font>
    </dxf>
    <dxf>
      <fill>
        <patternFill>
          <bgColor rgb="FF002060"/>
        </patternFill>
      </fill>
    </dxf>
    <dxf>
      <numFmt numFmtId="164" formatCode="_(&quot;€&quot;* #,##0.00_);_(&quot;€&quot;* \(#,##0.00\);_(&quot;€&quot;* &quot;-&quot;??_);_(@_)"/>
    </dxf>
    <dxf>
      <font>
        <color rgb="FFFFFD5D"/>
        <family val="2"/>
      </font>
    </dxf>
    <dxf>
      <fill>
        <patternFill>
          <bgColor rgb="FF2E6A68"/>
        </patternFill>
      </fill>
    </dxf>
    <dxf>
      <fill>
        <patternFill>
          <bgColor rgb="FF2E6A68"/>
        </patternFill>
      </fill>
    </dxf>
    <dxf>
      <font>
        <color rgb="FFFFFD5D"/>
        <family val="2"/>
      </font>
    </dxf>
    <dxf>
      <fill>
        <patternFill>
          <bgColor rgb="FF002060"/>
        </patternFill>
      </fill>
    </dxf>
    <dxf>
      <font>
        <color rgb="FFFFFD5D"/>
        <family val="2"/>
      </font>
    </dxf>
    <dxf>
      <fill>
        <patternFill>
          <bgColor rgb="FF002060"/>
        </patternFill>
      </fill>
    </dxf>
    <dxf>
      <font>
        <color rgb="FF002060"/>
        <family val="2"/>
      </font>
    </dxf>
    <dxf>
      <fill>
        <patternFill>
          <bgColor rgb="FFFFFD5D"/>
        </patternFill>
      </fill>
    </dxf>
    <dxf>
      <fill>
        <patternFill>
          <bgColor rgb="FF2E6A68"/>
        </patternFill>
      </fill>
    </dxf>
    <dxf>
      <font>
        <color rgb="FF002060"/>
        <family val="2"/>
      </font>
    </dxf>
    <dxf>
      <font>
        <color rgb="FFFFFD5D"/>
        <family val="2"/>
      </font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rgb="FFFFFD5D"/>
        <family val="2"/>
      </font>
    </dxf>
    <dxf>
      <fill>
        <patternFill>
          <bgColor rgb="FF002060"/>
        </patternFill>
      </fill>
    </dxf>
    <dxf>
      <font>
        <color rgb="FF002060"/>
        <family val="2"/>
      </font>
    </dxf>
    <dxf>
      <font>
        <color rgb="FF002060"/>
        <family val="2"/>
      </font>
    </dxf>
    <dxf>
      <fill>
        <patternFill>
          <bgColor rgb="FFFFFD5D"/>
        </patternFill>
      </fill>
    </dxf>
    <dxf>
      <fill>
        <patternFill>
          <bgColor rgb="FFFFFD5D"/>
        </patternFill>
      </fill>
    </dxf>
    <dxf>
      <font>
        <color rgb="FFFFFD5D"/>
        <family val="2"/>
      </font>
    </dxf>
    <dxf>
      <font>
        <color rgb="FFFFFD5D"/>
        <family val="2"/>
      </font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ont>
        <color rgb="FFFFFD5D"/>
        <family val="2"/>
      </font>
    </dxf>
    <dxf>
      <fill>
        <patternFill>
          <bgColor rgb="FF00206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b val="0"/>
        <i/>
        <color theme="3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b val="0"/>
        <i/>
        <color theme="3"/>
      </font>
      <fill>
        <patternFill>
          <bgColor rgb="FFFFC000"/>
        </patternFill>
      </fill>
    </dxf>
    <dxf>
      <font>
        <b val="0"/>
        <i/>
        <color theme="3"/>
      </font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FFFD5D"/>
      <color rgb="FF2E6A68"/>
      <color rgb="FFD3F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0</xdr:row>
          <xdr:rowOff>9525</xdr:rowOff>
        </xdr:from>
        <xdr:to>
          <xdr:col>14</xdr:col>
          <xdr:colOff>2419350</xdr:colOff>
          <xdr:row>1</xdr:row>
          <xdr:rowOff>28575</xdr:rowOff>
        </xdr:to>
        <xdr:sp macro="" textlink="">
          <xdr:nvSpPr>
            <xdr:cNvPr id="8194" name="CmdEquipements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0</xdr:row>
          <xdr:rowOff>0</xdr:rowOff>
        </xdr:from>
        <xdr:to>
          <xdr:col>17</xdr:col>
          <xdr:colOff>19050</xdr:colOff>
          <xdr:row>1</xdr:row>
          <xdr:rowOff>19050</xdr:rowOff>
        </xdr:to>
        <xdr:sp macro="" textlink="">
          <xdr:nvSpPr>
            <xdr:cNvPr id="8197" name="CmdMain_Oeuvre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0</xdr:row>
          <xdr:rowOff>9525</xdr:rowOff>
        </xdr:from>
        <xdr:to>
          <xdr:col>13</xdr:col>
          <xdr:colOff>1609725</xdr:colOff>
          <xdr:row>1</xdr:row>
          <xdr:rowOff>28575</xdr:rowOff>
        </xdr:to>
        <xdr:sp macro="" textlink="">
          <xdr:nvSpPr>
            <xdr:cNvPr id="8198" name="CmdChoix_Produit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123825</xdr:colOff>
          <xdr:row>0</xdr:row>
          <xdr:rowOff>133350</xdr:rowOff>
        </xdr:from>
        <xdr:to>
          <xdr:col>8</xdr:col>
          <xdr:colOff>638175</xdr:colOff>
          <xdr:row>1</xdr:row>
          <xdr:rowOff>123825</xdr:rowOff>
        </xdr:to>
        <xdr:sp macro="" textlink="">
          <xdr:nvSpPr>
            <xdr:cNvPr id="3076" name="CheckBox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95250</xdr:colOff>
          <xdr:row>1</xdr:row>
          <xdr:rowOff>133350</xdr:rowOff>
        </xdr:from>
        <xdr:to>
          <xdr:col>8</xdr:col>
          <xdr:colOff>742950</xdr:colOff>
          <xdr:row>2</xdr:row>
          <xdr:rowOff>209550</xdr:rowOff>
        </xdr:to>
        <xdr:sp macro="" textlink="">
          <xdr:nvSpPr>
            <xdr:cNvPr id="3077" name="CommandButton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Mignot" refreshedDate="42415.176869212963" createdVersion="6" refreshedVersion="6" minRefreshableVersion="3" recordCount="27">
  <cacheSource type="worksheet">
    <worksheetSource name="TableauProduit"/>
  </cacheSource>
  <cacheFields count="13">
    <cacheField name="EQUIPEMENT" numFmtId="0">
      <sharedItems count="13">
        <s v="Automobile I Huile"/>
        <s v="Boissons I 1"/>
        <s v="Boissons I 2"/>
        <s v="Boissons I 3"/>
        <s v="Boissons I 4"/>
        <s v="Main D'œuvre I Deplacement"/>
        <s v="Main D'œuvre I Forfait"/>
        <s v="Main D'œuvre I Livraison"/>
        <s v="Main D'œuvre I Magasin"/>
        <s v="Main D'œuvre I Sur Site"/>
        <s v="Ordinateurs I  ASUS-EEETOP"/>
        <s v="Ordinateurs I  ASUS-PORTABLES"/>
        <s v="Vitrage I AIXAM"/>
      </sharedItems>
    </cacheField>
    <cacheField name="DESIGNATION" numFmtId="0">
      <sharedItems/>
    </cacheField>
    <cacheField name="REFERENCE" numFmtId="0">
      <sharedItems count="27">
        <s v="HUIL-MOT-10401"/>
        <s v="HUIL-MOT-55002"/>
        <s v="HUIL-MOT-30001"/>
        <s v="BOIS-JSF-1054"/>
        <s v="BOIS-JSF-1055"/>
        <s v="BOIS-JSF-1056"/>
        <s v="BOIS-JSF-1057"/>
        <s v="DEPLAC1"/>
        <s v="DEPLAC2"/>
        <s v="DEVIS"/>
        <s v="FORFAIT-SUPP"/>
        <s v="FORFAIT-INSTALL-SITE"/>
        <s v="FORFAIT-LIVRAISON"/>
        <s v="LIV-DEB-SITE"/>
        <s v="LIV-SITE"/>
        <s v="FORFAIT-MAT-VENDU"/>
        <s v="FORFAIT-MAT"/>
        <s v="MO-SITE"/>
        <s v="MO-RAP-SITE"/>
        <s v="MO-SITE-FORFAIT-2H"/>
        <s v="ASUS-A4310-BB020T"/>
        <s v="ASUS-A6410-BC021T"/>
        <s v="ASUS-T100CHI-FG004P"/>
        <s v="ASUS-T100HA-FU002T"/>
        <s v="ASUS-T100HA-FU004T"/>
        <s v="CITY 16"/>
        <s v="TZ12CLA62"/>
      </sharedItems>
    </cacheField>
    <cacheField name="Prix HT" numFmtId="164">
      <sharedItems containsSemiMixedTypes="0" containsString="0" containsNumber="1" minValue="1" maxValue="741.67"/>
    </cacheField>
    <cacheField name="Coeff revente" numFmtId="9">
      <sharedItems containsSemiMixedTypes="0" containsString="0" containsNumber="1" minValue="0.05" maxValue="0.2"/>
    </cacheField>
    <cacheField name="Prix de Vente HT" numFmtId="166">
      <sharedItems containsSemiMixedTypes="0" containsString="0" containsNumber="1" minValue="1.2" maxValue="890.00399999999991"/>
    </cacheField>
    <cacheField name="QUANTITE" numFmtId="167">
      <sharedItems containsSemiMixedTypes="0" containsString="0" containsNumber="1" containsInteger="1" minValue="0" maxValue="99999"/>
    </cacheField>
    <cacheField name="POIDS" numFmtId="168">
      <sharedItems containsSemiMixedTypes="0" containsString="0" containsNumber="1" minValue="0" maxValue="21.513999999999999"/>
    </cacheField>
    <cacheField name="SEUIL" numFmtId="167">
      <sharedItems containsSemiMixedTypes="0" containsString="0" containsNumber="1" containsInteger="1" minValue="0" maxValue="10"/>
    </cacheField>
    <cacheField name="ENTREE" numFmtId="167">
      <sharedItems containsSemiMixedTypes="0" containsString="0" containsNumber="1" containsInteger="1" minValue="0" maxValue="1"/>
    </cacheField>
    <cacheField name="SORTIE" numFmtId="167">
      <sharedItems containsString="0" containsBlank="1" containsNumber="1" containsInteger="1" minValue="0" maxValue="1000"/>
    </cacheField>
    <cacheField name="STOCK" numFmtId="167">
      <sharedItems containsSemiMixedTypes="0" containsString="0" containsNumber="1" containsInteger="1" minValue="0" maxValue="99999"/>
    </cacheField>
    <cacheField name="ETAT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10w40 marque 1"/>
    <x v="0"/>
    <n v="15"/>
    <n v="0.2"/>
    <n v="18"/>
    <n v="15"/>
    <n v="8.1"/>
    <n v="10"/>
    <n v="0"/>
    <n v="0"/>
    <n v="15"/>
    <s v="OK"/>
  </r>
  <r>
    <x v="0"/>
    <s v="5w50 marque 2"/>
    <x v="1"/>
    <n v="25"/>
    <n v="0.2"/>
    <n v="30"/>
    <n v="10"/>
    <n v="7.9"/>
    <n v="10"/>
    <n v="0"/>
    <n v="10"/>
    <n v="0"/>
    <s v="Rupture"/>
  </r>
  <r>
    <x v="0"/>
    <s v="0w30 marque 1"/>
    <x v="2"/>
    <n v="35"/>
    <n v="0.2"/>
    <n v="42"/>
    <n v="5"/>
    <n v="7.7"/>
    <n v="10"/>
    <n v="0"/>
    <n v="0"/>
    <n v="5"/>
    <s v="à commander"/>
  </r>
  <r>
    <x v="1"/>
    <s v="Jus de fruits - 1"/>
    <x v="3"/>
    <n v="2.41"/>
    <n v="0.2"/>
    <n v="2.8920000000000003"/>
    <n v="1000"/>
    <n v="3.524"/>
    <n v="10"/>
    <n v="0"/>
    <n v="1000"/>
    <n v="0"/>
    <s v="Rupture"/>
  </r>
  <r>
    <x v="2"/>
    <s v="Jus de fruits - 2"/>
    <x v="4"/>
    <n v="5.4"/>
    <n v="0.2"/>
    <n v="6.48"/>
    <n v="1000"/>
    <n v="5.12"/>
    <n v="10"/>
    <n v="0"/>
    <n v="10"/>
    <n v="990"/>
    <s v="OK"/>
  </r>
  <r>
    <x v="3"/>
    <s v="Jus de fruits - 3"/>
    <x v="5"/>
    <n v="1"/>
    <n v="0.2"/>
    <n v="1.2"/>
    <n v="1000"/>
    <n v="1.05"/>
    <n v="10"/>
    <n v="1"/>
    <n v="3"/>
    <n v="998"/>
    <s v="OK"/>
  </r>
  <r>
    <x v="4"/>
    <s v="Jus de fruits - 4"/>
    <x v="6"/>
    <n v="2.57"/>
    <n v="0.2"/>
    <n v="3.0839999999999996"/>
    <n v="1000"/>
    <n v="1.8620000000000001"/>
    <n v="10"/>
    <n v="0"/>
    <n v="485"/>
    <n v="515"/>
    <s v="OK"/>
  </r>
  <r>
    <x v="5"/>
    <s v="Déplacement inférieur à 6 KM. (facturé au KM Aller + Retour))"/>
    <x v="7"/>
    <n v="11.67"/>
    <n v="0.05"/>
    <n v="12.253500000000001"/>
    <n v="99999"/>
    <n v="0"/>
    <n v="0"/>
    <n v="0"/>
    <m/>
    <n v="99999"/>
    <s v="OK"/>
  </r>
  <r>
    <x v="5"/>
    <s v="Déplacement supérieur à 6 KM. (facturé au KM Aller + Retour))"/>
    <x v="8"/>
    <n v="11.17"/>
    <n v="0.05"/>
    <n v="11.7285"/>
    <n v="99999"/>
    <n v="0"/>
    <n v="0"/>
    <n v="0"/>
    <n v="0"/>
    <n v="99999"/>
    <s v="OK"/>
  </r>
  <r>
    <x v="5"/>
    <s v="Devis préalable à une intervention / étude des problèmes"/>
    <x v="9"/>
    <n v="45.83"/>
    <n v="0.05"/>
    <n v="48.121499999999997"/>
    <n v="99999"/>
    <n v="0"/>
    <n v="0"/>
    <n v="0"/>
    <n v="0"/>
    <n v="99999"/>
    <s v="OK"/>
  </r>
  <r>
    <x v="6"/>
    <s v="Forfait ajouté pour prise en charge de votre matériel en EXPRESS"/>
    <x v="10"/>
    <n v="45.83"/>
    <n v="0.05"/>
    <n v="48.121499999999997"/>
    <n v="99999"/>
    <n v="0"/>
    <n v="0"/>
    <n v="0"/>
    <n v="0"/>
    <n v="99999"/>
    <s v="OK"/>
  </r>
  <r>
    <x v="6"/>
    <s v="Forfait pour livraison, installation et paramètrage sur site"/>
    <x v="11"/>
    <n v="210"/>
    <n v="0.05"/>
    <n v="220.5"/>
    <n v="99999"/>
    <n v="0"/>
    <n v="0"/>
    <n v="0"/>
    <n v="0"/>
    <n v="99999"/>
    <s v="OK"/>
  </r>
  <r>
    <x v="6"/>
    <s v="Forfait pour livraison"/>
    <x v="12"/>
    <n v="301.67"/>
    <n v="0.05"/>
    <n v="316.75350000000003"/>
    <n v="99999"/>
    <n v="0"/>
    <n v="0"/>
    <n v="0"/>
    <n v="0"/>
    <n v="99999"/>
    <s v="OK"/>
  </r>
  <r>
    <x v="7"/>
    <s v="Livraison /déballage /mise en place du matériel sur site 1/4h (hors déplacement)"/>
    <x v="13"/>
    <n v="32.5"/>
    <n v="0.05"/>
    <n v="34.125"/>
    <n v="99999"/>
    <n v="0"/>
    <n v="0"/>
    <n v="0"/>
    <n v="0"/>
    <n v="99999"/>
    <s v="OK"/>
  </r>
  <r>
    <x v="7"/>
    <s v="Livraison à effectuer sur site (dépose des colis, hors déplacement)"/>
    <x v="14"/>
    <n v="36.67"/>
    <n v="0.05"/>
    <n v="38.503500000000003"/>
    <n v="99999"/>
    <n v="0"/>
    <n v="0"/>
    <n v="0"/>
    <n v="0"/>
    <n v="99999"/>
    <s v="OK"/>
  </r>
  <r>
    <x v="8"/>
    <s v="Forfait pour sur matériel vendu"/>
    <x v="15"/>
    <n v="68.75"/>
    <n v="0.05"/>
    <n v="72.1875"/>
    <n v="99999"/>
    <n v="0"/>
    <n v="0"/>
    <n v="0"/>
    <n v="0"/>
    <n v="99999"/>
    <s v="OK"/>
  </r>
  <r>
    <x v="8"/>
    <s v="Forfait pour sur matériel"/>
    <x v="16"/>
    <n v="72.5"/>
    <n v="0.05"/>
    <n v="76.125"/>
    <n v="99999"/>
    <n v="0"/>
    <n v="0"/>
    <n v="0"/>
    <n v="0"/>
    <n v="99999"/>
    <s v="OK"/>
  </r>
  <r>
    <x v="9"/>
    <s v="Main d'oeuvre site : intervention sur site"/>
    <x v="17"/>
    <n v="81.67"/>
    <n v="0.05"/>
    <n v="85.753500000000003"/>
    <n v="99999"/>
    <n v="0"/>
    <n v="0"/>
    <n v="0"/>
    <n v="0"/>
    <n v="99999"/>
    <s v="OK"/>
  </r>
  <r>
    <x v="9"/>
    <s v="Main d'oeuvre site : intervention sur site EXPRESS (Dans la journée)"/>
    <x v="18"/>
    <n v="109.17"/>
    <n v="0.05"/>
    <n v="114.6285"/>
    <n v="99999"/>
    <n v="0"/>
    <n v="0"/>
    <n v="0"/>
    <n v="0"/>
    <n v="99999"/>
    <s v="OK"/>
  </r>
  <r>
    <x v="9"/>
    <s v="Main d'oeuvre site : intervention sur site FORFAIT 2 Heures maxi (hors déplac)"/>
    <x v="19"/>
    <n v="155"/>
    <n v="0.05"/>
    <n v="162.75"/>
    <n v="99999"/>
    <n v="0"/>
    <n v="0"/>
    <n v="0"/>
    <n v="0"/>
    <n v="99999"/>
    <s v="OK"/>
  </r>
  <r>
    <x v="10"/>
    <s v="ASUS AIO 20&quot; A4310-BB020T  i3-4160 4Go 500Go W7P64/8.1P64"/>
    <x v="20"/>
    <n v="710.62"/>
    <n v="0.2"/>
    <n v="852.74400000000003"/>
    <n v="5"/>
    <n v="2.75"/>
    <n v="5"/>
    <n v="0"/>
    <n v="0"/>
    <n v="5"/>
    <s v="OK"/>
  </r>
  <r>
    <x v="10"/>
    <s v="ASUS AIO 21.5&quot; A6410-BC021T  i3-4160 4Go 500Go W7P64/8.1P64"/>
    <x v="21"/>
    <n v="741.67"/>
    <n v="0.2"/>
    <n v="890.00399999999991"/>
    <n v="5"/>
    <n v="2.75"/>
    <n v="5"/>
    <n v="0"/>
    <n v="0"/>
    <n v="5"/>
    <s v="OK"/>
  </r>
  <r>
    <x v="11"/>
    <s v="PORTABLE ASUS 10.1&quot; T100CHI-FG004P  Z3775 2Go 64GoSSD WiFin/BT Win8.1Pro32"/>
    <x v="22"/>
    <n v="695"/>
    <n v="0.2"/>
    <n v="834"/>
    <n v="5"/>
    <n v="2.75"/>
    <n v="5"/>
    <n v="0"/>
    <n v="0"/>
    <n v="5"/>
    <s v="OK"/>
  </r>
  <r>
    <x v="11"/>
    <s v="PORTABLE ASUS 10.1&quot; T100HA-FU002T  Z8500 2Go 32GoSSD WiFin/BT Win10-32"/>
    <x v="23"/>
    <n v="342"/>
    <n v="0.2"/>
    <n v="410.4"/>
    <n v="5"/>
    <n v="2.75"/>
    <n v="5"/>
    <n v="0"/>
    <n v="0"/>
    <n v="5"/>
    <s v="OK"/>
  </r>
  <r>
    <x v="11"/>
    <s v="PORTABLE ASUS 10.1&quot; T100HA-FU004T  Z8500 2Go 32GoSSD WiFin/BT Win10-64"/>
    <x v="24"/>
    <n v="342"/>
    <n v="0.2"/>
    <n v="410.4"/>
    <n v="5"/>
    <n v="2.75"/>
    <n v="5"/>
    <n v="0"/>
    <n v="0"/>
    <n v="5"/>
    <s v="OK"/>
  </r>
  <r>
    <x v="12"/>
    <s v="Lunette Verte Solextra Chauffante pour AIXAM CITY 11 Tous les Modèles"/>
    <x v="25"/>
    <n v="264"/>
    <n v="0.2"/>
    <n v="316.8"/>
    <n v="0"/>
    <n v="21.513999999999999"/>
    <n v="0"/>
    <n v="0"/>
    <n v="0"/>
    <n v="0"/>
    <s v="OK"/>
  </r>
  <r>
    <x v="4"/>
    <s v="Coca Cola Pack de 6x2 litre"/>
    <x v="26"/>
    <n v="10.5"/>
    <n v="0.2"/>
    <n v="12.6"/>
    <n v="0"/>
    <n v="12.5"/>
    <n v="0"/>
    <n v="0"/>
    <n v="0"/>
    <n v="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 PRODUIT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gridDropZones="1">
  <location ref="U3:W18" firstHeaderRow="1" firstDataRow="2" firstDataCol="1" rowPageCount="1" colPageCount="1"/>
  <pivotFields count="13">
    <pivotField axis="axisPage" compact="0" outline="0" subtotalTop="0" multipleItemSelectionAllowed="1" showAll="0">
      <items count="14">
        <item x="0"/>
        <item x="1"/>
        <item x="2"/>
        <item x="3"/>
        <item x="4"/>
        <item h="1" x="5"/>
        <item h="1" x="6"/>
        <item h="1" x="7"/>
        <item h="1" x="8"/>
        <item h="1" x="9"/>
        <item x="10"/>
        <item x="11"/>
        <item x="12"/>
        <item t="default"/>
      </items>
    </pivotField>
    <pivotField compact="0" outline="0" subtotalTop="0" showAll="0"/>
    <pivotField axis="axisRow" compact="0" outline="0" subtotalTop="0" showAll="0">
      <items count="28">
        <item sd="0" x="20"/>
        <item sd="0" x="21"/>
        <item sd="0" x="22"/>
        <item sd="0" x="23"/>
        <item sd="0" x="24"/>
        <item sd="0" x="3"/>
        <item sd="0" x="4"/>
        <item sd="0" x="5"/>
        <item sd="0" x="6"/>
        <item sd="0" x="25"/>
        <item x="7"/>
        <item x="8"/>
        <item x="9"/>
        <item x="11"/>
        <item x="12"/>
        <item x="16"/>
        <item x="15"/>
        <item x="10"/>
        <item sd="0" x="0"/>
        <item sd="0" x="2"/>
        <item sd="0" x="1"/>
        <item x="13"/>
        <item x="14"/>
        <item x="18"/>
        <item x="17"/>
        <item x="19"/>
        <item sd="0" x="26"/>
        <item t="default"/>
      </items>
    </pivotField>
    <pivotField compact="0" numFmtId="164" outline="0" subtotalTop="0" showAll="0"/>
    <pivotField compact="0" numFmtId="9" outline="0" subtotalTop="0" showAll="0"/>
    <pivotField dataField="1" compact="0" numFmtId="166" outline="0" subtotalTop="0" showAll="0"/>
    <pivotField compact="0" numFmtId="167" outline="0" subtotalTop="0" showAll="0"/>
    <pivotField compact="0" numFmtId="168" outline="0" subtotalTop="0" showAll="0"/>
    <pivotField compact="0" numFmtId="167" outline="0" subtotalTop="0" showAll="0"/>
    <pivotField compact="0" numFmtId="167" outline="0" subtotalTop="0" showAll="0"/>
    <pivotField compact="0" outline="0" subtotalTop="0" showAll="0"/>
    <pivotField dataField="1" compact="0" numFmtId="167" outline="0" subtotalTop="0" showAll="0"/>
    <pivotField compact="0" outline="0" subtotalTop="0" showAll="0"/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8"/>
    </i>
    <i>
      <x v="19"/>
    </i>
    <i>
      <x v="20"/>
    </i>
    <i>
      <x v="26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Valeur HT" fld="5" baseField="0" baseItem="0" numFmtId="164"/>
    <dataField name="Total STOCK" fld="11" baseField="0" baseItem="0"/>
  </dataFields>
  <formats count="46">
    <format dxfId="98">
      <pivotArea type="all" dataOnly="0" outline="0" fieldPosition="0"/>
    </format>
    <format dxfId="97">
      <pivotArea outline="0" collapsedLevelsAreSubtotals="1" fieldPosition="0"/>
    </format>
    <format dxfId="96">
      <pivotArea field="2" type="button" dataOnly="0" labelOnly="1" outline="0" axis="axisRow" fieldPosition="0"/>
    </format>
    <format dxfId="95">
      <pivotArea dataOnly="0" labelOnly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94">
      <pivotArea dataOnly="0" labelOnly="1" grandRow="1" outline="0" fieldPosition="0"/>
    </format>
    <format dxfId="93">
      <pivotArea field="2" type="button" dataOnly="0" labelOnly="1" outline="0" axis="axisRow" fieldPosition="0"/>
    </format>
    <format dxfId="92">
      <pivotArea field="2" type="button" dataOnly="0" labelOnly="1" outline="0" axis="axisRow" fieldPosition="0"/>
    </format>
    <format dxfId="91">
      <pivotArea grandRow="1" outline="0" collapsedLevelsAreSubtotals="1" fieldPosition="0"/>
    </format>
    <format dxfId="90">
      <pivotArea dataOnly="0" labelOnly="1" grandRow="1" outline="0" fieldPosition="0"/>
    </format>
    <format dxfId="89">
      <pivotArea grandRow="1" outline="0" collapsedLevelsAreSubtotals="1" fieldPosition="0"/>
    </format>
    <format dxfId="88">
      <pivotArea dataOnly="0" labelOnly="1" grandRow="1" outline="0" fieldPosition="0"/>
    </format>
    <format dxfId="87">
      <pivotArea collapsedLevelsAreSubtotals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86">
      <pivotArea dataOnly="0" labelOnly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85">
      <pivotArea collapsedLevelsAreSubtotals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84">
      <pivotArea dataOnly="0" labelOnly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83">
      <pivotArea dataOnly="0" outline="0" axis="axisValues" fieldPosition="0"/>
    </format>
    <format dxfId="82">
      <pivotArea dataOnly="0" outline="0" axis="axisValues" fieldPosition="0"/>
    </format>
    <format dxfId="81">
      <pivotArea type="all" dataOnly="0" outline="0" fieldPosition="0"/>
    </format>
    <format dxfId="80">
      <pivotArea outline="0" collapsedLevelsAreSubtotals="1" fieldPosition="0"/>
    </format>
    <format dxfId="79">
      <pivotArea field="2" type="button" dataOnly="0" labelOnly="1" outline="0" axis="axisRow" fieldPosition="0"/>
    </format>
    <format dxfId="78">
      <pivotArea dataOnly="0" labelOnly="1" outline="0" axis="axisValues" fieldPosition="0"/>
    </format>
    <format dxfId="77">
      <pivotArea dataOnly="0" labelOnly="1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76">
      <pivotArea dataOnly="0" labelOnly="1" grandRow="1" outline="0" fieldPosition="0"/>
    </format>
    <format dxfId="75">
      <pivotArea dataOnly="0" labelOnly="1" outline="0" axis="axisValues" fieldPosition="0"/>
    </format>
    <format dxfId="74">
      <pivotArea field="-2" type="button" dataOnly="0" labelOnly="1" outline="0" axis="axisCol" fieldPosition="0"/>
    </format>
    <format dxfId="7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2">
      <pivotArea field="2" type="button" dataOnly="0" labelOnly="1" outline="0" axis="axisRow" fieldPosition="0"/>
    </format>
    <format dxfId="71">
      <pivotArea outline="0" collapsedLevelsAreSubtotals="1" fieldPosition="0"/>
    </format>
    <format dxfId="70">
      <pivotArea outline="0" collapsedLevelsAreSubtotals="1" fieldPosition="0"/>
    </format>
    <format dxfId="6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7">
      <pivotArea dataOnly="0" labelOnly="1" outline="0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66">
      <pivotArea dataOnly="0" labelOnly="1" outline="0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65">
      <pivotArea field="-2" type="button" dataOnly="0" labelOnly="1" outline="0" axis="axisCol" fieldPosition="0"/>
    </format>
    <format dxfId="64">
      <pivotArea type="topRight" dataOnly="0" labelOnly="1" outline="0" fieldPosition="0"/>
    </format>
    <format dxfId="63">
      <pivotArea type="topRight" dataOnly="0" labelOnly="1" outline="0" fieldPosition="0"/>
    </format>
    <format dxfId="6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9">
      <pivotArea outline="0" collapsedLevelsAreSubtotals="1" fieldPosition="0"/>
    </format>
    <format dxfId="58">
      <pivotArea dataOnly="0" labelOnly="1" outline="0" fieldPosition="0">
        <references count="1">
          <reference field="2" count="14">
            <x v="0"/>
            <x v="1"/>
            <x v="2"/>
            <x v="3"/>
            <x v="4"/>
            <x v="5"/>
            <x v="6"/>
            <x v="7"/>
            <x v="8"/>
            <x v="9"/>
            <x v="18"/>
            <x v="19"/>
            <x v="20"/>
            <x v="26"/>
          </reference>
        </references>
      </pivotArea>
    </format>
    <format dxfId="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Produit" displayName="TableauProduit" ref="A1:M28" totalsRowShown="0" headerRowDxfId="52" dataDxfId="50" headerRowBorderDxfId="51" tableBorderDxfId="49" headerRowCellStyle="Milliers" dataCellStyle="Milliers">
  <autoFilter ref="A1:M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sortState ref="A2:M28">
    <sortCondition ref="A1"/>
  </sortState>
  <tableColumns count="13">
    <tableColumn id="1" name="EQUIPEMENT" dataDxfId="48"/>
    <tableColumn id="2" name="DESIGNATION" dataDxfId="47"/>
    <tableColumn id="3" name="REFERENCE" dataDxfId="46"/>
    <tableColumn id="4" name="Prix HT" dataDxfId="45" dataCellStyle="Monétaire"/>
    <tableColumn id="5" name="Coeff revente" dataDxfId="44" dataCellStyle="Pourcentage"/>
    <tableColumn id="6" name="Prix de Vente HT" dataDxfId="43" dataCellStyle="Monétaire">
      <calculatedColumnFormula>IF(AND(D2="",E2=""),"",D2*E2+D2)</calculatedColumnFormula>
    </tableColumn>
    <tableColumn id="7" name="QUANTITE" dataDxfId="42" dataCellStyle="Milliers"/>
    <tableColumn id="8" name="POIDS" dataDxfId="41"/>
    <tableColumn id="9" name="SEUIL" dataDxfId="40" dataCellStyle="Milliers"/>
    <tableColumn id="10" name="ENTREE" dataDxfId="39" dataCellStyle="Milliers"/>
    <tableColumn id="11" name="SORTIE" dataDxfId="38" dataCellStyle="Milliers"/>
    <tableColumn id="12" name="STOCK" dataDxfId="37" dataCellStyle="Milliers">
      <calculatedColumnFormula>IF(AND(G2="",J2="",K2=""),"",SUM(G2+J2-K2))</calculatedColumnFormula>
    </tableColumn>
    <tableColumn id="13" name="ETAT" dataDxfId="36">
      <calculatedColumnFormula>IF(L2="","",IF(L2&gt;=I2,"OK",IF(L2&gt;0,"à commander",IF(L2&gt;=0,"Rupture","ERREUR"))))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table" Target="../tables/table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2">
    <tabColor theme="3"/>
  </sheetPr>
  <dimension ref="A1:BZ43"/>
  <sheetViews>
    <sheetView showGridLines="0" tabSelected="1" workbookViewId="0">
      <selection activeCell="E1" sqref="E1:E1048576"/>
    </sheetView>
  </sheetViews>
  <sheetFormatPr baseColWidth="10" defaultRowHeight="15" x14ac:dyDescent="0.25"/>
  <cols>
    <col min="1" max="1" width="27.140625" style="89" bestFit="1" customWidth="1"/>
    <col min="2" max="2" width="19" style="118" customWidth="1"/>
    <col min="3" max="3" width="22.7109375" style="118" bestFit="1" customWidth="1"/>
    <col min="4" max="4" width="10.42578125" style="119" bestFit="1" customWidth="1"/>
    <col min="5" max="5" width="8.5703125" style="70" customWidth="1"/>
    <col min="6" max="6" width="18.7109375" style="120" customWidth="1"/>
    <col min="7" max="7" width="11.42578125" style="121" customWidth="1"/>
    <col min="8" max="8" width="9.7109375" style="122" customWidth="1"/>
    <col min="9" max="9" width="8.85546875" style="121" customWidth="1"/>
    <col min="10" max="10" width="10.5703125" style="121" customWidth="1"/>
    <col min="11" max="11" width="10.140625" style="121" customWidth="1"/>
    <col min="12" max="12" width="9.7109375" style="121" customWidth="1"/>
    <col min="13" max="13" width="13.140625" style="48" customWidth="1"/>
    <col min="14" max="14" width="24.28515625" style="48" customWidth="1"/>
    <col min="15" max="15" width="36.42578125" style="88" customWidth="1"/>
    <col min="16" max="16" width="0.7109375" style="88" customWidth="1"/>
    <col min="17" max="17" width="22.7109375" style="48" bestFit="1" customWidth="1"/>
    <col min="18" max="18" width="0.7109375" style="48" customWidth="1"/>
    <col min="19" max="19" width="72.42578125" style="48" customWidth="1"/>
    <col min="20" max="20" width="0.7109375" style="48" customWidth="1"/>
    <col min="21" max="21" width="20.5703125" style="48" customWidth="1"/>
    <col min="22" max="22" width="21.85546875" style="48" customWidth="1"/>
    <col min="23" max="23" width="16.7109375" style="48" customWidth="1"/>
    <col min="24" max="24" width="19.7109375" style="48" customWidth="1"/>
    <col min="25" max="25" width="21.42578125" style="48" customWidth="1"/>
    <col min="26" max="31" width="25.85546875" style="48" customWidth="1"/>
    <col min="32" max="32" width="30.85546875" style="48" customWidth="1"/>
    <col min="33" max="33" width="25" style="48" customWidth="1"/>
    <col min="34" max="34" width="10.28515625" style="48" customWidth="1"/>
    <col min="35" max="35" width="14.140625" style="48" customWidth="1"/>
    <col min="36" max="36" width="10.28515625" style="48" customWidth="1"/>
    <col min="37" max="37" width="14.140625" style="48" customWidth="1"/>
    <col min="38" max="38" width="11.28515625" style="48" customWidth="1"/>
    <col min="39" max="39" width="15.140625" style="48" customWidth="1"/>
    <col min="40" max="40" width="11.28515625" style="48" customWidth="1"/>
    <col min="41" max="41" width="15.140625" style="48" customWidth="1"/>
    <col min="42" max="42" width="11.28515625" style="48" customWidth="1"/>
    <col min="43" max="43" width="15.140625" style="48" customWidth="1"/>
    <col min="44" max="44" width="11.28515625" style="48" customWidth="1"/>
    <col min="45" max="45" width="15.140625" style="48" customWidth="1"/>
    <col min="46" max="46" width="11.28515625" style="48" customWidth="1"/>
    <col min="47" max="47" width="15.140625" style="48" customWidth="1"/>
    <col min="48" max="48" width="20" style="48" customWidth="1"/>
    <col min="49" max="49" width="13.140625" style="48" customWidth="1"/>
    <col min="50" max="50" width="9.28515625" style="48" customWidth="1"/>
    <col min="51" max="51" width="13.140625" style="48" customWidth="1"/>
    <col min="52" max="52" width="9.28515625" style="48" customWidth="1"/>
    <col min="53" max="53" width="13.140625" style="48" customWidth="1"/>
    <col min="54" max="54" width="9.28515625" style="48" customWidth="1"/>
    <col min="55" max="55" width="13.140625" style="48" customWidth="1"/>
    <col min="56" max="56" width="10.28515625" style="48" customWidth="1"/>
    <col min="57" max="57" width="14.140625" style="48" customWidth="1"/>
    <col min="58" max="58" width="10.28515625" style="48" customWidth="1"/>
    <col min="59" max="59" width="14.140625" style="48" customWidth="1"/>
    <col min="60" max="60" width="10.28515625" style="48" customWidth="1"/>
    <col min="61" max="61" width="14.140625" style="48" customWidth="1"/>
    <col min="62" max="62" width="10.28515625" style="48" customWidth="1"/>
    <col min="63" max="63" width="14.140625" style="48" customWidth="1"/>
    <col min="64" max="64" width="11.28515625" style="48" customWidth="1"/>
    <col min="65" max="65" width="15.140625" style="48" customWidth="1"/>
    <col min="66" max="66" width="11.28515625" style="48" customWidth="1"/>
    <col min="67" max="67" width="15.140625" style="48" customWidth="1"/>
    <col min="68" max="68" width="11.28515625" style="48" customWidth="1"/>
    <col min="69" max="69" width="15.140625" style="48" customWidth="1"/>
    <col min="70" max="70" width="11.28515625" style="48" customWidth="1"/>
    <col min="71" max="71" width="15.140625" style="48" customWidth="1"/>
    <col min="72" max="72" width="11.28515625" style="48" customWidth="1"/>
    <col min="73" max="73" width="15.140625" style="48" customWidth="1"/>
    <col min="74" max="74" width="30.85546875" style="48" bestFit="1" customWidth="1"/>
    <col min="75" max="75" width="25" style="48" customWidth="1"/>
    <col min="76" max="16384" width="11.42578125" style="48"/>
  </cols>
  <sheetData>
    <row r="1" spans="1:78" s="86" customFormat="1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1" t="s">
        <v>12</v>
      </c>
      <c r="N1" s="88"/>
      <c r="O1" s="78" t="s">
        <v>0</v>
      </c>
      <c r="Q1" s="78" t="s">
        <v>98</v>
      </c>
      <c r="S1" s="78" t="s">
        <v>490</v>
      </c>
      <c r="U1" s="185" t="s">
        <v>0</v>
      </c>
      <c r="V1" s="185" t="s">
        <v>505</v>
      </c>
      <c r="W1" s="171"/>
      <c r="X1" s="176">
        <f>SUM(X5:X37)</f>
        <v>26668.799999999996</v>
      </c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</row>
    <row r="2" spans="1:78" x14ac:dyDescent="0.25">
      <c r="A2" s="7" t="s">
        <v>13</v>
      </c>
      <c r="B2" s="107" t="s">
        <v>14</v>
      </c>
      <c r="C2" s="107" t="s">
        <v>15</v>
      </c>
      <c r="D2" s="108">
        <v>15</v>
      </c>
      <c r="E2" s="109">
        <v>0.2</v>
      </c>
      <c r="F2" s="110">
        <f t="shared" ref="F2:F28" si="0">IF(AND(D2="",E2=""),"",D2*E2+D2)</f>
        <v>18</v>
      </c>
      <c r="G2" s="111">
        <v>15</v>
      </c>
      <c r="H2" s="112">
        <v>8.1</v>
      </c>
      <c r="I2" s="111">
        <v>10</v>
      </c>
      <c r="J2" s="111">
        <v>0</v>
      </c>
      <c r="K2" s="111">
        <v>0</v>
      </c>
      <c r="L2" s="111">
        <f t="shared" ref="L2:L28" si="1">IF(AND(G2="",J2="",K2=""),"",SUM(G2+J2-K2))</f>
        <v>15</v>
      </c>
      <c r="M2" s="107" t="str">
        <f t="shared" ref="M2:M28" si="2">IF(L2="","",IF(L2&gt;=I2,"OK",IF(L2&gt;0,"à commander",IF(L2&gt;=0,"Rupture","ERREUR"))))</f>
        <v>OK</v>
      </c>
      <c r="N2" s="88"/>
      <c r="O2" s="7" t="s">
        <v>13</v>
      </c>
      <c r="P2" s="87"/>
      <c r="Q2" s="107" t="s">
        <v>16</v>
      </c>
      <c r="S2" s="106" t="s">
        <v>41</v>
      </c>
    </row>
    <row r="3" spans="1:78" x14ac:dyDescent="0.25">
      <c r="A3" s="8" t="s">
        <v>13</v>
      </c>
      <c r="B3" s="34" t="s">
        <v>17</v>
      </c>
      <c r="C3" s="34" t="s">
        <v>18</v>
      </c>
      <c r="D3" s="113">
        <v>25</v>
      </c>
      <c r="E3" s="114">
        <v>0.2</v>
      </c>
      <c r="F3" s="115">
        <f t="shared" si="0"/>
        <v>30</v>
      </c>
      <c r="G3" s="116">
        <v>10</v>
      </c>
      <c r="H3" s="117">
        <v>7.9</v>
      </c>
      <c r="I3" s="116">
        <v>10</v>
      </c>
      <c r="J3" s="116">
        <v>0</v>
      </c>
      <c r="K3" s="116">
        <v>10</v>
      </c>
      <c r="L3" s="111">
        <f t="shared" si="1"/>
        <v>0</v>
      </c>
      <c r="M3" s="34" t="str">
        <f t="shared" si="2"/>
        <v>Rupture</v>
      </c>
      <c r="N3" s="88"/>
      <c r="O3" s="8" t="s">
        <v>13</v>
      </c>
      <c r="P3" s="87"/>
      <c r="Q3" s="34" t="s">
        <v>20</v>
      </c>
      <c r="S3" s="106" t="s">
        <v>44</v>
      </c>
      <c r="U3" s="173"/>
      <c r="V3" s="174" t="s">
        <v>506</v>
      </c>
      <c r="W3" s="175"/>
    </row>
    <row r="4" spans="1:78" x14ac:dyDescent="0.25">
      <c r="A4" s="8" t="s">
        <v>13</v>
      </c>
      <c r="B4" s="34" t="s">
        <v>21</v>
      </c>
      <c r="C4" s="34" t="s">
        <v>22</v>
      </c>
      <c r="D4" s="113">
        <v>35</v>
      </c>
      <c r="E4" s="114">
        <v>0.2</v>
      </c>
      <c r="F4" s="115">
        <f t="shared" si="0"/>
        <v>42</v>
      </c>
      <c r="G4" s="116">
        <v>5</v>
      </c>
      <c r="H4" s="117">
        <v>7.7</v>
      </c>
      <c r="I4" s="116">
        <v>10</v>
      </c>
      <c r="J4" s="116">
        <v>0</v>
      </c>
      <c r="K4" s="116">
        <v>0</v>
      </c>
      <c r="L4" s="111">
        <f t="shared" si="1"/>
        <v>5</v>
      </c>
      <c r="M4" s="34" t="str">
        <f t="shared" si="2"/>
        <v>à commander</v>
      </c>
      <c r="N4" s="88"/>
      <c r="O4" s="8" t="s">
        <v>19</v>
      </c>
      <c r="P4" s="87"/>
      <c r="Q4" s="34" t="s">
        <v>24</v>
      </c>
      <c r="S4" s="106" t="s">
        <v>47</v>
      </c>
      <c r="U4" s="174" t="s">
        <v>2</v>
      </c>
      <c r="V4" s="183" t="s">
        <v>507</v>
      </c>
      <c r="W4" s="184" t="s">
        <v>509</v>
      </c>
      <c r="X4" s="172" t="s">
        <v>508</v>
      </c>
    </row>
    <row r="5" spans="1:78" x14ac:dyDescent="0.25">
      <c r="A5" s="8" t="s">
        <v>19</v>
      </c>
      <c r="B5" s="34" t="s">
        <v>25</v>
      </c>
      <c r="C5" s="34" t="s">
        <v>26</v>
      </c>
      <c r="D5" s="113">
        <v>2.41</v>
      </c>
      <c r="E5" s="114">
        <v>0.15</v>
      </c>
      <c r="F5" s="115">
        <f t="shared" si="0"/>
        <v>2.7715000000000001</v>
      </c>
      <c r="G5" s="116">
        <v>1000</v>
      </c>
      <c r="H5" s="117">
        <v>3.524</v>
      </c>
      <c r="I5" s="116">
        <v>10</v>
      </c>
      <c r="J5" s="116">
        <v>0</v>
      </c>
      <c r="K5" s="116">
        <v>1000</v>
      </c>
      <c r="L5" s="116">
        <f t="shared" si="1"/>
        <v>0</v>
      </c>
      <c r="M5" s="34" t="str">
        <f t="shared" si="2"/>
        <v>Rupture</v>
      </c>
      <c r="N5" s="88"/>
      <c r="O5" s="8" t="s">
        <v>23</v>
      </c>
      <c r="P5" s="87"/>
      <c r="Q5" s="34" t="s">
        <v>28</v>
      </c>
      <c r="S5" s="106" t="s">
        <v>50</v>
      </c>
      <c r="U5" s="177" t="s">
        <v>66</v>
      </c>
      <c r="V5" s="178">
        <v>852.74400000000003</v>
      </c>
      <c r="W5" s="179">
        <v>5</v>
      </c>
      <c r="X5" s="180">
        <f>W5*V5</f>
        <v>4263.72</v>
      </c>
    </row>
    <row r="6" spans="1:78" x14ac:dyDescent="0.25">
      <c r="A6" s="8" t="s">
        <v>23</v>
      </c>
      <c r="B6" s="34" t="s">
        <v>29</v>
      </c>
      <c r="C6" s="34" t="s">
        <v>30</v>
      </c>
      <c r="D6" s="113">
        <v>5.4</v>
      </c>
      <c r="E6" s="114">
        <v>0.2</v>
      </c>
      <c r="F6" s="115">
        <f t="shared" si="0"/>
        <v>6.48</v>
      </c>
      <c r="G6" s="116">
        <v>1000</v>
      </c>
      <c r="H6" s="117">
        <v>5.12</v>
      </c>
      <c r="I6" s="116">
        <v>10</v>
      </c>
      <c r="J6" s="116">
        <v>0</v>
      </c>
      <c r="K6" s="116">
        <v>10</v>
      </c>
      <c r="L6" s="116">
        <f t="shared" si="1"/>
        <v>990</v>
      </c>
      <c r="M6" s="34" t="str">
        <f t="shared" si="2"/>
        <v>OK</v>
      </c>
      <c r="N6" s="88"/>
      <c r="O6" s="8" t="s">
        <v>27</v>
      </c>
      <c r="P6" s="87"/>
      <c r="Q6" s="34" t="s">
        <v>32</v>
      </c>
      <c r="S6" s="106" t="s">
        <v>53</v>
      </c>
      <c r="U6" s="177" t="s">
        <v>68</v>
      </c>
      <c r="V6" s="178">
        <v>890.00399999999991</v>
      </c>
      <c r="W6" s="179">
        <v>5</v>
      </c>
      <c r="X6" s="180">
        <f t="shared" ref="X6:X37" si="3">W6*V6</f>
        <v>4450.0199999999995</v>
      </c>
    </row>
    <row r="7" spans="1:78" x14ac:dyDescent="0.25">
      <c r="A7" s="8" t="s">
        <v>27</v>
      </c>
      <c r="B7" s="34" t="s">
        <v>33</v>
      </c>
      <c r="C7" s="34" t="s">
        <v>34</v>
      </c>
      <c r="D7" s="113">
        <v>1</v>
      </c>
      <c r="E7" s="114">
        <v>0.2</v>
      </c>
      <c r="F7" s="115">
        <f t="shared" si="0"/>
        <v>1.2</v>
      </c>
      <c r="G7" s="116">
        <v>1000</v>
      </c>
      <c r="H7" s="117">
        <v>1.05</v>
      </c>
      <c r="I7" s="116">
        <v>10</v>
      </c>
      <c r="J7" s="116">
        <v>1</v>
      </c>
      <c r="K7" s="116">
        <v>3</v>
      </c>
      <c r="L7" s="116">
        <f t="shared" si="1"/>
        <v>998</v>
      </c>
      <c r="M7" s="34" t="str">
        <f t="shared" si="2"/>
        <v>OK</v>
      </c>
      <c r="N7" s="88"/>
      <c r="O7" s="8" t="s">
        <v>31</v>
      </c>
      <c r="P7" s="87"/>
      <c r="Q7" s="34" t="s">
        <v>36</v>
      </c>
      <c r="S7" s="106" t="s">
        <v>56</v>
      </c>
      <c r="U7" s="177" t="s">
        <v>70</v>
      </c>
      <c r="V7" s="178">
        <v>834</v>
      </c>
      <c r="W7" s="179">
        <v>5</v>
      </c>
      <c r="X7" s="180">
        <f t="shared" si="3"/>
        <v>4170</v>
      </c>
    </row>
    <row r="8" spans="1:78" x14ac:dyDescent="0.25">
      <c r="A8" s="8" t="s">
        <v>31</v>
      </c>
      <c r="B8" s="34" t="s">
        <v>37</v>
      </c>
      <c r="C8" s="34" t="s">
        <v>38</v>
      </c>
      <c r="D8" s="113">
        <v>2.57</v>
      </c>
      <c r="E8" s="114">
        <v>0.2</v>
      </c>
      <c r="F8" s="115">
        <f t="shared" si="0"/>
        <v>3.0839999999999996</v>
      </c>
      <c r="G8" s="116">
        <v>1000</v>
      </c>
      <c r="H8" s="117">
        <v>1.8620000000000001</v>
      </c>
      <c r="I8" s="116">
        <v>10</v>
      </c>
      <c r="J8" s="116">
        <v>0</v>
      </c>
      <c r="K8" s="116">
        <v>485</v>
      </c>
      <c r="L8" s="116">
        <f t="shared" si="1"/>
        <v>515</v>
      </c>
      <c r="M8" s="34" t="str">
        <f t="shared" si="2"/>
        <v>OK</v>
      </c>
      <c r="N8" s="88"/>
      <c r="O8" s="8" t="s">
        <v>35</v>
      </c>
      <c r="P8" s="87"/>
      <c r="Q8" s="34" t="s">
        <v>40</v>
      </c>
      <c r="S8" s="106" t="s">
        <v>58</v>
      </c>
      <c r="U8" s="177" t="s">
        <v>72</v>
      </c>
      <c r="V8" s="178">
        <v>410.4</v>
      </c>
      <c r="W8" s="179">
        <v>5</v>
      </c>
      <c r="X8" s="180">
        <f t="shared" si="3"/>
        <v>2052</v>
      </c>
    </row>
    <row r="9" spans="1:78" x14ac:dyDescent="0.25">
      <c r="A9" s="8" t="s">
        <v>511</v>
      </c>
      <c r="B9" s="34" t="s">
        <v>512</v>
      </c>
      <c r="C9" s="34" t="s">
        <v>513</v>
      </c>
      <c r="D9" s="113">
        <v>7.54</v>
      </c>
      <c r="E9" s="114">
        <v>0.2</v>
      </c>
      <c r="F9" s="115">
        <f t="shared" si="0"/>
        <v>9.048</v>
      </c>
      <c r="G9" s="116">
        <v>1000</v>
      </c>
      <c r="H9" s="117">
        <v>12.5</v>
      </c>
      <c r="I9" s="116">
        <v>50</v>
      </c>
      <c r="J9" s="116">
        <v>0</v>
      </c>
      <c r="K9" s="116">
        <v>246</v>
      </c>
      <c r="L9" s="116">
        <f t="shared" si="1"/>
        <v>754</v>
      </c>
      <c r="M9" s="34" t="str">
        <f t="shared" si="2"/>
        <v>OK</v>
      </c>
      <c r="N9" s="88"/>
      <c r="O9" s="8" t="s">
        <v>39</v>
      </c>
      <c r="P9" s="87"/>
      <c r="Q9" s="34" t="s">
        <v>43</v>
      </c>
      <c r="S9" s="106" t="s">
        <v>59</v>
      </c>
      <c r="U9" s="177" t="s">
        <v>74</v>
      </c>
      <c r="V9" s="178">
        <v>410.4</v>
      </c>
      <c r="W9" s="179">
        <v>5</v>
      </c>
      <c r="X9" s="180">
        <f t="shared" si="3"/>
        <v>2052</v>
      </c>
      <c r="Z9" s="120"/>
    </row>
    <row r="10" spans="1:78" x14ac:dyDescent="0.25">
      <c r="A10" s="8" t="s">
        <v>35</v>
      </c>
      <c r="B10" s="34" t="s">
        <v>41</v>
      </c>
      <c r="C10" s="34" t="s">
        <v>16</v>
      </c>
      <c r="D10" s="113">
        <v>11.67</v>
      </c>
      <c r="E10" s="114">
        <v>0.05</v>
      </c>
      <c r="F10" s="115">
        <f t="shared" si="0"/>
        <v>12.253500000000001</v>
      </c>
      <c r="G10" s="116">
        <v>99999</v>
      </c>
      <c r="H10" s="117">
        <v>0</v>
      </c>
      <c r="I10" s="116">
        <v>0</v>
      </c>
      <c r="J10" s="116">
        <v>0</v>
      </c>
      <c r="K10" s="116"/>
      <c r="L10" s="116">
        <f t="shared" si="1"/>
        <v>99999</v>
      </c>
      <c r="M10" s="34" t="str">
        <f t="shared" si="2"/>
        <v>OK</v>
      </c>
      <c r="N10" s="88"/>
      <c r="O10" s="8" t="s">
        <v>42</v>
      </c>
      <c r="P10" s="87"/>
      <c r="Q10" s="34" t="s">
        <v>46</v>
      </c>
      <c r="S10" s="106" t="s">
        <v>60</v>
      </c>
      <c r="U10" s="177" t="s">
        <v>26</v>
      </c>
      <c r="V10" s="178">
        <v>2.8920000000000003</v>
      </c>
      <c r="W10" s="179">
        <v>0</v>
      </c>
      <c r="X10" s="180">
        <f t="shared" si="3"/>
        <v>0</v>
      </c>
    </row>
    <row r="11" spans="1:78" x14ac:dyDescent="0.25">
      <c r="A11" s="8" t="s">
        <v>35</v>
      </c>
      <c r="B11" s="34" t="s">
        <v>44</v>
      </c>
      <c r="C11" s="34" t="s">
        <v>20</v>
      </c>
      <c r="D11" s="113">
        <v>11.17</v>
      </c>
      <c r="E11" s="114">
        <v>0.05</v>
      </c>
      <c r="F11" s="115">
        <f t="shared" si="0"/>
        <v>11.7285</v>
      </c>
      <c r="G11" s="116">
        <v>99999</v>
      </c>
      <c r="H11" s="117">
        <v>0</v>
      </c>
      <c r="I11" s="116">
        <v>0</v>
      </c>
      <c r="J11" s="116">
        <v>0</v>
      </c>
      <c r="K11" s="116">
        <v>0</v>
      </c>
      <c r="L11" s="116">
        <f t="shared" si="1"/>
        <v>99999</v>
      </c>
      <c r="M11" s="34" t="str">
        <f t="shared" si="2"/>
        <v>OK</v>
      </c>
      <c r="N11" s="88"/>
      <c r="O11" s="8" t="s">
        <v>45</v>
      </c>
      <c r="P11" s="87"/>
      <c r="Q11" s="34" t="s">
        <v>49</v>
      </c>
      <c r="S11" s="106" t="s">
        <v>61</v>
      </c>
      <c r="U11" s="177" t="s">
        <v>30</v>
      </c>
      <c r="V11" s="178">
        <v>6.48</v>
      </c>
      <c r="W11" s="179">
        <v>990</v>
      </c>
      <c r="X11" s="180">
        <f t="shared" si="3"/>
        <v>6415.2000000000007</v>
      </c>
    </row>
    <row r="12" spans="1:78" x14ac:dyDescent="0.25">
      <c r="A12" s="8" t="s">
        <v>35</v>
      </c>
      <c r="B12" s="34" t="s">
        <v>47</v>
      </c>
      <c r="C12" s="34" t="s">
        <v>24</v>
      </c>
      <c r="D12" s="113">
        <v>45.83</v>
      </c>
      <c r="E12" s="114">
        <v>0.05</v>
      </c>
      <c r="F12" s="115">
        <f t="shared" si="0"/>
        <v>48.121499999999997</v>
      </c>
      <c r="G12" s="116">
        <v>99999</v>
      </c>
      <c r="H12" s="117">
        <v>0</v>
      </c>
      <c r="I12" s="116">
        <v>0</v>
      </c>
      <c r="J12" s="116">
        <v>0</v>
      </c>
      <c r="K12" s="116">
        <v>0</v>
      </c>
      <c r="L12" s="116">
        <f t="shared" si="1"/>
        <v>99999</v>
      </c>
      <c r="M12" s="34" t="str">
        <f t="shared" si="2"/>
        <v>OK</v>
      </c>
      <c r="N12" s="88"/>
      <c r="O12" s="8" t="s">
        <v>48</v>
      </c>
      <c r="P12" s="87"/>
      <c r="Q12" s="34" t="s">
        <v>52</v>
      </c>
      <c r="S12" s="106" t="s">
        <v>62</v>
      </c>
      <c r="U12" s="177" t="s">
        <v>34</v>
      </c>
      <c r="V12" s="178">
        <v>1.2</v>
      </c>
      <c r="W12" s="179">
        <v>998</v>
      </c>
      <c r="X12" s="180">
        <f t="shared" si="3"/>
        <v>1197.5999999999999</v>
      </c>
    </row>
    <row r="13" spans="1:78" x14ac:dyDescent="0.25">
      <c r="A13" s="8" t="s">
        <v>39</v>
      </c>
      <c r="B13" s="34" t="s">
        <v>50</v>
      </c>
      <c r="C13" s="34" t="s">
        <v>28</v>
      </c>
      <c r="D13" s="113">
        <v>45.83</v>
      </c>
      <c r="E13" s="114">
        <v>0.05</v>
      </c>
      <c r="F13" s="115">
        <f t="shared" si="0"/>
        <v>48.121499999999997</v>
      </c>
      <c r="G13" s="116">
        <v>99999</v>
      </c>
      <c r="H13" s="117">
        <v>0</v>
      </c>
      <c r="I13" s="116">
        <v>0</v>
      </c>
      <c r="J13" s="116">
        <v>0</v>
      </c>
      <c r="K13" s="116">
        <v>0</v>
      </c>
      <c r="L13" s="116">
        <f t="shared" si="1"/>
        <v>99999</v>
      </c>
      <c r="M13" s="34" t="str">
        <f t="shared" si="2"/>
        <v>OK</v>
      </c>
      <c r="N13" s="88"/>
      <c r="O13" s="8" t="s">
        <v>51</v>
      </c>
      <c r="P13" s="87"/>
      <c r="Q13" s="34" t="s">
        <v>55</v>
      </c>
      <c r="S13" s="106" t="s">
        <v>63</v>
      </c>
      <c r="U13" s="177" t="s">
        <v>38</v>
      </c>
      <c r="V13" s="178">
        <v>3.0839999999999996</v>
      </c>
      <c r="W13" s="179">
        <v>515</v>
      </c>
      <c r="X13" s="180">
        <f t="shared" si="3"/>
        <v>1588.2599999999998</v>
      </c>
    </row>
    <row r="14" spans="1:78" x14ac:dyDescent="0.25">
      <c r="A14" s="8" t="s">
        <v>39</v>
      </c>
      <c r="B14" s="34" t="s">
        <v>53</v>
      </c>
      <c r="C14" s="34" t="s">
        <v>32</v>
      </c>
      <c r="D14" s="113">
        <v>210</v>
      </c>
      <c r="E14" s="114">
        <v>0.05</v>
      </c>
      <c r="F14" s="115">
        <f t="shared" si="0"/>
        <v>220.5</v>
      </c>
      <c r="G14" s="116">
        <v>99999</v>
      </c>
      <c r="H14" s="117">
        <v>0</v>
      </c>
      <c r="I14" s="116">
        <v>0</v>
      </c>
      <c r="J14" s="116">
        <v>0</v>
      </c>
      <c r="K14" s="116">
        <v>0</v>
      </c>
      <c r="L14" s="116">
        <f t="shared" si="1"/>
        <v>99999</v>
      </c>
      <c r="M14" s="34" t="str">
        <f t="shared" si="2"/>
        <v>OK</v>
      </c>
      <c r="N14" s="88"/>
      <c r="O14" s="8" t="s">
        <v>54</v>
      </c>
      <c r="P14" s="87"/>
      <c r="Q14" s="34" t="s">
        <v>57</v>
      </c>
      <c r="S14" s="106" t="s">
        <v>64</v>
      </c>
      <c r="U14" s="177" t="s">
        <v>77</v>
      </c>
      <c r="V14" s="178">
        <v>316.8</v>
      </c>
      <c r="W14" s="179">
        <v>0</v>
      </c>
      <c r="X14" s="180">
        <f t="shared" si="3"/>
        <v>0</v>
      </c>
    </row>
    <row r="15" spans="1:78" x14ac:dyDescent="0.25">
      <c r="A15" s="8" t="s">
        <v>39</v>
      </c>
      <c r="B15" s="34" t="s">
        <v>56</v>
      </c>
      <c r="C15" s="34" t="s">
        <v>36</v>
      </c>
      <c r="D15" s="113">
        <v>301.67</v>
      </c>
      <c r="E15" s="114">
        <v>0.05</v>
      </c>
      <c r="F15" s="115">
        <f t="shared" si="0"/>
        <v>316.75350000000003</v>
      </c>
      <c r="G15" s="116">
        <v>99999</v>
      </c>
      <c r="H15" s="117">
        <v>0</v>
      </c>
      <c r="I15" s="116">
        <v>0</v>
      </c>
      <c r="J15" s="116">
        <v>0</v>
      </c>
      <c r="K15" s="116">
        <v>0</v>
      </c>
      <c r="L15" s="116">
        <f t="shared" si="1"/>
        <v>99999</v>
      </c>
      <c r="M15" s="34" t="str">
        <f t="shared" si="2"/>
        <v>OK</v>
      </c>
      <c r="N15" s="88"/>
      <c r="O15" s="8" t="s">
        <v>75</v>
      </c>
      <c r="P15" s="87"/>
      <c r="U15" s="177" t="s">
        <v>15</v>
      </c>
      <c r="V15" s="178">
        <v>18</v>
      </c>
      <c r="W15" s="179">
        <v>15</v>
      </c>
      <c r="X15" s="180">
        <f t="shared" si="3"/>
        <v>270</v>
      </c>
    </row>
    <row r="16" spans="1:78" x14ac:dyDescent="0.25">
      <c r="A16" s="8" t="s">
        <v>42</v>
      </c>
      <c r="B16" s="34" t="s">
        <v>58</v>
      </c>
      <c r="C16" s="34" t="s">
        <v>40</v>
      </c>
      <c r="D16" s="113">
        <v>32.5</v>
      </c>
      <c r="E16" s="114">
        <v>0.05</v>
      </c>
      <c r="F16" s="115">
        <f t="shared" si="0"/>
        <v>34.125</v>
      </c>
      <c r="G16" s="116">
        <v>99999</v>
      </c>
      <c r="H16" s="117">
        <v>0</v>
      </c>
      <c r="I16" s="116">
        <v>0</v>
      </c>
      <c r="J16" s="116">
        <v>0</v>
      </c>
      <c r="K16" s="116">
        <v>0</v>
      </c>
      <c r="L16" s="116">
        <f t="shared" si="1"/>
        <v>99999</v>
      </c>
      <c r="M16" s="34" t="str">
        <f t="shared" si="2"/>
        <v>OK</v>
      </c>
      <c r="N16" s="88"/>
      <c r="P16" s="87"/>
      <c r="U16" s="177" t="s">
        <v>22</v>
      </c>
      <c r="V16" s="178">
        <v>42</v>
      </c>
      <c r="W16" s="179">
        <v>5</v>
      </c>
      <c r="X16" s="180">
        <f t="shared" si="3"/>
        <v>210</v>
      </c>
    </row>
    <row r="17" spans="1:24" x14ac:dyDescent="0.25">
      <c r="A17" s="8" t="s">
        <v>42</v>
      </c>
      <c r="B17" s="34" t="s">
        <v>59</v>
      </c>
      <c r="C17" s="34" t="s">
        <v>43</v>
      </c>
      <c r="D17" s="113">
        <v>36.67</v>
      </c>
      <c r="E17" s="114">
        <v>0.05</v>
      </c>
      <c r="F17" s="115">
        <f t="shared" si="0"/>
        <v>38.503500000000003</v>
      </c>
      <c r="G17" s="116">
        <v>99999</v>
      </c>
      <c r="H17" s="117">
        <v>0</v>
      </c>
      <c r="I17" s="116">
        <v>0</v>
      </c>
      <c r="J17" s="116">
        <v>0</v>
      </c>
      <c r="K17" s="116">
        <v>0</v>
      </c>
      <c r="L17" s="116">
        <f t="shared" si="1"/>
        <v>99999</v>
      </c>
      <c r="M17" s="34" t="str">
        <f t="shared" si="2"/>
        <v>OK</v>
      </c>
      <c r="N17" s="88"/>
      <c r="P17" s="87"/>
      <c r="U17" s="177" t="s">
        <v>18</v>
      </c>
      <c r="V17" s="178">
        <v>30</v>
      </c>
      <c r="W17" s="179">
        <v>0</v>
      </c>
      <c r="X17" s="180">
        <f t="shared" si="3"/>
        <v>0</v>
      </c>
    </row>
    <row r="18" spans="1:24" x14ac:dyDescent="0.25">
      <c r="A18" s="8" t="s">
        <v>45</v>
      </c>
      <c r="B18" s="34" t="s">
        <v>60</v>
      </c>
      <c r="C18" s="34" t="s">
        <v>46</v>
      </c>
      <c r="D18" s="113">
        <v>68.75</v>
      </c>
      <c r="E18" s="114">
        <v>0.05</v>
      </c>
      <c r="F18" s="115">
        <f t="shared" si="0"/>
        <v>72.1875</v>
      </c>
      <c r="G18" s="116">
        <v>99999</v>
      </c>
      <c r="H18" s="117">
        <v>0</v>
      </c>
      <c r="I18" s="116">
        <v>0</v>
      </c>
      <c r="J18" s="116">
        <v>0</v>
      </c>
      <c r="K18" s="116">
        <v>0</v>
      </c>
      <c r="L18" s="116">
        <f t="shared" si="1"/>
        <v>99999</v>
      </c>
      <c r="M18" s="34" t="str">
        <f t="shared" si="2"/>
        <v>OK</v>
      </c>
      <c r="N18" s="88"/>
      <c r="P18" s="87"/>
      <c r="U18" s="177" t="s">
        <v>487</v>
      </c>
      <c r="V18" s="178">
        <v>12.6</v>
      </c>
      <c r="W18" s="179">
        <v>0</v>
      </c>
      <c r="X18" s="180">
        <f t="shared" si="3"/>
        <v>0</v>
      </c>
    </row>
    <row r="19" spans="1:24" x14ac:dyDescent="0.25">
      <c r="A19" s="8" t="s">
        <v>45</v>
      </c>
      <c r="B19" s="34" t="s">
        <v>61</v>
      </c>
      <c r="C19" s="34" t="s">
        <v>49</v>
      </c>
      <c r="D19" s="113">
        <v>72.5</v>
      </c>
      <c r="E19" s="114">
        <v>0.05</v>
      </c>
      <c r="F19" s="115">
        <f t="shared" si="0"/>
        <v>76.125</v>
      </c>
      <c r="G19" s="116">
        <v>99999</v>
      </c>
      <c r="H19" s="117">
        <v>0</v>
      </c>
      <c r="I19" s="116">
        <v>0</v>
      </c>
      <c r="J19" s="116">
        <v>0</v>
      </c>
      <c r="K19" s="116">
        <v>0</v>
      </c>
      <c r="L19" s="116">
        <f t="shared" si="1"/>
        <v>99999</v>
      </c>
      <c r="M19" s="34" t="str">
        <f t="shared" si="2"/>
        <v>OK</v>
      </c>
      <c r="N19" s="88"/>
      <c r="P19" s="87"/>
      <c r="U19" s="181"/>
      <c r="V19" s="182"/>
      <c r="W19" s="182"/>
      <c r="X19" s="180">
        <f t="shared" si="3"/>
        <v>0</v>
      </c>
    </row>
    <row r="20" spans="1:24" x14ac:dyDescent="0.25">
      <c r="A20" s="8" t="s">
        <v>48</v>
      </c>
      <c r="B20" s="34" t="s">
        <v>62</v>
      </c>
      <c r="C20" s="34" t="s">
        <v>52</v>
      </c>
      <c r="D20" s="113">
        <v>81.67</v>
      </c>
      <c r="E20" s="114">
        <v>0.05</v>
      </c>
      <c r="F20" s="115">
        <f t="shared" si="0"/>
        <v>85.753500000000003</v>
      </c>
      <c r="G20" s="116">
        <v>99999</v>
      </c>
      <c r="H20" s="117">
        <v>0</v>
      </c>
      <c r="I20" s="116">
        <v>0</v>
      </c>
      <c r="J20" s="116">
        <v>0</v>
      </c>
      <c r="K20" s="116">
        <v>0</v>
      </c>
      <c r="L20" s="116">
        <f t="shared" si="1"/>
        <v>99999</v>
      </c>
      <c r="M20" s="34" t="str">
        <f t="shared" si="2"/>
        <v>OK</v>
      </c>
      <c r="N20" s="88"/>
      <c r="P20" s="87"/>
      <c r="U20" s="181"/>
      <c r="V20" s="182"/>
      <c r="W20" s="182"/>
      <c r="X20" s="180">
        <f t="shared" si="3"/>
        <v>0</v>
      </c>
    </row>
    <row r="21" spans="1:24" x14ac:dyDescent="0.25">
      <c r="A21" s="8" t="s">
        <v>48</v>
      </c>
      <c r="B21" s="34" t="s">
        <v>63</v>
      </c>
      <c r="C21" s="34" t="s">
        <v>55</v>
      </c>
      <c r="D21" s="113">
        <v>109.17</v>
      </c>
      <c r="E21" s="114">
        <v>0.05</v>
      </c>
      <c r="F21" s="115">
        <f t="shared" si="0"/>
        <v>114.6285</v>
      </c>
      <c r="G21" s="116">
        <v>99999</v>
      </c>
      <c r="H21" s="117">
        <v>0</v>
      </c>
      <c r="I21" s="116">
        <v>0</v>
      </c>
      <c r="J21" s="116">
        <v>0</v>
      </c>
      <c r="K21" s="116">
        <v>0</v>
      </c>
      <c r="L21" s="116">
        <f t="shared" si="1"/>
        <v>99999</v>
      </c>
      <c r="M21" s="34" t="str">
        <f t="shared" si="2"/>
        <v>OK</v>
      </c>
      <c r="N21" s="88"/>
      <c r="P21" s="87"/>
      <c r="U21" s="181"/>
      <c r="V21" s="182"/>
      <c r="W21" s="182"/>
      <c r="X21" s="180">
        <f t="shared" si="3"/>
        <v>0</v>
      </c>
    </row>
    <row r="22" spans="1:24" x14ac:dyDescent="0.25">
      <c r="A22" s="8" t="s">
        <v>48</v>
      </c>
      <c r="B22" s="34" t="s">
        <v>64</v>
      </c>
      <c r="C22" s="34" t="s">
        <v>57</v>
      </c>
      <c r="D22" s="113">
        <v>155</v>
      </c>
      <c r="E22" s="114">
        <v>0.05</v>
      </c>
      <c r="F22" s="115">
        <f t="shared" si="0"/>
        <v>162.75</v>
      </c>
      <c r="G22" s="116">
        <v>99999</v>
      </c>
      <c r="H22" s="117">
        <v>0</v>
      </c>
      <c r="I22" s="116">
        <v>0</v>
      </c>
      <c r="J22" s="116">
        <v>0</v>
      </c>
      <c r="K22" s="116">
        <v>0</v>
      </c>
      <c r="L22" s="116">
        <f t="shared" si="1"/>
        <v>99999</v>
      </c>
      <c r="M22" s="34" t="str">
        <f t="shared" si="2"/>
        <v>OK</v>
      </c>
      <c r="N22" s="88"/>
      <c r="P22" s="87"/>
      <c r="U22" s="181"/>
      <c r="V22" s="182"/>
      <c r="W22" s="182"/>
      <c r="X22" s="180">
        <f t="shared" si="3"/>
        <v>0</v>
      </c>
    </row>
    <row r="23" spans="1:24" x14ac:dyDescent="0.25">
      <c r="A23" s="8" t="s">
        <v>51</v>
      </c>
      <c r="B23" s="34" t="s">
        <v>65</v>
      </c>
      <c r="C23" s="34" t="s">
        <v>66</v>
      </c>
      <c r="D23" s="113">
        <v>710.62</v>
      </c>
      <c r="E23" s="114">
        <v>0.2</v>
      </c>
      <c r="F23" s="115">
        <f t="shared" si="0"/>
        <v>852.74400000000003</v>
      </c>
      <c r="G23" s="116">
        <v>5</v>
      </c>
      <c r="H23" s="117">
        <v>2.75</v>
      </c>
      <c r="I23" s="116">
        <v>5</v>
      </c>
      <c r="J23" s="116">
        <v>0</v>
      </c>
      <c r="K23" s="116">
        <v>0</v>
      </c>
      <c r="L23" s="116">
        <f t="shared" si="1"/>
        <v>5</v>
      </c>
      <c r="M23" s="34" t="str">
        <f t="shared" si="2"/>
        <v>OK</v>
      </c>
      <c r="N23" s="88"/>
      <c r="P23" s="87"/>
      <c r="U23" s="181"/>
      <c r="V23" s="182"/>
      <c r="W23" s="182"/>
      <c r="X23" s="180">
        <f t="shared" si="3"/>
        <v>0</v>
      </c>
    </row>
    <row r="24" spans="1:24" x14ac:dyDescent="0.25">
      <c r="A24" s="8" t="s">
        <v>51</v>
      </c>
      <c r="B24" s="34" t="s">
        <v>67</v>
      </c>
      <c r="C24" s="34" t="s">
        <v>68</v>
      </c>
      <c r="D24" s="113">
        <v>741.67</v>
      </c>
      <c r="E24" s="114">
        <v>0.15</v>
      </c>
      <c r="F24" s="115">
        <f t="shared" si="0"/>
        <v>852.92049999999995</v>
      </c>
      <c r="G24" s="116">
        <v>5</v>
      </c>
      <c r="H24" s="117">
        <v>2.75</v>
      </c>
      <c r="I24" s="116">
        <v>5</v>
      </c>
      <c r="J24" s="116">
        <v>0</v>
      </c>
      <c r="K24" s="116">
        <v>0</v>
      </c>
      <c r="L24" s="116">
        <f t="shared" si="1"/>
        <v>5</v>
      </c>
      <c r="M24" s="34" t="str">
        <f t="shared" si="2"/>
        <v>OK</v>
      </c>
      <c r="N24" s="88"/>
      <c r="P24" s="87"/>
      <c r="U24" s="181"/>
      <c r="V24" s="182"/>
      <c r="W24" s="182"/>
      <c r="X24" s="180">
        <f t="shared" si="3"/>
        <v>0</v>
      </c>
    </row>
    <row r="25" spans="1:24" x14ac:dyDescent="0.25">
      <c r="A25" s="8" t="s">
        <v>54</v>
      </c>
      <c r="B25" s="34" t="s">
        <v>69</v>
      </c>
      <c r="C25" s="34" t="s">
        <v>70</v>
      </c>
      <c r="D25" s="113">
        <v>695</v>
      </c>
      <c r="E25" s="114">
        <v>0.2</v>
      </c>
      <c r="F25" s="115">
        <f t="shared" si="0"/>
        <v>834</v>
      </c>
      <c r="G25" s="116">
        <v>5</v>
      </c>
      <c r="H25" s="117">
        <v>2.75</v>
      </c>
      <c r="I25" s="116">
        <v>5</v>
      </c>
      <c r="J25" s="116">
        <v>0</v>
      </c>
      <c r="K25" s="116">
        <v>0</v>
      </c>
      <c r="L25" s="116">
        <f t="shared" si="1"/>
        <v>5</v>
      </c>
      <c r="M25" s="34" t="str">
        <f t="shared" si="2"/>
        <v>OK</v>
      </c>
      <c r="N25" s="88"/>
      <c r="P25" s="87"/>
      <c r="U25" s="181"/>
      <c r="V25" s="182"/>
      <c r="W25" s="182"/>
      <c r="X25" s="180">
        <f t="shared" si="3"/>
        <v>0</v>
      </c>
    </row>
    <row r="26" spans="1:24" x14ac:dyDescent="0.25">
      <c r="A26" s="8" t="s">
        <v>54</v>
      </c>
      <c r="B26" s="34" t="s">
        <v>71</v>
      </c>
      <c r="C26" s="34" t="s">
        <v>72</v>
      </c>
      <c r="D26" s="113">
        <v>342</v>
      </c>
      <c r="E26" s="114">
        <v>0.2</v>
      </c>
      <c r="F26" s="115">
        <f t="shared" si="0"/>
        <v>410.4</v>
      </c>
      <c r="G26" s="116">
        <v>5</v>
      </c>
      <c r="H26" s="117">
        <v>2.75</v>
      </c>
      <c r="I26" s="116">
        <v>5</v>
      </c>
      <c r="J26" s="116">
        <v>0</v>
      </c>
      <c r="K26" s="116">
        <v>0</v>
      </c>
      <c r="L26" s="116">
        <f t="shared" si="1"/>
        <v>5</v>
      </c>
      <c r="M26" s="34" t="str">
        <f t="shared" si="2"/>
        <v>OK</v>
      </c>
      <c r="N26" s="88"/>
      <c r="P26" s="87"/>
      <c r="U26" s="181"/>
      <c r="V26" s="182"/>
      <c r="W26" s="182"/>
      <c r="X26" s="180">
        <f t="shared" si="3"/>
        <v>0</v>
      </c>
    </row>
    <row r="27" spans="1:24" x14ac:dyDescent="0.25">
      <c r="A27" s="8" t="s">
        <v>54</v>
      </c>
      <c r="B27" s="34" t="s">
        <v>73</v>
      </c>
      <c r="C27" s="34" t="s">
        <v>74</v>
      </c>
      <c r="D27" s="113">
        <v>342</v>
      </c>
      <c r="E27" s="114">
        <v>0.2</v>
      </c>
      <c r="F27" s="115">
        <f t="shared" si="0"/>
        <v>410.4</v>
      </c>
      <c r="G27" s="116">
        <v>5</v>
      </c>
      <c r="H27" s="117">
        <v>2.75</v>
      </c>
      <c r="I27" s="116">
        <v>5</v>
      </c>
      <c r="J27" s="116">
        <v>0</v>
      </c>
      <c r="K27" s="116">
        <v>0</v>
      </c>
      <c r="L27" s="116">
        <f t="shared" si="1"/>
        <v>5</v>
      </c>
      <c r="M27" s="34" t="str">
        <f t="shared" si="2"/>
        <v>OK</v>
      </c>
      <c r="N27" s="88"/>
      <c r="U27" s="181"/>
      <c r="V27" s="182"/>
      <c r="W27" s="182"/>
      <c r="X27" s="180">
        <f t="shared" si="3"/>
        <v>0</v>
      </c>
    </row>
    <row r="28" spans="1:24" x14ac:dyDescent="0.25">
      <c r="A28" s="133" t="s">
        <v>75</v>
      </c>
      <c r="B28" s="134" t="s">
        <v>76</v>
      </c>
      <c r="C28" s="134" t="s">
        <v>77</v>
      </c>
      <c r="D28" s="187">
        <v>264</v>
      </c>
      <c r="E28" s="188">
        <v>0.2</v>
      </c>
      <c r="F28" s="135">
        <f t="shared" si="0"/>
        <v>316.8</v>
      </c>
      <c r="G28" s="116">
        <v>0</v>
      </c>
      <c r="H28" s="136">
        <v>21.513999999999999</v>
      </c>
      <c r="I28" s="116">
        <v>0</v>
      </c>
      <c r="J28" s="116">
        <v>0</v>
      </c>
      <c r="K28" s="116">
        <v>0</v>
      </c>
      <c r="L28" s="116">
        <f t="shared" si="1"/>
        <v>0</v>
      </c>
      <c r="M28" s="34" t="str">
        <f t="shared" si="2"/>
        <v>OK</v>
      </c>
      <c r="N28" s="88"/>
      <c r="O28" s="88" t="s">
        <v>514</v>
      </c>
      <c r="P28" s="88" t="s">
        <v>515</v>
      </c>
      <c r="Q28" s="48" t="s">
        <v>165</v>
      </c>
      <c r="R28" s="48" t="s">
        <v>165</v>
      </c>
      <c r="S28" s="48" t="s">
        <v>165</v>
      </c>
      <c r="U28" s="181"/>
      <c r="V28" s="182"/>
      <c r="W28" s="182"/>
      <c r="X28" s="180">
        <f t="shared" si="3"/>
        <v>0</v>
      </c>
    </row>
    <row r="29" spans="1:24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U29" s="181"/>
      <c r="V29" s="182"/>
      <c r="W29" s="182"/>
      <c r="X29" s="180">
        <f t="shared" si="3"/>
        <v>0</v>
      </c>
    </row>
    <row r="30" spans="1:24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U30" s="181"/>
      <c r="V30" s="182"/>
      <c r="W30" s="182"/>
      <c r="X30" s="180">
        <f t="shared" si="3"/>
        <v>0</v>
      </c>
    </row>
    <row r="31" spans="1:24" x14ac:dyDescent="0.25">
      <c r="M31" s="48" t="str">
        <f t="shared" ref="M31:M43" si="4">IF(L31="","",IF(L31&gt;=I31,"OK",IF(L31&gt;0,"à commander",IF(L31&gt;=0,"Rupture","ERREUR"))))</f>
        <v/>
      </c>
      <c r="U31" s="181"/>
      <c r="V31" s="182"/>
      <c r="W31" s="182"/>
      <c r="X31" s="180">
        <f t="shared" si="3"/>
        <v>0</v>
      </c>
    </row>
    <row r="32" spans="1:24" x14ac:dyDescent="0.25">
      <c r="M32" s="48" t="str">
        <f t="shared" si="4"/>
        <v/>
      </c>
      <c r="U32" s="181"/>
      <c r="V32" s="182"/>
      <c r="W32" s="182"/>
      <c r="X32" s="180">
        <f t="shared" si="3"/>
        <v>0</v>
      </c>
    </row>
    <row r="33" spans="13:24" x14ac:dyDescent="0.25">
      <c r="M33" s="48" t="str">
        <f t="shared" si="4"/>
        <v/>
      </c>
      <c r="U33" s="181"/>
      <c r="V33" s="182"/>
      <c r="W33" s="182"/>
      <c r="X33" s="180">
        <f t="shared" si="3"/>
        <v>0</v>
      </c>
    </row>
    <row r="34" spans="13:24" x14ac:dyDescent="0.25">
      <c r="M34" s="48" t="str">
        <f t="shared" si="4"/>
        <v/>
      </c>
      <c r="U34" s="181"/>
      <c r="V34" s="182"/>
      <c r="W34" s="182"/>
      <c r="X34" s="180">
        <f t="shared" si="3"/>
        <v>0</v>
      </c>
    </row>
    <row r="35" spans="13:24" x14ac:dyDescent="0.25">
      <c r="M35" s="48" t="str">
        <f t="shared" si="4"/>
        <v/>
      </c>
      <c r="U35" s="181"/>
      <c r="V35" s="182"/>
      <c r="W35" s="182"/>
      <c r="X35" s="180">
        <f t="shared" si="3"/>
        <v>0</v>
      </c>
    </row>
    <row r="36" spans="13:24" x14ac:dyDescent="0.25">
      <c r="M36" s="48" t="str">
        <f t="shared" si="4"/>
        <v/>
      </c>
      <c r="U36" s="181"/>
      <c r="V36" s="182"/>
      <c r="W36" s="182"/>
      <c r="X36" s="180">
        <f t="shared" si="3"/>
        <v>0</v>
      </c>
    </row>
    <row r="37" spans="13:24" x14ac:dyDescent="0.25">
      <c r="M37" s="48" t="str">
        <f t="shared" si="4"/>
        <v/>
      </c>
      <c r="U37" s="181"/>
      <c r="V37" s="182"/>
      <c r="W37" s="182"/>
      <c r="X37" s="180">
        <f t="shared" si="3"/>
        <v>0</v>
      </c>
    </row>
    <row r="38" spans="13:24" x14ac:dyDescent="0.25">
      <c r="M38" s="48" t="str">
        <f t="shared" si="4"/>
        <v/>
      </c>
    </row>
    <row r="39" spans="13:24" x14ac:dyDescent="0.25">
      <c r="M39" s="48" t="str">
        <f t="shared" si="4"/>
        <v/>
      </c>
    </row>
    <row r="40" spans="13:24" x14ac:dyDescent="0.25">
      <c r="M40" s="48" t="str">
        <f t="shared" si="4"/>
        <v/>
      </c>
    </row>
    <row r="41" spans="13:24" x14ac:dyDescent="0.25">
      <c r="M41" s="48" t="str">
        <f t="shared" si="4"/>
        <v/>
      </c>
    </row>
    <row r="42" spans="13:24" x14ac:dyDescent="0.25">
      <c r="M42" s="48" t="str">
        <f t="shared" si="4"/>
        <v/>
      </c>
    </row>
    <row r="43" spans="13:24" x14ac:dyDescent="0.25">
      <c r="M43" s="48" t="str">
        <f t="shared" si="4"/>
        <v/>
      </c>
    </row>
  </sheetData>
  <conditionalFormatting sqref="M31:N1048576 M1:M28">
    <cfRule type="cellIs" dxfId="102" priority="3" operator="equal">
      <formula>"OK"</formula>
    </cfRule>
    <cfRule type="cellIs" dxfId="101" priority="4" operator="equal">
      <formula>"à commander"</formula>
    </cfRule>
  </conditionalFormatting>
  <conditionalFormatting sqref="M31:M1048576 M1:M28">
    <cfRule type="cellIs" dxfId="100" priority="1" operator="equal">
      <formula>"ERREUR"</formula>
    </cfRule>
    <cfRule type="cellIs" dxfId="99" priority="2" operator="equal">
      <formula>"Rupture"</formula>
    </cfRule>
  </conditionalFormatting>
  <pageMargins left="0.7" right="0.7" top="0.75" bottom="0.75" header="0.3" footer="0.3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8198" r:id="rId5" name="CmdChoix_Produit">
          <controlPr defaultSize="0" autoFill="0" autoLine="0" r:id="rId6">
            <anchor moveWithCells="1">
              <from>
                <xdr:col>13</xdr:col>
                <xdr:colOff>19050</xdr:colOff>
                <xdr:row>0</xdr:row>
                <xdr:rowOff>9525</xdr:rowOff>
              </from>
              <to>
                <xdr:col>13</xdr:col>
                <xdr:colOff>1609725</xdr:colOff>
                <xdr:row>1</xdr:row>
                <xdr:rowOff>28575</xdr:rowOff>
              </to>
            </anchor>
          </controlPr>
        </control>
      </mc:Choice>
      <mc:Fallback>
        <control shapeId="8198" r:id="rId5" name="CmdChoix_Produit"/>
      </mc:Fallback>
    </mc:AlternateContent>
    <mc:AlternateContent xmlns:mc="http://schemas.openxmlformats.org/markup-compatibility/2006">
      <mc:Choice Requires="x14">
        <control shapeId="8197" r:id="rId7" name="CmdMain_Oeuvre">
          <controlPr defaultSize="0" autoFill="0" autoLine="0" r:id="rId8">
            <anchor moveWithCells="1">
              <from>
                <xdr:col>16</xdr:col>
                <xdr:colOff>0</xdr:colOff>
                <xdr:row>0</xdr:row>
                <xdr:rowOff>0</xdr:rowOff>
              </from>
              <to>
                <xdr:col>17</xdr:col>
                <xdr:colOff>19050</xdr:colOff>
                <xdr:row>1</xdr:row>
                <xdr:rowOff>19050</xdr:rowOff>
              </to>
            </anchor>
          </controlPr>
        </control>
      </mc:Choice>
      <mc:Fallback>
        <control shapeId="8197" r:id="rId7" name="CmdMain_Oeuvre"/>
      </mc:Fallback>
    </mc:AlternateContent>
    <mc:AlternateContent xmlns:mc="http://schemas.openxmlformats.org/markup-compatibility/2006">
      <mc:Choice Requires="x14">
        <control shapeId="8194" r:id="rId9" name="CmdEquipements">
          <controlPr defaultSize="0" autoFill="0" autoLine="0" r:id="rId10">
            <anchor moveWithCells="1">
              <from>
                <xdr:col>14</xdr:col>
                <xdr:colOff>9525</xdr:colOff>
                <xdr:row>0</xdr:row>
                <xdr:rowOff>9525</xdr:rowOff>
              </from>
              <to>
                <xdr:col>14</xdr:col>
                <xdr:colOff>2419350</xdr:colOff>
                <xdr:row>1</xdr:row>
                <xdr:rowOff>28575</xdr:rowOff>
              </to>
            </anchor>
          </controlPr>
        </control>
      </mc:Choice>
      <mc:Fallback>
        <control shapeId="8194" r:id="rId9" name="CmdEquipements"/>
      </mc:Fallback>
    </mc:AlternateContent>
  </controls>
  <tableParts count="1"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5">
    <tabColor theme="3"/>
  </sheetPr>
  <dimension ref="A1:BX160"/>
  <sheetViews>
    <sheetView showWhiteSpace="0" topLeftCell="A28" zoomScaleNormal="100" zoomScalePageLayoutView="64" workbookViewId="0">
      <selection activeCell="J24" sqref="J24"/>
    </sheetView>
  </sheetViews>
  <sheetFormatPr baseColWidth="10" defaultRowHeight="16.5" x14ac:dyDescent="0.25"/>
  <cols>
    <col min="1" max="2" width="1.28515625" style="126" customWidth="1"/>
    <col min="3" max="3" width="13.42578125" style="126" customWidth="1"/>
    <col min="4" max="4" width="20.85546875" style="126" customWidth="1"/>
    <col min="5" max="5" width="16.140625" style="126" customWidth="1"/>
    <col min="6" max="6" width="23.42578125" style="126" customWidth="1"/>
    <col min="7" max="7" width="28.5703125" style="126" customWidth="1"/>
    <col min="8" max="8" width="12.5703125" style="126" customWidth="1"/>
    <col min="9" max="9" width="11.42578125" style="126" customWidth="1"/>
    <col min="10" max="10" width="16.5703125" style="126" customWidth="1"/>
    <col min="11" max="11" width="15.5703125" style="126" customWidth="1"/>
    <col min="12" max="12" width="13.7109375" style="126" customWidth="1"/>
    <col min="13" max="13" width="15" style="126" customWidth="1"/>
    <col min="14" max="14" width="17.85546875" style="126" customWidth="1"/>
    <col min="15" max="15" width="2" style="126" customWidth="1"/>
    <col min="16" max="16" width="15.140625" style="126" customWidth="1"/>
    <col min="17" max="17" width="0.7109375" style="126" customWidth="1"/>
    <col min="18" max="18" width="19" style="126" customWidth="1"/>
    <col min="19" max="19" width="0.7109375" style="126" customWidth="1"/>
    <col min="20" max="21" width="11.42578125" style="126" hidden="1" customWidth="1"/>
    <col min="22" max="16384" width="11.42578125" style="126"/>
  </cols>
  <sheetData>
    <row r="1" spans="3:76" ht="18" thickBot="1" x14ac:dyDescent="0.3">
      <c r="C1" s="11"/>
      <c r="D1" s="11"/>
      <c r="E1" s="11"/>
      <c r="F1" s="11"/>
      <c r="G1" s="11"/>
      <c r="H1" s="9"/>
      <c r="I1" s="9"/>
      <c r="J1" s="9"/>
      <c r="K1" s="10"/>
      <c r="L1" s="10"/>
      <c r="M1" s="10"/>
      <c r="N1" s="10"/>
      <c r="P1" s="93" t="e">
        <f>INDEX(FACT,COUNTA(FACT))</f>
        <v>#NAME?</v>
      </c>
      <c r="Q1" s="93"/>
      <c r="R1" s="105" t="s">
        <v>79</v>
      </c>
      <c r="BX1" s="123"/>
    </row>
    <row r="2" spans="3:76" ht="18" thickBot="1" x14ac:dyDescent="0.3">
      <c r="C2" s="11"/>
      <c r="D2" s="217" t="s">
        <v>78</v>
      </c>
      <c r="E2" s="218"/>
      <c r="F2" s="218"/>
      <c r="G2" s="219"/>
      <c r="H2" s="11"/>
      <c r="I2" s="11"/>
      <c r="J2" s="9"/>
      <c r="K2" s="10"/>
      <c r="L2" s="211" t="s">
        <v>81</v>
      </c>
      <c r="M2" s="212"/>
      <c r="N2" s="212"/>
      <c r="P2" s="93"/>
      <c r="Q2" s="93"/>
      <c r="R2" s="90" t="s">
        <v>80</v>
      </c>
    </row>
    <row r="3" spans="3:76" ht="17.25" x14ac:dyDescent="0.25">
      <c r="C3" s="11"/>
      <c r="D3" s="220"/>
      <c r="E3" s="221"/>
      <c r="F3" s="221"/>
      <c r="G3" s="222"/>
      <c r="H3" s="9"/>
      <c r="I3" s="9"/>
      <c r="J3" s="9"/>
      <c r="K3" s="10"/>
      <c r="L3" s="213" t="s">
        <v>82</v>
      </c>
      <c r="M3" s="214"/>
      <c r="N3" s="12" t="e">
        <f>MID(P1,1,5)&amp;(MID(P1,6,2)+1)</f>
        <v>#NAME?</v>
      </c>
    </row>
    <row r="4" spans="3:76" ht="18" thickBot="1" x14ac:dyDescent="0.3">
      <c r="C4" s="11"/>
      <c r="D4" s="220"/>
      <c r="E4" s="221"/>
      <c r="F4" s="221"/>
      <c r="G4" s="222"/>
      <c r="H4" s="9"/>
      <c r="I4" s="9"/>
      <c r="J4" s="9"/>
      <c r="K4" s="10"/>
      <c r="L4" s="215" t="s">
        <v>83</v>
      </c>
      <c r="M4" s="216"/>
      <c r="N4" s="144">
        <f ca="1">TODAY()</f>
        <v>42416</v>
      </c>
    </row>
    <row r="5" spans="3:76" ht="17.25" x14ac:dyDescent="0.25">
      <c r="C5" s="11"/>
      <c r="D5" s="220"/>
      <c r="E5" s="221"/>
      <c r="F5" s="221"/>
      <c r="G5" s="222"/>
      <c r="H5" s="9"/>
      <c r="I5" s="9"/>
      <c r="J5" s="9"/>
      <c r="K5" s="10"/>
      <c r="L5" s="10"/>
      <c r="M5" s="10"/>
      <c r="N5" s="10"/>
    </row>
    <row r="6" spans="3:76" ht="17.25" x14ac:dyDescent="0.25">
      <c r="C6" s="9"/>
      <c r="D6" s="223"/>
      <c r="E6" s="224"/>
      <c r="F6" s="224"/>
      <c r="G6" s="225"/>
      <c r="H6" s="9"/>
      <c r="I6" s="9"/>
      <c r="J6" s="9"/>
      <c r="K6" s="10"/>
      <c r="L6" s="10"/>
      <c r="M6" s="10"/>
      <c r="N6" s="10"/>
    </row>
    <row r="7" spans="3:76" ht="17.25" x14ac:dyDescent="0.25">
      <c r="C7" s="162"/>
      <c r="D7" s="162"/>
      <c r="E7" s="9"/>
      <c r="F7" s="9"/>
      <c r="G7" s="83"/>
      <c r="H7" s="9"/>
      <c r="I7" s="139"/>
      <c r="J7" s="226" t="s">
        <v>84</v>
      </c>
      <c r="K7" s="226"/>
      <c r="L7" s="11"/>
      <c r="M7" s="11"/>
      <c r="N7" s="9"/>
    </row>
    <row r="8" spans="3:76" ht="17.25" x14ac:dyDescent="0.25">
      <c r="C8" s="16"/>
      <c r="D8" s="143" t="s">
        <v>494</v>
      </c>
      <c r="E8" s="140" t="s">
        <v>115</v>
      </c>
      <c r="F8" s="9"/>
      <c r="G8" s="83"/>
      <c r="H8" s="9"/>
      <c r="I8" s="9"/>
      <c r="J8" s="143" t="s">
        <v>494</v>
      </c>
      <c r="K8" s="210" t="s">
        <v>486</v>
      </c>
      <c r="L8" s="210"/>
      <c r="M8" s="210"/>
      <c r="N8" s="210"/>
    </row>
    <row r="9" spans="3:76" ht="27" customHeight="1" x14ac:dyDescent="0.25">
      <c r="C9" s="16"/>
      <c r="D9" s="143" t="s">
        <v>493</v>
      </c>
      <c r="E9" s="140" t="s">
        <v>116</v>
      </c>
      <c r="F9" s="9"/>
      <c r="G9" s="83"/>
      <c r="H9" s="9"/>
      <c r="I9" s="9"/>
      <c r="J9" s="143" t="s">
        <v>493</v>
      </c>
      <c r="K9" s="140" t="str">
        <f>IFERROR(T(VLOOKUP($K$8,CLIENTS_PLAGE_CLIENTS,2,FALSE)),"")</f>
        <v/>
      </c>
      <c r="L9" s="9"/>
      <c r="M9" s="9"/>
      <c r="N9" s="9"/>
    </row>
    <row r="10" spans="3:76" ht="17.25" x14ac:dyDescent="0.25">
      <c r="C10" s="16"/>
      <c r="D10" s="143"/>
      <c r="E10" s="9"/>
      <c r="F10" s="9"/>
      <c r="G10" s="83"/>
      <c r="H10" s="9"/>
      <c r="I10" s="9"/>
      <c r="J10" s="143"/>
      <c r="K10" s="9"/>
      <c r="L10" s="9"/>
      <c r="M10" s="9"/>
      <c r="N10" s="9"/>
    </row>
    <row r="11" spans="3:76" ht="15" customHeight="1" x14ac:dyDescent="0.25">
      <c r="C11" s="16"/>
      <c r="D11" s="143" t="s">
        <v>501</v>
      </c>
      <c r="E11" s="13" t="s">
        <v>488</v>
      </c>
      <c r="F11" s="9"/>
      <c r="G11" s="83"/>
      <c r="H11" s="9"/>
      <c r="I11" s="9"/>
      <c r="J11" s="143" t="s">
        <v>492</v>
      </c>
      <c r="K11" s="14" t="str">
        <f>IFERROR((VLOOKUP($K$8,CLIENTS_PLAGE_CLIENTS,3,FALSE)),"")</f>
        <v/>
      </c>
      <c r="L11" s="166" t="str">
        <f>IFERROR(T(VLOOKUP($K$8,CLIENTS_PLAGE_CLIENTS,4,FALSE)),"")</f>
        <v/>
      </c>
      <c r="M11" s="13"/>
      <c r="N11" s="13"/>
    </row>
    <row r="12" spans="3:76" ht="29.25" customHeight="1" x14ac:dyDescent="0.25">
      <c r="C12" s="16"/>
      <c r="D12" s="143" t="s">
        <v>502</v>
      </c>
      <c r="E12" s="15" t="s">
        <v>117</v>
      </c>
      <c r="F12" s="15"/>
      <c r="G12" s="15"/>
      <c r="H12" s="9"/>
      <c r="I12" s="9"/>
      <c r="J12" s="143" t="s">
        <v>495</v>
      </c>
      <c r="K12" s="140" t="str">
        <f>IFERROR(T(VLOOKUP($K$8,CLIENTS_PLAGE_CLIENTS,6,FALSE)),"")</f>
        <v/>
      </c>
      <c r="L12" s="9"/>
      <c r="M12" s="9"/>
      <c r="N12" s="9"/>
    </row>
    <row r="13" spans="3:76" ht="17.25" customHeight="1" x14ac:dyDescent="0.25">
      <c r="C13" s="16"/>
      <c r="D13" s="143" t="s">
        <v>496</v>
      </c>
      <c r="E13" s="141" t="s">
        <v>118</v>
      </c>
      <c r="F13" s="167"/>
      <c r="G13" s="83"/>
      <c r="H13" s="9"/>
      <c r="I13" s="9"/>
      <c r="J13" s="143" t="s">
        <v>496</v>
      </c>
      <c r="K13" s="142" t="str">
        <f>IFERROR(T(VLOOKUP($K$8,CLIENTS_PLAGE_CLIENTS,5,FALSE)),"")</f>
        <v/>
      </c>
      <c r="L13" s="163"/>
      <c r="M13" s="163"/>
      <c r="N13" s="9"/>
    </row>
    <row r="14" spans="3:76" ht="17.25" customHeight="1" x14ac:dyDescent="0.25">
      <c r="C14" s="16"/>
      <c r="D14" s="143" t="s">
        <v>497</v>
      </c>
      <c r="E14" s="141" t="s">
        <v>119</v>
      </c>
      <c r="F14" s="167" t="s">
        <v>120</v>
      </c>
      <c r="G14" s="83"/>
      <c r="H14" s="9"/>
      <c r="I14" s="9"/>
      <c r="J14" s="143" t="s">
        <v>497</v>
      </c>
      <c r="K14" s="142" t="str">
        <f>IFERROR(T(VLOOKUP($K$8,CLIENTS_PLAGE_CLIENTS,10,FALSE)),"")</f>
        <v/>
      </c>
      <c r="L14" s="163"/>
      <c r="M14" s="163"/>
      <c r="N14" s="9"/>
    </row>
    <row r="15" spans="3:76" ht="17.25" customHeight="1" x14ac:dyDescent="0.25">
      <c r="C15" s="16"/>
      <c r="D15" s="143" t="s">
        <v>503</v>
      </c>
      <c r="E15" s="141" t="s">
        <v>121</v>
      </c>
      <c r="F15" s="167"/>
      <c r="G15" s="83"/>
      <c r="H15" s="9"/>
      <c r="I15" s="9"/>
      <c r="J15" s="143" t="s">
        <v>499</v>
      </c>
      <c r="K15" s="138" t="str">
        <f>IFERROR(T(VLOOKUP($K$8,CLIENTS_PLAGE_CLIENTS,7,FALSE)),"")</f>
        <v/>
      </c>
      <c r="L15" s="164"/>
      <c r="M15" s="164"/>
      <c r="N15" s="10"/>
    </row>
    <row r="16" spans="3:76" ht="17.25" customHeight="1" x14ac:dyDescent="0.25">
      <c r="C16" s="16"/>
      <c r="D16" s="16"/>
      <c r="E16" s="17"/>
      <c r="F16" s="10"/>
      <c r="G16" s="18"/>
      <c r="H16" s="9"/>
      <c r="I16" s="9"/>
      <c r="J16" s="143" t="s">
        <v>85</v>
      </c>
      <c r="K16" s="138" t="str">
        <f>IFERROR(T(VLOOKUP($K$8,CLIENTS_PLAGE_CLIENTS,13,FALSE)),"")</f>
        <v/>
      </c>
      <c r="L16" s="164"/>
      <c r="M16" s="164"/>
      <c r="N16" s="10"/>
    </row>
    <row r="17" spans="1:18" ht="17.25" customHeight="1" x14ac:dyDescent="0.25">
      <c r="C17" s="16"/>
      <c r="D17" s="16"/>
      <c r="E17" s="17"/>
      <c r="F17" s="10"/>
      <c r="G17" s="18"/>
      <c r="H17" s="10"/>
      <c r="I17" s="9"/>
      <c r="J17" s="143" t="s">
        <v>498</v>
      </c>
      <c r="K17" s="138" t="str">
        <f>IFERROR(T(VLOOKUP($K$8,CLIENTS_PLAGE_CLIENTS,9,FALSE)),"")</f>
        <v/>
      </c>
      <c r="L17" s="164"/>
      <c r="M17" s="164"/>
      <c r="N17" s="10"/>
    </row>
    <row r="18" spans="1:18" ht="17.25" x14ac:dyDescent="0.25">
      <c r="C18" s="16"/>
      <c r="D18" s="16"/>
      <c r="E18" s="17"/>
      <c r="F18" s="10"/>
      <c r="G18" s="18"/>
      <c r="H18" s="10"/>
      <c r="I18" s="9"/>
      <c r="J18" s="137"/>
      <c r="K18" s="9"/>
      <c r="L18" s="9"/>
      <c r="M18" s="9"/>
      <c r="N18" s="10"/>
    </row>
    <row r="19" spans="1:18" ht="17.25" x14ac:dyDescent="0.25">
      <c r="C19" s="19"/>
      <c r="D19" s="19"/>
      <c r="E19" s="10"/>
      <c r="F19" s="84" t="s">
        <v>504</v>
      </c>
      <c r="G19" s="20">
        <f ca="1">N4+H19</f>
        <v>42476</v>
      </c>
      <c r="H19" s="147">
        <v>60</v>
      </c>
      <c r="I19" s="9"/>
      <c r="J19" s="143" t="s">
        <v>500</v>
      </c>
      <c r="K19" s="228" t="str">
        <f>IFERROR((VLOOKUP($K$8,CLIENTS_PLAGE_CLIENTS,12,FALSE)),"")</f>
        <v/>
      </c>
      <c r="L19" s="228"/>
      <c r="M19" s="165"/>
      <c r="N19" s="10"/>
    </row>
    <row r="20" spans="1:18" x14ac:dyDescent="0.25">
      <c r="C20" s="10"/>
      <c r="D20" s="21"/>
      <c r="E20" s="21"/>
      <c r="F20" s="21"/>
      <c r="G20" s="22"/>
      <c r="H20" s="21"/>
      <c r="I20" s="21"/>
      <c r="J20" s="10"/>
      <c r="K20" s="10"/>
      <c r="L20" s="10"/>
      <c r="M20" s="21"/>
      <c r="N20" s="10"/>
    </row>
    <row r="21" spans="1:18" ht="15" customHeight="1" x14ac:dyDescent="0.25">
      <c r="C21" s="229" t="s">
        <v>83</v>
      </c>
      <c r="D21" s="230" t="s">
        <v>87</v>
      </c>
      <c r="E21" s="231"/>
      <c r="F21" s="232"/>
      <c r="G21" s="236" t="s">
        <v>90</v>
      </c>
      <c r="H21" s="208" t="s">
        <v>91</v>
      </c>
      <c r="I21" s="208" t="s">
        <v>92</v>
      </c>
      <c r="J21" s="208" t="s">
        <v>93</v>
      </c>
      <c r="K21" s="208" t="s">
        <v>94</v>
      </c>
      <c r="L21" s="208" t="s">
        <v>95</v>
      </c>
      <c r="M21" s="208" t="s">
        <v>96</v>
      </c>
      <c r="N21" s="209" t="s">
        <v>97</v>
      </c>
      <c r="P21" s="205" t="s">
        <v>86</v>
      </c>
      <c r="Q21" s="206"/>
      <c r="R21" s="207"/>
    </row>
    <row r="22" spans="1:18" ht="28.5" customHeight="1" x14ac:dyDescent="0.25">
      <c r="A22" s="186" t="s">
        <v>510</v>
      </c>
      <c r="C22" s="229"/>
      <c r="D22" s="233"/>
      <c r="E22" s="234"/>
      <c r="F22" s="235"/>
      <c r="G22" s="236"/>
      <c r="H22" s="208"/>
      <c r="I22" s="208"/>
      <c r="J22" s="208"/>
      <c r="K22" s="208"/>
      <c r="L22" s="208"/>
      <c r="M22" s="208"/>
      <c r="N22" s="209"/>
      <c r="P22" s="205" t="s">
        <v>88</v>
      </c>
      <c r="Q22" s="207"/>
      <c r="R22" s="91" t="s">
        <v>89</v>
      </c>
    </row>
    <row r="23" spans="1:18" ht="34.5" customHeight="1" x14ac:dyDescent="0.25">
      <c r="A23" s="126" t="str">
        <f ca="1">IF(C23="","","x")</f>
        <v>x</v>
      </c>
      <c r="C23" s="149">
        <f ca="1">IF(D23="","",$N$4)</f>
        <v>42416</v>
      </c>
      <c r="D23" s="201" t="s">
        <v>69</v>
      </c>
      <c r="E23" s="201"/>
      <c r="F23" s="201"/>
      <c r="G23" s="23" t="str">
        <f ca="1">IFERROR(T(VLOOKUP(D23,BDD_LISTE,2,FALSE)),"")</f>
        <v>ASUS-T100CHI-FG004P</v>
      </c>
      <c r="H23" s="145">
        <v>10</v>
      </c>
      <c r="I23" s="24">
        <v>0.2</v>
      </c>
      <c r="J23" s="25">
        <f t="shared" ref="J23:J36" ca="1" si="0">IFERROR((VLOOKUP(D23,BDD_LISTE,3,FALSE)),"")</f>
        <v>695</v>
      </c>
      <c r="K23" s="26">
        <f ca="1">IF(OR(J23=0,H23=0,J23="",H23=""),"",J23*(1+I23))</f>
        <v>834</v>
      </c>
      <c r="L23" s="26">
        <f ca="1">IF(OR(J23=0,H23=0,J23="",H23=""),"",J23*H23)</f>
        <v>6950</v>
      </c>
      <c r="M23" s="26">
        <f t="shared" ref="M23:M36" ca="1" si="1">IF(OR(J23=0,H23=0,J23="",H23=""),"",(J23*I23)*H23)</f>
        <v>1390</v>
      </c>
      <c r="N23" s="27">
        <f t="shared" ref="N23:N36" ca="1" si="2">IF(OR(J23=0,H23=0,J23="",H23=""),"",K23*H23)</f>
        <v>8340</v>
      </c>
      <c r="P23" s="241">
        <f t="shared" ref="P23:P36" ca="1" si="3">IFERROR((VLOOKUP(D23,BDD_LISTE,7,FALSE)),"")</f>
        <v>2.75</v>
      </c>
      <c r="Q23" s="242"/>
      <c r="R23" s="169">
        <f ca="1">IF(OR(P23=0,,H23=""),"",H23*P23)</f>
        <v>27.5</v>
      </c>
    </row>
    <row r="24" spans="1:18" ht="34.5" customHeight="1" x14ac:dyDescent="0.25">
      <c r="A24" s="126" t="str">
        <f t="shared" ref="A24:A44" si="4">IF(C24="","","x")</f>
        <v/>
      </c>
      <c r="C24" s="149" t="str">
        <f t="shared" ref="C24:C36" si="5">IF(D24="","",$N$4)</f>
        <v/>
      </c>
      <c r="D24" s="201"/>
      <c r="E24" s="201"/>
      <c r="F24" s="201"/>
      <c r="G24" s="23" t="str">
        <f t="shared" ref="G24:G35" ca="1" si="6">IFERROR(T(VLOOKUP(D24,BDD_LISTE,2,FALSE)),"")</f>
        <v/>
      </c>
      <c r="H24" s="145"/>
      <c r="I24" s="24"/>
      <c r="J24" s="25" t="str">
        <f t="shared" ca="1" si="0"/>
        <v/>
      </c>
      <c r="K24" s="26" t="str">
        <f ca="1">IF(OR(J24=0,H24=0,J24="",H24=""),"",J24*(1+I24))</f>
        <v/>
      </c>
      <c r="L24" s="26" t="str">
        <f t="shared" ref="L24:L36" ca="1" si="7">IF(OR(J24=0,H24=0,J24="",H24=""),"",J24*H24)</f>
        <v/>
      </c>
      <c r="M24" s="26" t="str">
        <f t="shared" ca="1" si="1"/>
        <v/>
      </c>
      <c r="N24" s="27" t="str">
        <f t="shared" ca="1" si="2"/>
        <v/>
      </c>
      <c r="P24" s="237" t="str">
        <f t="shared" ca="1" si="3"/>
        <v/>
      </c>
      <c r="Q24" s="238"/>
      <c r="R24" s="170" t="str">
        <f ca="1">IF(OR(P24=0,,H24=""),"",H24*P24)</f>
        <v/>
      </c>
    </row>
    <row r="25" spans="1:18" ht="34.5" customHeight="1" x14ac:dyDescent="0.25">
      <c r="A25" s="126" t="str">
        <f t="shared" si="4"/>
        <v/>
      </c>
      <c r="C25" s="149" t="str">
        <f t="shared" si="5"/>
        <v/>
      </c>
      <c r="D25" s="201"/>
      <c r="E25" s="201"/>
      <c r="F25" s="201"/>
      <c r="G25" s="23" t="str">
        <f t="shared" ca="1" si="6"/>
        <v/>
      </c>
      <c r="H25" s="145"/>
      <c r="I25" s="24"/>
      <c r="J25" s="25" t="str">
        <f t="shared" ca="1" si="0"/>
        <v/>
      </c>
      <c r="K25" s="26" t="str">
        <f ca="1">IF(OR(J25=0,H25=0,J25="",H25=""),"",J25*(1+I25))</f>
        <v/>
      </c>
      <c r="L25" s="26" t="str">
        <f t="shared" ca="1" si="7"/>
        <v/>
      </c>
      <c r="M25" s="26" t="str">
        <f t="shared" ca="1" si="1"/>
        <v/>
      </c>
      <c r="N25" s="27" t="str">
        <f t="shared" ca="1" si="2"/>
        <v/>
      </c>
      <c r="P25" s="237" t="str">
        <f t="shared" ref="P25:P35" ca="1" si="8">IFERROR((VLOOKUP(D25,BDD_LISTE,7,FALSE)),"")</f>
        <v/>
      </c>
      <c r="Q25" s="238"/>
      <c r="R25" s="170" t="str">
        <f ca="1">IF(OR(P25=0,,H25=""),"",H25*P25)</f>
        <v/>
      </c>
    </row>
    <row r="26" spans="1:18" ht="34.5" customHeight="1" x14ac:dyDescent="0.25">
      <c r="A26" s="126" t="str">
        <f t="shared" si="4"/>
        <v/>
      </c>
      <c r="C26" s="149" t="str">
        <f t="shared" si="5"/>
        <v/>
      </c>
      <c r="D26" s="201"/>
      <c r="E26" s="201"/>
      <c r="F26" s="201"/>
      <c r="G26" s="23" t="str">
        <f t="shared" ca="1" si="6"/>
        <v/>
      </c>
      <c r="H26" s="145"/>
      <c r="I26" s="24"/>
      <c r="J26" s="25" t="str">
        <f t="shared" ca="1" si="0"/>
        <v/>
      </c>
      <c r="K26" s="26" t="str">
        <f ca="1">IF(OR(J26=0,H26=0,J26="",H26=""),"",J26*(1+I26))</f>
        <v/>
      </c>
      <c r="L26" s="26" t="str">
        <f t="shared" ca="1" si="7"/>
        <v/>
      </c>
      <c r="M26" s="26" t="str">
        <f t="shared" ca="1" si="1"/>
        <v/>
      </c>
      <c r="N26" s="27" t="str">
        <f t="shared" ca="1" si="2"/>
        <v/>
      </c>
      <c r="P26" s="237" t="str">
        <f t="shared" ca="1" si="8"/>
        <v/>
      </c>
      <c r="Q26" s="238"/>
      <c r="R26" s="170" t="str">
        <f ca="1">IF(OR(P26=0,,H26=""),"",H26*P26)</f>
        <v/>
      </c>
    </row>
    <row r="27" spans="1:18" ht="34.5" customHeight="1" x14ac:dyDescent="0.25">
      <c r="A27" s="126" t="str">
        <f t="shared" si="4"/>
        <v/>
      </c>
      <c r="C27" s="149" t="str">
        <f t="shared" si="5"/>
        <v/>
      </c>
      <c r="D27" s="201"/>
      <c r="E27" s="201"/>
      <c r="F27" s="201"/>
      <c r="G27" s="23" t="str">
        <f t="shared" ca="1" si="6"/>
        <v/>
      </c>
      <c r="H27" s="145"/>
      <c r="I27" s="24"/>
      <c r="J27" s="25" t="str">
        <f t="shared" ca="1" si="0"/>
        <v/>
      </c>
      <c r="K27" s="26" t="str">
        <f ca="1">IF(OR(J27=0,H27=0,J27="",H27=""),"",J27*(1+I27))</f>
        <v/>
      </c>
      <c r="L27" s="26" t="str">
        <f t="shared" ca="1" si="7"/>
        <v/>
      </c>
      <c r="M27" s="26" t="str">
        <f t="shared" ca="1" si="1"/>
        <v/>
      </c>
      <c r="N27" s="27" t="str">
        <f t="shared" ca="1" si="2"/>
        <v/>
      </c>
      <c r="P27" s="237" t="str">
        <f t="shared" ca="1" si="8"/>
        <v/>
      </c>
      <c r="Q27" s="238"/>
      <c r="R27" s="170" t="str">
        <f ca="1">IF(OR(P27=0,,H27=""),"",H27*P27)</f>
        <v/>
      </c>
    </row>
    <row r="28" spans="1:18" ht="34.5" customHeight="1" x14ac:dyDescent="0.25">
      <c r="A28" s="126" t="str">
        <f t="shared" si="4"/>
        <v/>
      </c>
      <c r="C28" s="149" t="str">
        <f t="shared" si="5"/>
        <v/>
      </c>
      <c r="D28" s="201"/>
      <c r="E28" s="201"/>
      <c r="F28" s="201"/>
      <c r="G28" s="23" t="str">
        <f t="shared" ca="1" si="6"/>
        <v/>
      </c>
      <c r="H28" s="145"/>
      <c r="I28" s="24"/>
      <c r="J28" s="25" t="str">
        <f t="shared" ca="1" si="0"/>
        <v/>
      </c>
      <c r="K28" s="26" t="str">
        <f t="shared" ref="K28:K36" ca="1" si="9">IF(OR(J28=0,H28=0,J28="",H28=""),"",J28*(1+I28))</f>
        <v/>
      </c>
      <c r="L28" s="26" t="str">
        <f t="shared" ca="1" si="7"/>
        <v/>
      </c>
      <c r="M28" s="26" t="str">
        <f t="shared" ca="1" si="1"/>
        <v/>
      </c>
      <c r="N28" s="27" t="str">
        <f t="shared" ca="1" si="2"/>
        <v/>
      </c>
      <c r="P28" s="237" t="str">
        <f t="shared" ca="1" si="8"/>
        <v/>
      </c>
      <c r="Q28" s="238"/>
      <c r="R28" s="170" t="str">
        <f t="shared" ref="R28:R36" ca="1" si="10">IF(OR(P28=0,,H28=""),"",H28*P28)</f>
        <v/>
      </c>
    </row>
    <row r="29" spans="1:18" ht="34.5" customHeight="1" x14ac:dyDescent="0.25">
      <c r="A29" s="126" t="str">
        <f t="shared" si="4"/>
        <v/>
      </c>
      <c r="C29" s="149" t="str">
        <f t="shared" si="5"/>
        <v/>
      </c>
      <c r="D29" s="201"/>
      <c r="E29" s="201"/>
      <c r="F29" s="201"/>
      <c r="G29" s="23" t="str">
        <f t="shared" ca="1" si="6"/>
        <v/>
      </c>
      <c r="H29" s="145"/>
      <c r="I29" s="24"/>
      <c r="J29" s="25" t="str">
        <f t="shared" ca="1" si="0"/>
        <v/>
      </c>
      <c r="K29" s="26" t="str">
        <f t="shared" ca="1" si="9"/>
        <v/>
      </c>
      <c r="L29" s="26" t="str">
        <f t="shared" ca="1" si="7"/>
        <v/>
      </c>
      <c r="M29" s="26" t="str">
        <f t="shared" ca="1" si="1"/>
        <v/>
      </c>
      <c r="N29" s="27" t="str">
        <f t="shared" ca="1" si="2"/>
        <v/>
      </c>
      <c r="P29" s="237" t="str">
        <f t="shared" ca="1" si="8"/>
        <v/>
      </c>
      <c r="Q29" s="238"/>
      <c r="R29" s="170" t="str">
        <f t="shared" ca="1" si="10"/>
        <v/>
      </c>
    </row>
    <row r="30" spans="1:18" ht="34.5" customHeight="1" x14ac:dyDescent="0.25">
      <c r="A30" s="126" t="str">
        <f t="shared" si="4"/>
        <v/>
      </c>
      <c r="C30" s="149" t="str">
        <f t="shared" si="5"/>
        <v/>
      </c>
      <c r="D30" s="201"/>
      <c r="E30" s="201"/>
      <c r="F30" s="201"/>
      <c r="G30" s="23" t="str">
        <f t="shared" ca="1" si="6"/>
        <v/>
      </c>
      <c r="H30" s="145"/>
      <c r="I30" s="24"/>
      <c r="J30" s="25" t="str">
        <f t="shared" ca="1" si="0"/>
        <v/>
      </c>
      <c r="K30" s="26" t="str">
        <f t="shared" ca="1" si="9"/>
        <v/>
      </c>
      <c r="L30" s="26" t="str">
        <f t="shared" ca="1" si="7"/>
        <v/>
      </c>
      <c r="M30" s="26" t="str">
        <f t="shared" ca="1" si="1"/>
        <v/>
      </c>
      <c r="N30" s="27" t="str">
        <f t="shared" ca="1" si="2"/>
        <v/>
      </c>
      <c r="P30" s="237" t="str">
        <f t="shared" ca="1" si="8"/>
        <v/>
      </c>
      <c r="Q30" s="238"/>
      <c r="R30" s="170" t="str">
        <f t="shared" ca="1" si="10"/>
        <v/>
      </c>
    </row>
    <row r="31" spans="1:18" ht="34.5" customHeight="1" x14ac:dyDescent="0.25">
      <c r="A31" s="126" t="str">
        <f t="shared" si="4"/>
        <v/>
      </c>
      <c r="C31" s="149" t="str">
        <f t="shared" si="5"/>
        <v/>
      </c>
      <c r="D31" s="201"/>
      <c r="E31" s="201"/>
      <c r="F31" s="201"/>
      <c r="G31" s="23" t="str">
        <f t="shared" ca="1" si="6"/>
        <v/>
      </c>
      <c r="H31" s="145"/>
      <c r="I31" s="24"/>
      <c r="J31" s="25" t="str">
        <f t="shared" ca="1" si="0"/>
        <v/>
      </c>
      <c r="K31" s="26" t="str">
        <f t="shared" ca="1" si="9"/>
        <v/>
      </c>
      <c r="L31" s="26" t="str">
        <f t="shared" ca="1" si="7"/>
        <v/>
      </c>
      <c r="M31" s="26" t="str">
        <f t="shared" ca="1" si="1"/>
        <v/>
      </c>
      <c r="N31" s="27" t="str">
        <f t="shared" ca="1" si="2"/>
        <v/>
      </c>
      <c r="P31" s="237" t="str">
        <f t="shared" ca="1" si="8"/>
        <v/>
      </c>
      <c r="Q31" s="238"/>
      <c r="R31" s="170" t="str">
        <f t="shared" ca="1" si="10"/>
        <v/>
      </c>
    </row>
    <row r="32" spans="1:18" ht="34.5" customHeight="1" x14ac:dyDescent="0.25">
      <c r="A32" s="126" t="str">
        <f t="shared" si="4"/>
        <v/>
      </c>
      <c r="C32" s="149" t="str">
        <f t="shared" si="5"/>
        <v/>
      </c>
      <c r="D32" s="201"/>
      <c r="E32" s="201"/>
      <c r="F32" s="201"/>
      <c r="G32" s="23" t="str">
        <f t="shared" ca="1" si="6"/>
        <v/>
      </c>
      <c r="H32" s="145"/>
      <c r="I32" s="24"/>
      <c r="J32" s="25" t="str">
        <f t="shared" ca="1" si="0"/>
        <v/>
      </c>
      <c r="K32" s="26" t="str">
        <f t="shared" ca="1" si="9"/>
        <v/>
      </c>
      <c r="L32" s="26" t="str">
        <f t="shared" ca="1" si="7"/>
        <v/>
      </c>
      <c r="M32" s="26" t="str">
        <f t="shared" ca="1" si="1"/>
        <v/>
      </c>
      <c r="N32" s="27" t="str">
        <f t="shared" ca="1" si="2"/>
        <v/>
      </c>
      <c r="P32" s="237" t="str">
        <f t="shared" ca="1" si="8"/>
        <v/>
      </c>
      <c r="Q32" s="238"/>
      <c r="R32" s="170" t="str">
        <f t="shared" ca="1" si="10"/>
        <v/>
      </c>
    </row>
    <row r="33" spans="1:18" ht="34.5" customHeight="1" x14ac:dyDescent="0.25">
      <c r="A33" s="126" t="str">
        <f t="shared" si="4"/>
        <v/>
      </c>
      <c r="C33" s="149" t="str">
        <f t="shared" si="5"/>
        <v/>
      </c>
      <c r="D33" s="201"/>
      <c r="E33" s="201"/>
      <c r="F33" s="201"/>
      <c r="G33" s="23" t="str">
        <f t="shared" ca="1" si="6"/>
        <v/>
      </c>
      <c r="H33" s="145"/>
      <c r="I33" s="24"/>
      <c r="J33" s="25" t="str">
        <f ca="1">IFERROR((VLOOKUP(D33,BDD_LISTE,3,FALSE)),"")</f>
        <v/>
      </c>
      <c r="K33" s="26" t="str">
        <f t="shared" ca="1" si="9"/>
        <v/>
      </c>
      <c r="L33" s="26" t="str">
        <f t="shared" ca="1" si="7"/>
        <v/>
      </c>
      <c r="M33" s="26" t="str">
        <f t="shared" ca="1" si="1"/>
        <v/>
      </c>
      <c r="N33" s="27" t="str">
        <f t="shared" ca="1" si="2"/>
        <v/>
      </c>
      <c r="P33" s="237" t="str">
        <f t="shared" ca="1" si="8"/>
        <v/>
      </c>
      <c r="Q33" s="238"/>
      <c r="R33" s="170" t="str">
        <f t="shared" ca="1" si="10"/>
        <v/>
      </c>
    </row>
    <row r="34" spans="1:18" ht="34.5" customHeight="1" x14ac:dyDescent="0.25">
      <c r="A34" s="126" t="str">
        <f t="shared" si="4"/>
        <v/>
      </c>
      <c r="C34" s="149" t="str">
        <f t="shared" si="5"/>
        <v/>
      </c>
      <c r="D34" s="201"/>
      <c r="E34" s="201"/>
      <c r="F34" s="201"/>
      <c r="G34" s="23" t="str">
        <f t="shared" ca="1" si="6"/>
        <v/>
      </c>
      <c r="H34" s="145"/>
      <c r="I34" s="24"/>
      <c r="J34" s="25" t="str">
        <f t="shared" ca="1" si="0"/>
        <v/>
      </c>
      <c r="K34" s="26" t="str">
        <f t="shared" ca="1" si="9"/>
        <v/>
      </c>
      <c r="L34" s="26" t="str">
        <f t="shared" ca="1" si="7"/>
        <v/>
      </c>
      <c r="M34" s="26" t="str">
        <f t="shared" ca="1" si="1"/>
        <v/>
      </c>
      <c r="N34" s="27" t="str">
        <f t="shared" ca="1" si="2"/>
        <v/>
      </c>
      <c r="P34" s="237" t="str">
        <f t="shared" ca="1" si="8"/>
        <v/>
      </c>
      <c r="Q34" s="238"/>
      <c r="R34" s="170" t="str">
        <f t="shared" ca="1" si="10"/>
        <v/>
      </c>
    </row>
    <row r="35" spans="1:18" ht="34.5" customHeight="1" x14ac:dyDescent="0.25">
      <c r="A35" s="126" t="str">
        <f t="shared" si="4"/>
        <v/>
      </c>
      <c r="C35" s="149" t="str">
        <f t="shared" si="5"/>
        <v/>
      </c>
      <c r="D35" s="201"/>
      <c r="E35" s="201"/>
      <c r="F35" s="201"/>
      <c r="G35" s="23" t="str">
        <f t="shared" ca="1" si="6"/>
        <v/>
      </c>
      <c r="H35" s="145"/>
      <c r="I35" s="24"/>
      <c r="J35" s="25" t="str">
        <f t="shared" ca="1" si="0"/>
        <v/>
      </c>
      <c r="K35" s="26" t="str">
        <f t="shared" ca="1" si="9"/>
        <v/>
      </c>
      <c r="L35" s="26" t="str">
        <f t="shared" ca="1" si="7"/>
        <v/>
      </c>
      <c r="M35" s="26" t="str">
        <f t="shared" ca="1" si="1"/>
        <v/>
      </c>
      <c r="N35" s="27" t="str">
        <f t="shared" ca="1" si="2"/>
        <v/>
      </c>
      <c r="P35" s="237" t="str">
        <f t="shared" ca="1" si="8"/>
        <v/>
      </c>
      <c r="Q35" s="238"/>
      <c r="R35" s="170" t="str">
        <f t="shared" ca="1" si="10"/>
        <v/>
      </c>
    </row>
    <row r="36" spans="1:18" ht="34.5" customHeight="1" x14ac:dyDescent="0.25">
      <c r="A36" s="126" t="str">
        <f t="shared" si="4"/>
        <v/>
      </c>
      <c r="C36" s="149" t="str">
        <f t="shared" si="5"/>
        <v/>
      </c>
      <c r="D36" s="201"/>
      <c r="E36" s="201"/>
      <c r="F36" s="201"/>
      <c r="G36" s="23" t="str">
        <f ca="1">IFERROR(T(VLOOKUP(D36,BDD_LISTE,2,FALSE)),"")</f>
        <v/>
      </c>
      <c r="H36" s="145"/>
      <c r="I36" s="24"/>
      <c r="J36" s="25" t="str">
        <f t="shared" ca="1" si="0"/>
        <v/>
      </c>
      <c r="K36" s="26" t="str">
        <f t="shared" ca="1" si="9"/>
        <v/>
      </c>
      <c r="L36" s="26" t="str">
        <f t="shared" ca="1" si="7"/>
        <v/>
      </c>
      <c r="M36" s="26" t="str">
        <f t="shared" ca="1" si="1"/>
        <v/>
      </c>
      <c r="N36" s="27" t="str">
        <f t="shared" ca="1" si="2"/>
        <v/>
      </c>
      <c r="P36" s="239" t="str">
        <f t="shared" ca="1" si="3"/>
        <v/>
      </c>
      <c r="Q36" s="240"/>
      <c r="R36" s="170" t="str">
        <f t="shared" ca="1" si="10"/>
        <v/>
      </c>
    </row>
    <row r="37" spans="1:18" ht="18.75" customHeight="1" x14ac:dyDescent="0.25">
      <c r="C37" s="202" t="s">
        <v>98</v>
      </c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4"/>
      <c r="P37" s="92"/>
      <c r="Q37" s="93"/>
      <c r="R37" s="168">
        <f ca="1">SUM(R23:R36)</f>
        <v>27.5</v>
      </c>
    </row>
    <row r="38" spans="1:18" s="94" customFormat="1" ht="34.5" customHeight="1" x14ac:dyDescent="0.25">
      <c r="A38" s="126"/>
      <c r="C38" s="100" t="s">
        <v>83</v>
      </c>
      <c r="D38" s="200" t="s">
        <v>87</v>
      </c>
      <c r="E38" s="200"/>
      <c r="F38" s="200"/>
      <c r="G38" s="101" t="s">
        <v>90</v>
      </c>
      <c r="H38" s="101" t="s">
        <v>91</v>
      </c>
      <c r="I38" s="102" t="s">
        <v>92</v>
      </c>
      <c r="J38" s="103" t="s">
        <v>93</v>
      </c>
      <c r="K38" s="103" t="s">
        <v>94</v>
      </c>
      <c r="L38" s="101" t="s">
        <v>95</v>
      </c>
      <c r="M38" s="101" t="s">
        <v>96</v>
      </c>
      <c r="N38" s="104" t="s">
        <v>97</v>
      </c>
    </row>
    <row r="39" spans="1:18" ht="27.75" customHeight="1" x14ac:dyDescent="0.25">
      <c r="A39" s="126" t="str">
        <f t="shared" si="4"/>
        <v/>
      </c>
      <c r="C39" s="149" t="str">
        <f t="shared" ref="C39:C44" si="11">IF(D39="","",$N$4)</f>
        <v/>
      </c>
      <c r="D39" s="191"/>
      <c r="E39" s="191"/>
      <c r="F39" s="191"/>
      <c r="G39" s="150" t="str">
        <f t="shared" ref="G39:G44" ca="1" si="12">IFERROR(T(VLOOKUP(D39,BDD_LISTE,2,FALSE)),"")</f>
        <v/>
      </c>
      <c r="H39" s="145"/>
      <c r="I39" s="24"/>
      <c r="J39" s="25" t="str">
        <f t="shared" ref="J39:J44" ca="1" si="13">IFERROR((VLOOKUP(G39,BDD_LISTE_REF,2,FALSE)),"")</f>
        <v/>
      </c>
      <c r="K39" s="26" t="str">
        <f t="shared" ref="K39:K44" ca="1" si="14">IF(OR(J39=0,H39=0,J39="",H39=""),"",J39*(1+I39))</f>
        <v/>
      </c>
      <c r="L39" s="26" t="str">
        <f t="shared" ref="L39:L44" ca="1" si="15">IF(OR(J39=0,H39=0,J39="",H39=""),"",J39*H39)</f>
        <v/>
      </c>
      <c r="M39" s="26" t="str">
        <f t="shared" ref="M39:M44" ca="1" si="16">IF(OR(J39=0,H39=0,J39="",H39=""),"",(J39*I39)*H39)</f>
        <v/>
      </c>
      <c r="N39" s="27" t="str">
        <f t="shared" ref="N39:N44" ca="1" si="17">IF(OR(J39=0,H39=0,J39="",H39=""),"",K39*H39)</f>
        <v/>
      </c>
      <c r="P39" s="127"/>
    </row>
    <row r="40" spans="1:18" ht="27.75" customHeight="1" x14ac:dyDescent="0.25">
      <c r="A40" s="126" t="str">
        <f t="shared" si="4"/>
        <v/>
      </c>
      <c r="C40" s="149" t="str">
        <f t="shared" si="11"/>
        <v/>
      </c>
      <c r="D40" s="191"/>
      <c r="E40" s="191"/>
      <c r="F40" s="191"/>
      <c r="G40" s="150" t="str">
        <f t="shared" ca="1" si="12"/>
        <v/>
      </c>
      <c r="H40" s="145"/>
      <c r="I40" s="24"/>
      <c r="J40" s="25" t="str">
        <f t="shared" ca="1" si="13"/>
        <v/>
      </c>
      <c r="K40" s="26" t="str">
        <f t="shared" ca="1" si="14"/>
        <v/>
      </c>
      <c r="L40" s="26" t="str">
        <f t="shared" ca="1" si="15"/>
        <v/>
      </c>
      <c r="M40" s="26" t="str">
        <f t="shared" ca="1" si="16"/>
        <v/>
      </c>
      <c r="N40" s="27" t="str">
        <f t="shared" ca="1" si="17"/>
        <v/>
      </c>
      <c r="P40" s="127"/>
    </row>
    <row r="41" spans="1:18" ht="27.75" customHeight="1" x14ac:dyDescent="0.25">
      <c r="A41" s="126" t="str">
        <f t="shared" si="4"/>
        <v/>
      </c>
      <c r="C41" s="149" t="str">
        <f t="shared" si="11"/>
        <v/>
      </c>
      <c r="D41" s="191"/>
      <c r="E41" s="191"/>
      <c r="F41" s="191"/>
      <c r="G41" s="150" t="str">
        <f t="shared" ca="1" si="12"/>
        <v/>
      </c>
      <c r="H41" s="145"/>
      <c r="I41" s="24"/>
      <c r="J41" s="25" t="str">
        <f t="shared" ca="1" si="13"/>
        <v/>
      </c>
      <c r="K41" s="26" t="str">
        <f t="shared" ca="1" si="14"/>
        <v/>
      </c>
      <c r="L41" s="26" t="str">
        <f t="shared" ca="1" si="15"/>
        <v/>
      </c>
      <c r="M41" s="26" t="str">
        <f t="shared" ca="1" si="16"/>
        <v/>
      </c>
      <c r="N41" s="27" t="str">
        <f t="shared" ca="1" si="17"/>
        <v/>
      </c>
      <c r="P41" s="127"/>
    </row>
    <row r="42" spans="1:18" ht="27.75" customHeight="1" x14ac:dyDescent="0.25">
      <c r="A42" s="126" t="str">
        <f t="shared" si="4"/>
        <v/>
      </c>
      <c r="C42" s="149" t="str">
        <f t="shared" si="11"/>
        <v/>
      </c>
      <c r="D42" s="191"/>
      <c r="E42" s="191"/>
      <c r="F42" s="191"/>
      <c r="G42" s="150" t="str">
        <f t="shared" ca="1" si="12"/>
        <v/>
      </c>
      <c r="H42" s="145"/>
      <c r="I42" s="24"/>
      <c r="J42" s="25" t="str">
        <f t="shared" ca="1" si="13"/>
        <v/>
      </c>
      <c r="K42" s="26" t="str">
        <f t="shared" ca="1" si="14"/>
        <v/>
      </c>
      <c r="L42" s="26" t="str">
        <f t="shared" ca="1" si="15"/>
        <v/>
      </c>
      <c r="M42" s="26" t="str">
        <f t="shared" ca="1" si="16"/>
        <v/>
      </c>
      <c r="N42" s="27" t="str">
        <f t="shared" ca="1" si="17"/>
        <v/>
      </c>
      <c r="P42" s="127"/>
    </row>
    <row r="43" spans="1:18" ht="27.75" customHeight="1" x14ac:dyDescent="0.25">
      <c r="A43" s="126" t="str">
        <f t="shared" si="4"/>
        <v/>
      </c>
      <c r="C43" s="149" t="str">
        <f t="shared" si="11"/>
        <v/>
      </c>
      <c r="D43" s="191"/>
      <c r="E43" s="191"/>
      <c r="F43" s="191"/>
      <c r="G43" s="150" t="str">
        <f t="shared" ca="1" si="12"/>
        <v/>
      </c>
      <c r="H43" s="145"/>
      <c r="I43" s="24"/>
      <c r="J43" s="25" t="str">
        <f t="shared" ca="1" si="13"/>
        <v/>
      </c>
      <c r="K43" s="26" t="str">
        <f t="shared" ca="1" si="14"/>
        <v/>
      </c>
      <c r="L43" s="26" t="str">
        <f t="shared" ca="1" si="15"/>
        <v/>
      </c>
      <c r="M43" s="26" t="str">
        <f t="shared" ca="1" si="16"/>
        <v/>
      </c>
      <c r="N43" s="27" t="str">
        <f t="shared" ca="1" si="17"/>
        <v/>
      </c>
      <c r="P43" s="127"/>
    </row>
    <row r="44" spans="1:18" ht="27.75" customHeight="1" x14ac:dyDescent="0.25">
      <c r="A44" s="126" t="str">
        <f t="shared" si="4"/>
        <v/>
      </c>
      <c r="C44" s="149" t="str">
        <f t="shared" si="11"/>
        <v/>
      </c>
      <c r="D44" s="192"/>
      <c r="E44" s="192"/>
      <c r="F44" s="192"/>
      <c r="G44" s="150" t="str">
        <f t="shared" ca="1" si="12"/>
        <v/>
      </c>
      <c r="H44" s="146"/>
      <c r="I44" s="24"/>
      <c r="J44" s="25" t="str">
        <f t="shared" ca="1" si="13"/>
        <v/>
      </c>
      <c r="K44" s="26" t="str">
        <f t="shared" ca="1" si="14"/>
        <v/>
      </c>
      <c r="L44" s="26" t="str">
        <f t="shared" ca="1" si="15"/>
        <v/>
      </c>
      <c r="M44" s="26" t="str">
        <f t="shared" ca="1" si="16"/>
        <v/>
      </c>
      <c r="N44" s="27" t="str">
        <f t="shared" ca="1" si="17"/>
        <v/>
      </c>
    </row>
    <row r="45" spans="1:18" x14ac:dyDescent="0.25">
      <c r="C45" s="96"/>
      <c r="D45" s="96"/>
      <c r="E45" s="96"/>
      <c r="F45" s="96"/>
      <c r="G45" s="23"/>
      <c r="H45" s="97"/>
      <c r="I45" s="98"/>
      <c r="J45" s="99"/>
      <c r="K45" s="26"/>
      <c r="L45" s="26"/>
      <c r="M45" s="26"/>
      <c r="N45" s="26"/>
    </row>
    <row r="46" spans="1:18" ht="20.25" customHeight="1" x14ac:dyDescent="0.25">
      <c r="C46" s="28"/>
      <c r="D46" s="28"/>
      <c r="E46" s="28"/>
      <c r="F46" s="28"/>
      <c r="G46" s="85"/>
      <c r="H46" s="28"/>
      <c r="I46" s="28"/>
      <c r="J46" s="28"/>
      <c r="K46" s="28"/>
      <c r="L46" s="28"/>
      <c r="M46" s="28"/>
      <c r="N46" s="28"/>
    </row>
    <row r="47" spans="1:18" ht="20.25" customHeight="1" x14ac:dyDescent="0.3">
      <c r="C47" s="29"/>
      <c r="D47" s="128"/>
      <c r="E47" s="28"/>
      <c r="F47" s="28"/>
      <c r="G47" s="85"/>
      <c r="H47" s="28"/>
      <c r="I47" s="28"/>
      <c r="J47" s="160" t="s">
        <v>491</v>
      </c>
      <c r="K47" s="28"/>
      <c r="L47" s="28"/>
      <c r="M47" s="30" t="s">
        <v>95</v>
      </c>
      <c r="N47" s="155">
        <f ca="1">SUM(L23:L36)+SUM(L39:L44)</f>
        <v>6950</v>
      </c>
    </row>
    <row r="48" spans="1:18" ht="20.25" customHeight="1" x14ac:dyDescent="0.25">
      <c r="C48" s="29"/>
      <c r="D48" s="193" t="s">
        <v>104</v>
      </c>
      <c r="E48" s="194"/>
      <c r="F48" s="194"/>
      <c r="G48" s="194"/>
      <c r="H48" s="195"/>
      <c r="I48" s="128"/>
      <c r="J48" s="151">
        <f>IF(SUM(H23:H36)=0,"",SUM(H23:H36))</f>
        <v>10</v>
      </c>
      <c r="K48" s="28"/>
      <c r="L48" s="28"/>
      <c r="M48" s="31" t="s">
        <v>102</v>
      </c>
      <c r="N48" s="156">
        <v>0</v>
      </c>
    </row>
    <row r="49" spans="3:17" ht="20.25" customHeight="1" x14ac:dyDescent="0.25">
      <c r="C49" s="29"/>
      <c r="D49" s="196"/>
      <c r="E49" s="197"/>
      <c r="F49" s="197"/>
      <c r="G49" s="197"/>
      <c r="H49" s="198"/>
      <c r="I49" s="28"/>
      <c r="J49" s="152" t="str">
        <f>IF(J48="","","Pour")</f>
        <v>Pour</v>
      </c>
      <c r="K49" s="28"/>
      <c r="L49" s="28"/>
      <c r="M49" s="31" t="s">
        <v>103</v>
      </c>
      <c r="N49" s="157">
        <v>50</v>
      </c>
    </row>
    <row r="50" spans="3:17" ht="20.25" customHeight="1" x14ac:dyDescent="0.25">
      <c r="C50" s="29"/>
      <c r="D50" s="28"/>
      <c r="E50" s="28"/>
      <c r="F50" s="28"/>
      <c r="G50" s="28"/>
      <c r="H50" s="28"/>
      <c r="I50" s="28"/>
      <c r="J50" s="153">
        <f ca="1">IF(SUM(R23:R36)=0,"",SUM(R23:R36))</f>
        <v>27.5</v>
      </c>
      <c r="K50" s="28"/>
      <c r="L50" s="28"/>
      <c r="M50" s="31" t="str">
        <f ca="1">IF(N50=0,"","TVA(1)")</f>
        <v/>
      </c>
      <c r="N50" s="158">
        <f ca="1">IF($N$47="","",SUMIF($I$23:$I$36,"5,50%",$M$23:$M$36))+IF($N$47="","",SUMIF($I$39:$I$44,"5,50%",$M$39:$M$44))</f>
        <v>0</v>
      </c>
    </row>
    <row r="51" spans="3:17" ht="20.25" customHeight="1" x14ac:dyDescent="0.25">
      <c r="C51" s="29"/>
      <c r="D51" s="28"/>
      <c r="E51" s="28"/>
      <c r="F51" s="28"/>
      <c r="G51" s="28"/>
      <c r="H51" s="28"/>
      <c r="I51" s="28"/>
      <c r="J51" s="152" t="str">
        <f ca="1">IF(J50="","","Soit")</f>
        <v>Soit</v>
      </c>
      <c r="K51" s="28"/>
      <c r="L51" s="28"/>
      <c r="M51" s="31" t="str">
        <f ca="1">IF(N51=0,"","TVA(2)")</f>
        <v/>
      </c>
      <c r="N51" s="158">
        <f ca="1">IF($N$47="","",SUMIF($I$23:$I$36,"7%",$M$23:$M$36))+IF($N$47="","",SUMIF($I$39:$I$44,"7%",$M$39:$M$44))</f>
        <v>0</v>
      </c>
    </row>
    <row r="52" spans="3:17" ht="20.25" customHeight="1" x14ac:dyDescent="0.25">
      <c r="C52" s="28"/>
      <c r="D52" s="28"/>
      <c r="E52" s="32"/>
      <c r="F52" s="32"/>
      <c r="G52" s="32"/>
      <c r="H52" s="28"/>
      <c r="I52" s="28"/>
      <c r="J52" s="154">
        <f ca="1">IF(OR(J50="",J48="",J48=0,J50=0),"",MAX(ROUNDUP(J50/250,0),ROUNDUP(J48/100,0)))</f>
        <v>1</v>
      </c>
      <c r="K52" s="28"/>
      <c r="L52" s="28"/>
      <c r="M52" s="31" t="str">
        <f ca="1">IF(N52=0,"","TVA(3)")</f>
        <v/>
      </c>
      <c r="N52" s="158">
        <f ca="1">IF($N$47="","",SUMIF($I$23:$I$36,"10%",$M$23:$M$36))+IF($N$47="","",SUMIF($I$39:$I$44,"10%",$M$39:$M$44))</f>
        <v>0</v>
      </c>
    </row>
    <row r="53" spans="3:17" ht="20.25" customHeight="1" x14ac:dyDescent="0.25">
      <c r="C53" s="18"/>
      <c r="D53" s="18"/>
      <c r="E53" s="18"/>
      <c r="F53" s="18"/>
      <c r="G53" s="18"/>
      <c r="H53" s="10"/>
      <c r="I53" s="10"/>
      <c r="J53" s="10"/>
      <c r="K53" s="10"/>
      <c r="L53" s="10"/>
      <c r="M53" s="31" t="str">
        <f ca="1">IF(N53=0,"","TVA(4)")</f>
        <v>TVA(4)</v>
      </c>
      <c r="N53" s="158">
        <f ca="1">IF($N$47="","",SUMIF($I$23:$I$36,"20%",$M$23:$M$36))+IF($N$47="","",SUMIF($I$39:$I$44,"20%",$M$39:$M$44))</f>
        <v>1390</v>
      </c>
    </row>
    <row r="54" spans="3:17" ht="20.25" customHeight="1" x14ac:dyDescent="0.25">
      <c r="C54" s="161" t="s">
        <v>108</v>
      </c>
      <c r="D54" s="161"/>
      <c r="E54" s="161"/>
      <c r="F54" s="161"/>
      <c r="G54" s="161"/>
      <c r="H54" s="161"/>
      <c r="I54" s="161"/>
      <c r="J54" s="161"/>
      <c r="K54" s="129"/>
      <c r="L54" s="28"/>
      <c r="M54" s="33" t="s">
        <v>97</v>
      </c>
      <c r="N54" s="159">
        <f ca="1">SUM(N49:N53,N47,-(N48*N47))</f>
        <v>8390</v>
      </c>
      <c r="Q54" s="130"/>
    </row>
    <row r="55" spans="3:17" ht="20.25" customHeight="1" x14ac:dyDescent="0.25">
      <c r="C55" s="161" t="s">
        <v>99</v>
      </c>
      <c r="D55" s="161"/>
      <c r="E55" s="161"/>
      <c r="F55" s="161"/>
      <c r="G55" s="161"/>
      <c r="H55" s="161"/>
      <c r="I55" s="161"/>
      <c r="J55" s="161"/>
      <c r="K55" s="28"/>
      <c r="L55" s="28"/>
      <c r="M55" s="32"/>
      <c r="N55" s="32"/>
    </row>
    <row r="56" spans="3:17" ht="20.25" customHeight="1" x14ac:dyDescent="0.25">
      <c r="C56" s="161" t="s">
        <v>100</v>
      </c>
      <c r="D56" s="161"/>
      <c r="E56" s="161"/>
      <c r="F56" s="161"/>
      <c r="G56" s="161"/>
      <c r="H56" s="161"/>
      <c r="I56" s="161"/>
      <c r="J56" s="161"/>
      <c r="K56" s="28"/>
      <c r="L56" s="28"/>
      <c r="M56" s="32"/>
      <c r="N56" s="32"/>
    </row>
    <row r="57" spans="3:17" ht="20.25" customHeight="1" x14ac:dyDescent="0.25">
      <c r="C57" s="10"/>
      <c r="D57" s="10"/>
      <c r="E57" s="10"/>
      <c r="F57" s="10"/>
      <c r="G57" s="18"/>
      <c r="H57" s="10"/>
      <c r="I57" s="77" t="str">
        <f ca="1">IF(AND(M50="",M51="",M52="",M53=""),"Exonéré de TVA en vertu de l’article 293B du CGI.","TVA(1) : 5,5%,   TVA(2) : 7%,   TVA(3) : 10%,   TVA(4) : 20%")</f>
        <v>TVA(1) : 5,5%,   TVA(2) : 7%,   TVA(3) : 10%,   TVA(4) : 20%</v>
      </c>
      <c r="J57" s="128"/>
      <c r="K57" s="32"/>
      <c r="L57" s="32"/>
      <c r="M57" s="32"/>
      <c r="N57" s="32"/>
    </row>
    <row r="58" spans="3:17" ht="20.25" customHeight="1" x14ac:dyDescent="0.25">
      <c r="C58" s="162" t="s">
        <v>101</v>
      </c>
      <c r="D58" s="162"/>
      <c r="E58" s="162"/>
      <c r="F58" s="162"/>
      <c r="G58" s="18"/>
      <c r="H58" s="10"/>
      <c r="I58" s="10"/>
      <c r="J58" s="10"/>
      <c r="K58" s="32"/>
      <c r="L58" s="32"/>
      <c r="M58" s="32"/>
      <c r="N58" s="32"/>
    </row>
    <row r="59" spans="3:17" ht="20.25" customHeight="1" x14ac:dyDescent="0.25">
      <c r="C59" s="28" t="s">
        <v>122</v>
      </c>
      <c r="D59" s="28"/>
      <c r="E59" s="28"/>
      <c r="F59" s="28"/>
      <c r="G59" s="18"/>
      <c r="H59" s="10"/>
      <c r="I59" s="10"/>
      <c r="J59" s="10"/>
      <c r="K59" s="32"/>
      <c r="L59" s="32"/>
      <c r="M59" s="32"/>
      <c r="N59" s="32"/>
    </row>
    <row r="60" spans="3:17" ht="20.25" customHeight="1" x14ac:dyDescent="0.25">
      <c r="C60" s="28" t="s">
        <v>109</v>
      </c>
      <c r="D60" s="28"/>
      <c r="E60" s="28"/>
      <c r="F60" s="28"/>
      <c r="G60" s="18"/>
      <c r="H60" s="10"/>
      <c r="I60" s="10"/>
      <c r="J60" s="10"/>
      <c r="K60" s="10"/>
      <c r="L60" s="10"/>
      <c r="M60" s="10"/>
      <c r="N60" s="10"/>
    </row>
    <row r="61" spans="3:17" ht="20.25" customHeight="1" x14ac:dyDescent="0.25">
      <c r="C61" s="28" t="s">
        <v>110</v>
      </c>
      <c r="D61" s="28"/>
      <c r="E61" s="28"/>
      <c r="F61" s="28"/>
      <c r="G61" s="18"/>
      <c r="H61" s="10"/>
      <c r="I61" s="10"/>
      <c r="J61" s="10"/>
      <c r="K61" s="10"/>
      <c r="L61" s="10"/>
      <c r="M61" s="10"/>
      <c r="N61" s="10"/>
    </row>
    <row r="62" spans="3:17" ht="20.25" customHeight="1" x14ac:dyDescent="0.25">
      <c r="C62" s="28" t="s">
        <v>111</v>
      </c>
      <c r="D62" s="28"/>
      <c r="E62" s="28"/>
      <c r="F62" s="28"/>
      <c r="G62" s="18"/>
      <c r="H62" s="10"/>
      <c r="I62" s="10"/>
      <c r="J62" s="10"/>
      <c r="K62" s="10"/>
      <c r="L62" s="10"/>
      <c r="M62" s="10"/>
      <c r="N62" s="10"/>
    </row>
    <row r="63" spans="3:17" ht="20.25" customHeight="1" x14ac:dyDescent="0.25">
      <c r="C63" s="199" t="str">
        <f ca="1">IF($N$54&lt;&gt;0,"Arrêté le montant de la présente facture à la somme de:"&amp;" "&amp;(lettre($N$54)&amp;" "&amp;"en toutes taxes comprises."),"")</f>
        <v>Arrêté le montant de la présente facture à la somme de: Huit mille trois cent quatre vingt dix Euros  en toutes taxes comprises.</v>
      </c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</row>
    <row r="64" spans="3:17" ht="20.25" customHeight="1" x14ac:dyDescent="0.25">
      <c r="C64" s="10"/>
      <c r="D64" s="10"/>
      <c r="E64" s="10"/>
      <c r="F64" s="10"/>
      <c r="G64" s="18"/>
      <c r="H64" s="10"/>
      <c r="I64" s="10"/>
      <c r="J64" s="10"/>
      <c r="K64" s="10"/>
      <c r="L64" s="10"/>
      <c r="M64" s="10"/>
      <c r="N64" s="10"/>
    </row>
    <row r="65" spans="2:20" ht="20.25" customHeight="1" x14ac:dyDescent="0.25">
      <c r="C65" s="10"/>
      <c r="D65" s="10"/>
      <c r="E65" s="10"/>
      <c r="F65" s="10"/>
      <c r="G65" s="18"/>
      <c r="H65" s="10"/>
      <c r="I65" s="10"/>
      <c r="J65" s="10"/>
      <c r="K65" s="10"/>
      <c r="L65" s="10"/>
      <c r="M65" s="10"/>
      <c r="N65" s="10"/>
    </row>
    <row r="66" spans="2:20" ht="7.5" customHeight="1" x14ac:dyDescent="0.25">
      <c r="C66" s="10"/>
      <c r="D66" s="10"/>
      <c r="E66" s="10"/>
      <c r="F66" s="10"/>
      <c r="G66" s="18"/>
      <c r="H66" s="10"/>
      <c r="I66" s="10"/>
      <c r="J66" s="10"/>
      <c r="K66" s="10"/>
      <c r="L66" s="10"/>
      <c r="M66" s="10"/>
      <c r="N66" s="10"/>
    </row>
    <row r="67" spans="2:20" ht="20.25" customHeight="1" x14ac:dyDescent="0.25">
      <c r="C67" s="190" t="s">
        <v>112</v>
      </c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T67" s="94"/>
    </row>
    <row r="68" spans="2:20" s="94" customFormat="1" ht="20.25" customHeight="1" x14ac:dyDescent="0.25">
      <c r="C68" s="189" t="s">
        <v>113</v>
      </c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</row>
    <row r="69" spans="2:20" s="94" customFormat="1" ht="20.25" customHeight="1" x14ac:dyDescent="0.25">
      <c r="C69" s="190" t="s">
        <v>114</v>
      </c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</row>
    <row r="70" spans="2:20" s="94" customFormat="1" ht="15.75" customHeight="1" x14ac:dyDescent="0.25">
      <c r="C70" s="131"/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95"/>
      <c r="P70" s="95"/>
    </row>
    <row r="71" spans="2:20" ht="7.5" hidden="1" customHeight="1" x14ac:dyDescent="0.25">
      <c r="B71" s="132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132"/>
      <c r="P71" s="132"/>
    </row>
    <row r="72" spans="2:20" ht="24" hidden="1" customHeight="1" x14ac:dyDescent="0.25">
      <c r="B72" s="132"/>
      <c r="C72" s="28"/>
      <c r="D72" s="28"/>
      <c r="E72" s="28"/>
      <c r="F72" s="28"/>
      <c r="G72" s="227" t="s">
        <v>489</v>
      </c>
      <c r="H72" s="227"/>
      <c r="I72" s="227"/>
      <c r="J72" s="227"/>
      <c r="K72" s="28"/>
      <c r="L72" s="28"/>
      <c r="M72" s="28"/>
      <c r="N72" s="28"/>
      <c r="O72" s="132"/>
      <c r="P72" s="132"/>
    </row>
    <row r="73" spans="2:20" ht="3.75" hidden="1" customHeight="1" x14ac:dyDescent="0.25">
      <c r="C73" s="28"/>
      <c r="D73" s="28"/>
      <c r="E73" s="28"/>
      <c r="F73" s="28"/>
      <c r="G73" s="131"/>
      <c r="H73" s="131"/>
      <c r="I73" s="131"/>
      <c r="J73" s="131"/>
      <c r="K73" s="28"/>
      <c r="L73" s="28"/>
      <c r="M73" s="28"/>
      <c r="N73" s="28"/>
      <c r="O73" s="132"/>
      <c r="P73" s="132"/>
    </row>
    <row r="74" spans="2:20" ht="18" hidden="1" customHeight="1" x14ac:dyDescent="0.25"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132"/>
      <c r="P74" s="132"/>
    </row>
    <row r="75" spans="2:20" ht="18" hidden="1" customHeight="1" x14ac:dyDescent="0.2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132"/>
      <c r="P75" s="132"/>
    </row>
    <row r="76" spans="2:20" ht="18" hidden="1" customHeight="1" x14ac:dyDescent="0.25"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132"/>
      <c r="P76" s="132"/>
    </row>
    <row r="77" spans="2:20" ht="18" hidden="1" customHeight="1" x14ac:dyDescent="0.25"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</row>
    <row r="78" spans="2:20" ht="18" hidden="1" customHeight="1" x14ac:dyDescent="0.25"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</row>
    <row r="79" spans="2:20" ht="18" hidden="1" customHeight="1" x14ac:dyDescent="0.25"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</row>
    <row r="80" spans="2:20" hidden="1" x14ac:dyDescent="0.25"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</row>
    <row r="81" spans="3:14" hidden="1" x14ac:dyDescent="0.25">
      <c r="C81" s="148"/>
      <c r="D81" s="148"/>
      <c r="E81" s="148"/>
      <c r="F81" s="148"/>
      <c r="G81" s="148"/>
      <c r="H81" s="148"/>
      <c r="I81" s="148"/>
      <c r="J81" s="148"/>
      <c r="K81" s="148"/>
      <c r="L81" s="148"/>
      <c r="M81" s="148"/>
      <c r="N81" s="148"/>
    </row>
    <row r="82" spans="3:14" hidden="1" x14ac:dyDescent="0.25"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</row>
    <row r="83" spans="3:14" hidden="1" x14ac:dyDescent="0.25"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</row>
    <row r="84" spans="3:14" hidden="1" x14ac:dyDescent="0.25"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</row>
    <row r="85" spans="3:14" hidden="1" x14ac:dyDescent="0.25"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</row>
    <row r="86" spans="3:14" hidden="1" x14ac:dyDescent="0.25"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</row>
    <row r="87" spans="3:14" hidden="1" x14ac:dyDescent="0.25"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</row>
    <row r="88" spans="3:14" hidden="1" x14ac:dyDescent="0.25"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</row>
    <row r="89" spans="3:14" hidden="1" x14ac:dyDescent="0.25"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</row>
    <row r="90" spans="3:14" hidden="1" x14ac:dyDescent="0.25"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</row>
    <row r="91" spans="3:14" hidden="1" x14ac:dyDescent="0.25"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</row>
    <row r="92" spans="3:14" hidden="1" x14ac:dyDescent="0.25"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/>
      <c r="N92" s="148"/>
    </row>
    <row r="93" spans="3:14" hidden="1" x14ac:dyDescent="0.25"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</row>
    <row r="94" spans="3:14" hidden="1" x14ac:dyDescent="0.25"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</row>
    <row r="95" spans="3:14" hidden="1" x14ac:dyDescent="0.25"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</row>
    <row r="96" spans="3:14" hidden="1" x14ac:dyDescent="0.25">
      <c r="C96" s="148"/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</row>
    <row r="97" spans="3:14" hidden="1" x14ac:dyDescent="0.25"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/>
      <c r="N97" s="148"/>
    </row>
    <row r="98" spans="3:14" hidden="1" x14ac:dyDescent="0.25"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</row>
    <row r="99" spans="3:14" hidden="1" x14ac:dyDescent="0.25">
      <c r="C99" s="148"/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</row>
    <row r="100" spans="3:14" hidden="1" x14ac:dyDescent="0.25"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</row>
    <row r="101" spans="3:14" hidden="1" x14ac:dyDescent="0.25">
      <c r="C101" s="148"/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</row>
    <row r="102" spans="3:14" hidden="1" x14ac:dyDescent="0.25"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</row>
    <row r="103" spans="3:14" hidden="1" x14ac:dyDescent="0.25">
      <c r="C103" s="148"/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</row>
    <row r="104" spans="3:14" hidden="1" x14ac:dyDescent="0.25"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</row>
    <row r="105" spans="3:14" hidden="1" x14ac:dyDescent="0.25">
      <c r="C105" s="148"/>
      <c r="D105" s="148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</row>
    <row r="106" spans="3:14" hidden="1" x14ac:dyDescent="0.25"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</row>
    <row r="107" spans="3:14" hidden="1" x14ac:dyDescent="0.25"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</row>
    <row r="108" spans="3:14" hidden="1" x14ac:dyDescent="0.25">
      <c r="C108" s="148"/>
      <c r="D108" s="148"/>
      <c r="E108" s="148"/>
      <c r="F108" s="148"/>
      <c r="G108" s="148"/>
      <c r="H108" s="148"/>
      <c r="I108" s="148"/>
      <c r="J108" s="148"/>
      <c r="K108" s="148"/>
      <c r="L108" s="148"/>
      <c r="M108" s="148"/>
      <c r="N108" s="148"/>
    </row>
    <row r="109" spans="3:14" hidden="1" x14ac:dyDescent="0.25">
      <c r="C109" s="148"/>
      <c r="D109" s="148"/>
      <c r="E109" s="148"/>
      <c r="F109" s="148"/>
      <c r="G109" s="148"/>
      <c r="H109" s="148"/>
      <c r="I109" s="148"/>
      <c r="J109" s="148"/>
      <c r="K109" s="148"/>
      <c r="L109" s="148"/>
      <c r="M109" s="148"/>
      <c r="N109" s="148"/>
    </row>
    <row r="110" spans="3:14" hidden="1" x14ac:dyDescent="0.25"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</row>
    <row r="111" spans="3:14" hidden="1" x14ac:dyDescent="0.25"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</row>
    <row r="112" spans="3:14" hidden="1" x14ac:dyDescent="0.25">
      <c r="C112" s="148"/>
      <c r="D112" s="148"/>
      <c r="E112" s="148"/>
      <c r="F112" s="148"/>
      <c r="G112" s="148"/>
      <c r="H112" s="148"/>
      <c r="I112" s="148"/>
      <c r="J112" s="148"/>
      <c r="K112" s="148"/>
      <c r="L112" s="148"/>
      <c r="M112" s="148"/>
      <c r="N112" s="148"/>
    </row>
    <row r="113" spans="3:14" hidden="1" x14ac:dyDescent="0.25"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</row>
    <row r="114" spans="3:14" hidden="1" x14ac:dyDescent="0.25">
      <c r="C114" s="148"/>
      <c r="D114" s="148"/>
      <c r="E114" s="148"/>
      <c r="F114" s="148"/>
      <c r="G114" s="148"/>
      <c r="H114" s="148"/>
      <c r="I114" s="148"/>
      <c r="J114" s="148"/>
      <c r="K114" s="148"/>
      <c r="L114" s="148"/>
      <c r="M114" s="148"/>
      <c r="N114" s="148"/>
    </row>
    <row r="115" spans="3:14" hidden="1" x14ac:dyDescent="0.25"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</row>
    <row r="116" spans="3:14" hidden="1" x14ac:dyDescent="0.25">
      <c r="C116" s="148"/>
      <c r="D116" s="148"/>
      <c r="E116" s="148"/>
      <c r="F116" s="148"/>
      <c r="G116" s="148"/>
      <c r="H116" s="148"/>
      <c r="I116" s="148"/>
      <c r="J116" s="148"/>
      <c r="K116" s="148"/>
      <c r="L116" s="148"/>
      <c r="M116" s="148"/>
      <c r="N116" s="148"/>
    </row>
    <row r="117" spans="3:14" hidden="1" x14ac:dyDescent="0.25">
      <c r="C117" s="148"/>
      <c r="D117" s="148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</row>
    <row r="118" spans="3:14" hidden="1" x14ac:dyDescent="0.25">
      <c r="C118" s="148"/>
      <c r="D118" s="148"/>
      <c r="E118" s="148"/>
      <c r="F118" s="148"/>
      <c r="G118" s="148"/>
      <c r="H118" s="148"/>
      <c r="I118" s="148"/>
      <c r="J118" s="148"/>
      <c r="K118" s="148"/>
      <c r="L118" s="148"/>
      <c r="M118" s="148"/>
      <c r="N118" s="148"/>
    </row>
    <row r="119" spans="3:14" hidden="1" x14ac:dyDescent="0.25">
      <c r="C119" s="148"/>
      <c r="D119" s="148"/>
      <c r="E119" s="148"/>
      <c r="F119" s="148"/>
      <c r="G119" s="148"/>
      <c r="H119" s="148"/>
      <c r="I119" s="148"/>
      <c r="J119" s="148"/>
      <c r="K119" s="148"/>
      <c r="L119" s="148"/>
      <c r="M119" s="148"/>
      <c r="N119" s="148"/>
    </row>
    <row r="120" spans="3:14" hidden="1" x14ac:dyDescent="0.25">
      <c r="C120" s="148"/>
      <c r="D120" s="148"/>
      <c r="E120" s="148"/>
      <c r="F120" s="148"/>
      <c r="G120" s="148"/>
      <c r="H120" s="148"/>
      <c r="I120" s="148"/>
      <c r="J120" s="148"/>
      <c r="K120" s="148"/>
      <c r="L120" s="148"/>
      <c r="M120" s="148"/>
      <c r="N120" s="148"/>
    </row>
    <row r="121" spans="3:14" hidden="1" x14ac:dyDescent="0.25"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</row>
    <row r="122" spans="3:14" hidden="1" x14ac:dyDescent="0.25">
      <c r="C122" s="148"/>
      <c r="D122" s="148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</row>
    <row r="123" spans="3:14" hidden="1" x14ac:dyDescent="0.25">
      <c r="C123" s="148"/>
      <c r="D123" s="148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</row>
    <row r="124" spans="3:14" hidden="1" x14ac:dyDescent="0.25">
      <c r="C124" s="148"/>
      <c r="D124" s="148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</row>
    <row r="125" spans="3:14" hidden="1" x14ac:dyDescent="0.25">
      <c r="C125" s="148"/>
      <c r="D125" s="148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</row>
    <row r="126" spans="3:14" hidden="1" x14ac:dyDescent="0.25">
      <c r="C126" s="148"/>
      <c r="D126" s="148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</row>
    <row r="127" spans="3:14" hidden="1" x14ac:dyDescent="0.25">
      <c r="C127" s="148"/>
      <c r="D127" s="148"/>
      <c r="E127" s="148"/>
      <c r="F127" s="148"/>
      <c r="G127" s="148"/>
      <c r="H127" s="148"/>
      <c r="I127" s="148"/>
      <c r="J127" s="148"/>
      <c r="K127" s="148"/>
      <c r="L127" s="148"/>
      <c r="M127" s="148"/>
      <c r="N127" s="148"/>
    </row>
    <row r="128" spans="3:14" hidden="1" x14ac:dyDescent="0.25">
      <c r="C128" s="148"/>
      <c r="D128" s="148"/>
      <c r="E128" s="148"/>
      <c r="F128" s="148"/>
      <c r="G128" s="148"/>
      <c r="H128" s="148"/>
      <c r="I128" s="148"/>
      <c r="J128" s="148"/>
      <c r="K128" s="148"/>
      <c r="L128" s="148"/>
      <c r="M128" s="148"/>
      <c r="N128" s="148"/>
    </row>
    <row r="129" spans="3:14" hidden="1" x14ac:dyDescent="0.25">
      <c r="C129" s="148"/>
      <c r="D129" s="148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</row>
    <row r="130" spans="3:14" hidden="1" x14ac:dyDescent="0.25">
      <c r="C130" s="148"/>
      <c r="D130" s="148"/>
      <c r="E130" s="148"/>
      <c r="F130" s="148"/>
      <c r="G130" s="148"/>
      <c r="H130" s="148"/>
      <c r="I130" s="148"/>
      <c r="J130" s="148"/>
      <c r="K130" s="148"/>
      <c r="L130" s="148"/>
      <c r="M130" s="148"/>
      <c r="N130" s="148"/>
    </row>
    <row r="131" spans="3:14" hidden="1" x14ac:dyDescent="0.25">
      <c r="C131" s="148"/>
      <c r="D131" s="148"/>
      <c r="E131" s="148"/>
      <c r="F131" s="148"/>
      <c r="G131" s="148"/>
      <c r="H131" s="148"/>
      <c r="I131" s="148"/>
      <c r="J131" s="148"/>
      <c r="K131" s="148"/>
      <c r="L131" s="148"/>
      <c r="M131" s="148"/>
      <c r="N131" s="148"/>
    </row>
    <row r="132" spans="3:14" hidden="1" x14ac:dyDescent="0.25">
      <c r="C132" s="148"/>
      <c r="D132" s="148"/>
      <c r="E132" s="148"/>
      <c r="F132" s="148"/>
      <c r="G132" s="148"/>
      <c r="H132" s="148"/>
      <c r="I132" s="148"/>
      <c r="J132" s="148"/>
      <c r="K132" s="148"/>
      <c r="L132" s="148"/>
      <c r="M132" s="148"/>
      <c r="N132" s="148"/>
    </row>
    <row r="133" spans="3:14" hidden="1" x14ac:dyDescent="0.25">
      <c r="C133" s="148"/>
      <c r="D133" s="148"/>
      <c r="E133" s="148"/>
      <c r="F133" s="148"/>
      <c r="G133" s="148"/>
      <c r="H133" s="148"/>
      <c r="I133" s="148"/>
      <c r="J133" s="148"/>
      <c r="K133" s="148"/>
      <c r="L133" s="148"/>
      <c r="M133" s="148"/>
      <c r="N133" s="148"/>
    </row>
    <row r="134" spans="3:14" hidden="1" x14ac:dyDescent="0.25">
      <c r="C134" s="148"/>
      <c r="D134" s="148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</row>
    <row r="135" spans="3:14" hidden="1" x14ac:dyDescent="0.25">
      <c r="C135" s="148"/>
      <c r="D135" s="148"/>
      <c r="E135" s="148"/>
      <c r="F135" s="148"/>
      <c r="G135" s="148"/>
      <c r="H135" s="148"/>
      <c r="I135" s="148"/>
      <c r="J135" s="148"/>
      <c r="K135" s="148"/>
      <c r="L135" s="148"/>
      <c r="M135" s="148"/>
      <c r="N135" s="148"/>
    </row>
    <row r="136" spans="3:14" hidden="1" x14ac:dyDescent="0.25">
      <c r="C136" s="148"/>
      <c r="D136" s="148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</row>
    <row r="137" spans="3:14" hidden="1" x14ac:dyDescent="0.25">
      <c r="C137" s="148"/>
      <c r="D137" s="148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</row>
    <row r="138" spans="3:14" hidden="1" x14ac:dyDescent="0.25">
      <c r="C138" s="148"/>
      <c r="D138" s="148"/>
      <c r="E138" s="148"/>
      <c r="F138" s="148"/>
      <c r="G138" s="148"/>
      <c r="H138" s="148"/>
      <c r="I138" s="148"/>
      <c r="J138" s="148"/>
      <c r="K138" s="148"/>
      <c r="L138" s="148"/>
      <c r="M138" s="148"/>
      <c r="N138" s="148"/>
    </row>
    <row r="139" spans="3:14" hidden="1" x14ac:dyDescent="0.25">
      <c r="C139" s="148"/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</row>
    <row r="140" spans="3:14" hidden="1" x14ac:dyDescent="0.25">
      <c r="C140" s="148"/>
      <c r="D140" s="148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</row>
    <row r="141" spans="3:14" hidden="1" x14ac:dyDescent="0.25">
      <c r="C141" s="148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</row>
    <row r="142" spans="3:14" hidden="1" x14ac:dyDescent="0.25">
      <c r="C142" s="148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</row>
    <row r="143" spans="3:14" hidden="1" x14ac:dyDescent="0.25">
      <c r="C143" s="148"/>
      <c r="D143" s="148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</row>
    <row r="144" spans="3:14" hidden="1" x14ac:dyDescent="0.25">
      <c r="C144" s="148"/>
      <c r="D144" s="148"/>
      <c r="E144" s="148"/>
      <c r="F144" s="148"/>
      <c r="G144" s="148"/>
      <c r="H144" s="148"/>
      <c r="I144" s="148"/>
      <c r="J144" s="148"/>
      <c r="K144" s="148"/>
      <c r="L144" s="148"/>
      <c r="M144" s="148"/>
      <c r="N144" s="148"/>
    </row>
    <row r="145" spans="3:20" hidden="1" x14ac:dyDescent="0.25">
      <c r="C145" s="148"/>
      <c r="D145" s="148"/>
      <c r="E145" s="148"/>
      <c r="F145" s="148"/>
      <c r="G145" s="148"/>
      <c r="H145" s="148"/>
      <c r="I145" s="148"/>
      <c r="J145" s="148"/>
      <c r="K145" s="148"/>
      <c r="L145" s="148"/>
      <c r="M145" s="148"/>
      <c r="N145" s="148"/>
    </row>
    <row r="146" spans="3:20" hidden="1" x14ac:dyDescent="0.25">
      <c r="C146" s="148"/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</row>
    <row r="147" spans="3:20" hidden="1" x14ac:dyDescent="0.25">
      <c r="C147" s="148"/>
      <c r="D147" s="148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</row>
    <row r="148" spans="3:20" hidden="1" x14ac:dyDescent="0.25">
      <c r="C148" s="148"/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</row>
    <row r="149" spans="3:20" hidden="1" x14ac:dyDescent="0.25">
      <c r="C149" s="148"/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</row>
    <row r="150" spans="3:20" hidden="1" x14ac:dyDescent="0.25">
      <c r="C150" s="148"/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</row>
    <row r="151" spans="3:20" hidden="1" x14ac:dyDescent="0.25">
      <c r="C151" s="148"/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</row>
    <row r="152" spans="3:20" hidden="1" x14ac:dyDescent="0.25">
      <c r="C152" s="148"/>
      <c r="D152" s="148"/>
      <c r="E152" s="148"/>
      <c r="F152" s="148"/>
      <c r="G152" s="148"/>
      <c r="H152" s="148"/>
      <c r="I152" s="148"/>
      <c r="J152" s="148"/>
      <c r="K152" s="148"/>
      <c r="L152" s="148"/>
      <c r="M152" s="148"/>
      <c r="N152" s="148"/>
    </row>
    <row r="153" spans="3:20" hidden="1" x14ac:dyDescent="0.25">
      <c r="C153" s="148"/>
      <c r="D153" s="148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</row>
    <row r="154" spans="3:20" hidden="1" x14ac:dyDescent="0.25"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</row>
    <row r="155" spans="3:20" hidden="1" x14ac:dyDescent="0.25">
      <c r="C155" s="148"/>
      <c r="D155" s="148"/>
      <c r="E155" s="148"/>
      <c r="F155" s="148"/>
      <c r="G155" s="148"/>
      <c r="H155" s="148"/>
      <c r="I155" s="148"/>
      <c r="J155" s="148"/>
      <c r="K155" s="148"/>
      <c r="L155" s="148"/>
      <c r="M155" s="148"/>
      <c r="N155" s="148"/>
    </row>
    <row r="156" spans="3:20" ht="7.5" hidden="1" customHeight="1" x14ac:dyDescent="0.25">
      <c r="C156" s="10"/>
      <c r="D156" s="10"/>
      <c r="E156" s="10"/>
      <c r="F156" s="10"/>
      <c r="G156" s="18"/>
      <c r="H156" s="10"/>
      <c r="I156" s="10"/>
      <c r="J156" s="10"/>
      <c r="K156" s="10"/>
      <c r="L156" s="10"/>
      <c r="M156" s="10"/>
      <c r="N156" s="10"/>
    </row>
    <row r="157" spans="3:20" ht="20.25" hidden="1" customHeight="1" x14ac:dyDescent="0.25">
      <c r="C157" s="190" t="s">
        <v>112</v>
      </c>
      <c r="D157" s="190"/>
      <c r="E157" s="190"/>
      <c r="F157" s="190"/>
      <c r="G157" s="190"/>
      <c r="H157" s="190"/>
      <c r="I157" s="190"/>
      <c r="J157" s="190"/>
      <c r="K157" s="190"/>
      <c r="L157" s="190"/>
      <c r="M157" s="190"/>
      <c r="N157" s="190"/>
      <c r="T157" s="94"/>
    </row>
    <row r="158" spans="3:20" s="94" customFormat="1" ht="20.25" hidden="1" customHeight="1" x14ac:dyDescent="0.25">
      <c r="C158" s="189" t="s">
        <v>113</v>
      </c>
      <c r="D158" s="189"/>
      <c r="E158" s="189"/>
      <c r="F158" s="189"/>
      <c r="G158" s="189"/>
      <c r="H158" s="189"/>
      <c r="I158" s="189"/>
      <c r="J158" s="189"/>
      <c r="K158" s="189"/>
      <c r="L158" s="189"/>
      <c r="M158" s="189"/>
      <c r="N158" s="189"/>
    </row>
    <row r="159" spans="3:20" s="94" customFormat="1" ht="20.25" hidden="1" customHeight="1" x14ac:dyDescent="0.25">
      <c r="C159" s="190" t="s">
        <v>114</v>
      </c>
      <c r="D159" s="190"/>
      <c r="E159" s="190"/>
      <c r="F159" s="190"/>
      <c r="G159" s="190"/>
      <c r="H159" s="190"/>
      <c r="I159" s="190"/>
      <c r="J159" s="190"/>
      <c r="K159" s="190"/>
      <c r="L159" s="190"/>
      <c r="M159" s="190"/>
      <c r="N159" s="190"/>
    </row>
    <row r="160" spans="3:20" ht="17.25" x14ac:dyDescent="0.25">
      <c r="C160" s="131"/>
      <c r="D160" s="131"/>
      <c r="E160" s="131"/>
      <c r="F160" s="131"/>
      <c r="G160" s="131"/>
      <c r="H160" s="131"/>
      <c r="I160" s="131"/>
      <c r="J160" s="131"/>
      <c r="K160" s="131"/>
      <c r="L160" s="131"/>
      <c r="M160" s="131"/>
      <c r="N160" s="131"/>
    </row>
  </sheetData>
  <mergeCells count="64">
    <mergeCell ref="P33:Q33"/>
    <mergeCell ref="P34:Q34"/>
    <mergeCell ref="P35:Q35"/>
    <mergeCell ref="P36:Q36"/>
    <mergeCell ref="P22:Q22"/>
    <mergeCell ref="P28:Q28"/>
    <mergeCell ref="P29:Q29"/>
    <mergeCell ref="P30:Q30"/>
    <mergeCell ref="P31:Q31"/>
    <mergeCell ref="P32:Q32"/>
    <mergeCell ref="P23:Q23"/>
    <mergeCell ref="P24:Q24"/>
    <mergeCell ref="P25:Q25"/>
    <mergeCell ref="P26:Q26"/>
    <mergeCell ref="P27:Q27"/>
    <mergeCell ref="C157:N157"/>
    <mergeCell ref="C158:N158"/>
    <mergeCell ref="C159:N159"/>
    <mergeCell ref="G72:J72"/>
    <mergeCell ref="K19:L19"/>
    <mergeCell ref="L21:L22"/>
    <mergeCell ref="M21:M22"/>
    <mergeCell ref="H21:H22"/>
    <mergeCell ref="D23:F23"/>
    <mergeCell ref="D33:F33"/>
    <mergeCell ref="C21:C22"/>
    <mergeCell ref="D21:F22"/>
    <mergeCell ref="G21:G22"/>
    <mergeCell ref="D34:F34"/>
    <mergeCell ref="D35:F35"/>
    <mergeCell ref="D24:F24"/>
    <mergeCell ref="K8:N8"/>
    <mergeCell ref="L2:N2"/>
    <mergeCell ref="L3:M3"/>
    <mergeCell ref="L4:M4"/>
    <mergeCell ref="D2:G6"/>
    <mergeCell ref="J7:K7"/>
    <mergeCell ref="P21:R21"/>
    <mergeCell ref="K21:K22"/>
    <mergeCell ref="I21:I22"/>
    <mergeCell ref="J21:J22"/>
    <mergeCell ref="N21:N22"/>
    <mergeCell ref="D25:F25"/>
    <mergeCell ref="D26:F26"/>
    <mergeCell ref="D27:F27"/>
    <mergeCell ref="D28:F28"/>
    <mergeCell ref="D29:F29"/>
    <mergeCell ref="D30:F30"/>
    <mergeCell ref="D31:F31"/>
    <mergeCell ref="D32:F32"/>
    <mergeCell ref="D36:F36"/>
    <mergeCell ref="C37:N37"/>
    <mergeCell ref="D38:F38"/>
    <mergeCell ref="D39:F39"/>
    <mergeCell ref="D40:F40"/>
    <mergeCell ref="D41:F41"/>
    <mergeCell ref="D42:F42"/>
    <mergeCell ref="C68:N68"/>
    <mergeCell ref="C69:N69"/>
    <mergeCell ref="D43:F43"/>
    <mergeCell ref="D44:F44"/>
    <mergeCell ref="D48:H49"/>
    <mergeCell ref="C63:N63"/>
    <mergeCell ref="C67:N67"/>
  </mergeCells>
  <conditionalFormatting sqref="R2 L2 C21:N22 C45:N45 C66:N66 C70:N70 P21:P22 R22">
    <cfRule type="expression" dxfId="35" priority="37">
      <formula>$R$2="Orange"</formula>
    </cfRule>
    <cfRule type="expression" dxfId="34" priority="38">
      <formula>$R$2="Marron"</formula>
    </cfRule>
    <cfRule type="expression" dxfId="33" priority="39">
      <formula>$R$2="Noir"</formula>
    </cfRule>
    <cfRule type="expression" dxfId="32" priority="40">
      <formula>$R$2="Rouge"</formula>
    </cfRule>
    <cfRule type="expression" dxfId="31" priority="41">
      <formula>$R$2="Vert"</formula>
    </cfRule>
    <cfRule type="expression" dxfId="30" priority="42">
      <formula>$R$2="Jaune"</formula>
    </cfRule>
    <cfRule type="expression" dxfId="29" priority="43">
      <formula>$R$2="Rose"</formula>
    </cfRule>
    <cfRule type="expression" dxfId="28" priority="44">
      <formula>$R$2="Violet"</formula>
    </cfRule>
    <cfRule type="expression" dxfId="27" priority="45">
      <formula>$R$2="Bleu"</formula>
    </cfRule>
  </conditionalFormatting>
  <conditionalFormatting sqref="G73:J73">
    <cfRule type="expression" dxfId="26" priority="1">
      <formula>$R$2="Orange"</formula>
    </cfRule>
    <cfRule type="expression" dxfId="25" priority="2">
      <formula>$R$2="Marron"</formula>
    </cfRule>
    <cfRule type="expression" dxfId="24" priority="3">
      <formula>$R$2="Noir"</formula>
    </cfRule>
    <cfRule type="expression" dxfId="23" priority="4">
      <formula>$R$2="Rouge"</formula>
    </cfRule>
    <cfRule type="expression" dxfId="22" priority="5">
      <formula>$R$2="Vert"</formula>
    </cfRule>
    <cfRule type="expression" dxfId="21" priority="6">
      <formula>$R$2="Jaune"</formula>
    </cfRule>
    <cfRule type="expression" dxfId="20" priority="7">
      <formula>$R$2="Rose"</formula>
    </cfRule>
    <cfRule type="expression" dxfId="19" priority="8">
      <formula>$R$2="Violet"</formula>
    </cfRule>
    <cfRule type="expression" dxfId="18" priority="9">
      <formula>$R$2="Bleu"</formula>
    </cfRule>
  </conditionalFormatting>
  <conditionalFormatting sqref="C156:N156">
    <cfRule type="expression" dxfId="17" priority="10">
      <formula>$R$2="Orange"</formula>
    </cfRule>
    <cfRule type="expression" dxfId="16" priority="11">
      <formula>$R$2="Marron"</formula>
    </cfRule>
    <cfRule type="expression" dxfId="15" priority="12">
      <formula>$R$2="Noir"</formula>
    </cfRule>
    <cfRule type="expression" dxfId="14" priority="13">
      <formula>$R$2="Rouge"</formula>
    </cfRule>
    <cfRule type="expression" dxfId="13" priority="14">
      <formula>$R$2="Vert"</formula>
    </cfRule>
    <cfRule type="expression" dxfId="12" priority="15">
      <formula>$R$2="Jaune"</formula>
    </cfRule>
    <cfRule type="expression" dxfId="11" priority="16">
      <formula>$R$2="Rose"</formula>
    </cfRule>
    <cfRule type="expression" dxfId="10" priority="17">
      <formula>$R$2="Violet"</formula>
    </cfRule>
    <cfRule type="expression" dxfId="9" priority="18">
      <formula>$R$2="Bleu"</formula>
    </cfRule>
  </conditionalFormatting>
  <conditionalFormatting sqref="C160:N160">
    <cfRule type="expression" dxfId="8" priority="19">
      <formula>$R$2="Orange"</formula>
    </cfRule>
    <cfRule type="expression" dxfId="7" priority="20">
      <formula>$R$2="Marron"</formula>
    </cfRule>
    <cfRule type="expression" dxfId="6" priority="21">
      <formula>$R$2="Noir"</formula>
    </cfRule>
    <cfRule type="expression" dxfId="5" priority="22">
      <formula>$R$2="Rouge"</formula>
    </cfRule>
    <cfRule type="expression" dxfId="4" priority="23">
      <formula>$R$2="Vert"</formula>
    </cfRule>
    <cfRule type="expression" dxfId="3" priority="24">
      <formula>$R$2="Jaune"</formula>
    </cfRule>
    <cfRule type="expression" dxfId="2" priority="25">
      <formula>$R$2="Rose"</formula>
    </cfRule>
    <cfRule type="expression" dxfId="1" priority="26">
      <formula>$R$2="Violet"</formula>
    </cfRule>
    <cfRule type="expression" dxfId="0" priority="27">
      <formula>$R$2="Bleu"</formula>
    </cfRule>
  </conditionalFormatting>
  <dataValidations count="8">
    <dataValidation type="list" allowBlank="1" showInputMessage="1" showErrorMessage="1" sqref="D39:F44">
      <formula1>BDD_MAIN_D_ŒUVRE_DESIGNATION</formula1>
    </dataValidation>
    <dataValidation type="list" allowBlank="1" showInputMessage="1" showErrorMessage="1" sqref="I23:I36 I39:I44">
      <formula1>DETAILS_TVA</formula1>
    </dataValidation>
    <dataValidation type="list" allowBlank="1" showInputMessage="1" showErrorMessage="1" sqref="D23:D36 E23:F26 E33:F36">
      <formula1>BDD_DESIGNATION</formula1>
    </dataValidation>
    <dataValidation type="list" allowBlank="1" showInputMessage="1" showErrorMessage="1" promptTitle="Echéance" prompt="Séléctionner dans le menu déroulant le nombre de jours" sqref="H19">
      <formula1>DETAILS_DELAI</formula1>
    </dataValidation>
    <dataValidation type="list" allowBlank="1" showInputMessage="1" showErrorMessage="1" sqref="R2">
      <formula1>DETAILS_Couleur</formula1>
    </dataValidation>
    <dataValidation type="list" allowBlank="1" showInputMessage="1" showErrorMessage="1" promptTitle="Remise" prompt="Choix de la remise" sqref="N48">
      <formula1>DETAILS_Remise</formula1>
    </dataValidation>
    <dataValidation type="whole" allowBlank="1" showInputMessage="1" showErrorMessage="1" prompt="Sélectionner la quantité choisie" sqref="H23:H36 H39:H44">
      <formula1>0</formula1>
      <formula2>9999999</formula2>
    </dataValidation>
    <dataValidation type="list" allowBlank="1" showInputMessage="1" showErrorMessage="1" promptTitle="Facturé à" prompt="Séléctionner dans le menu déroulant le client à facturé." sqref="K8:N8">
      <formula1>CLIENTS_LISTE_CLIENTS</formula1>
    </dataValidation>
  </dataValidations>
  <pageMargins left="0.7" right="0.7" top="0.75" bottom="0.75" header="0.3" footer="0.3"/>
  <pageSetup paperSize="9" scale="42" orientation="portrait" horizontalDpi="4294967293" verticalDpi="0" r:id="rId1"/>
  <rowBreaks count="1" manualBreakCount="1">
    <brk id="70" min="2" max="13" man="1"/>
  </rowBreaks>
  <drawing r:id="rId2"/>
  <legacyDrawing r:id="rId3"/>
  <controls>
    <mc:AlternateContent xmlns:mc="http://schemas.openxmlformats.org/markup-compatibility/2006">
      <mc:Choice Requires="x14">
        <control shapeId="3077" r:id="rId4" name="CommandButton1">
          <controlPr defaultSize="0" print="0" autoFill="0" autoLine="0" autoPict="0" r:id="rId5">
            <anchor>
              <from>
                <xdr:col>7</xdr:col>
                <xdr:colOff>95250</xdr:colOff>
                <xdr:row>1</xdr:row>
                <xdr:rowOff>133350</xdr:rowOff>
              </from>
              <to>
                <xdr:col>8</xdr:col>
                <xdr:colOff>742950</xdr:colOff>
                <xdr:row>2</xdr:row>
                <xdr:rowOff>209550</xdr:rowOff>
              </to>
            </anchor>
          </controlPr>
        </control>
      </mc:Choice>
      <mc:Fallback>
        <control shapeId="3077" r:id="rId4" name="CommandButton1"/>
      </mc:Fallback>
    </mc:AlternateContent>
    <mc:AlternateContent xmlns:mc="http://schemas.openxmlformats.org/markup-compatibility/2006">
      <mc:Choice Requires="x14">
        <control shapeId="3076" r:id="rId6" name="CheckBox1">
          <controlPr defaultSize="0" print="0" autoFill="0" autoLine="0" autoPict="0" r:id="rId7">
            <anchor>
              <from>
                <xdr:col>7</xdr:col>
                <xdr:colOff>123825</xdr:colOff>
                <xdr:row>0</xdr:row>
                <xdr:rowOff>133350</xdr:rowOff>
              </from>
              <to>
                <xdr:col>8</xdr:col>
                <xdr:colOff>638175</xdr:colOff>
                <xdr:row>1</xdr:row>
                <xdr:rowOff>123825</xdr:rowOff>
              </to>
            </anchor>
          </controlPr>
        </control>
      </mc:Choice>
      <mc:Fallback>
        <control shapeId="3076" r:id="rId6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03">
    <tabColor rgb="FFD3FD03"/>
  </sheetPr>
  <dimension ref="A1:AT31"/>
  <sheetViews>
    <sheetView showRowColHeaders="0" defaultGridColor="0" colorId="18" workbookViewId="0">
      <selection activeCell="H16" sqref="H16"/>
    </sheetView>
  </sheetViews>
  <sheetFormatPr baseColWidth="10" defaultRowHeight="15" x14ac:dyDescent="0.25"/>
  <cols>
    <col min="1" max="1" width="11.42578125" style="65"/>
    <col min="2" max="2" width="0.7109375" style="48" customWidth="1"/>
    <col min="3" max="3" width="11.42578125" style="82"/>
    <col min="4" max="4" width="27.85546875" style="48" customWidth="1"/>
    <col min="5" max="5" width="0.7109375" style="48" customWidth="1"/>
    <col min="6" max="6" width="11.42578125" style="66"/>
    <col min="7" max="7" width="0.7109375" style="48" customWidth="1"/>
    <col min="8" max="8" width="11.42578125" style="48"/>
    <col min="9" max="9" width="0.7109375" style="48" customWidth="1"/>
    <col min="10" max="10" width="11.42578125" style="70"/>
    <col min="11" max="11" width="0.7109375" style="48" customWidth="1"/>
    <col min="12" max="12" width="11.42578125" style="48"/>
    <col min="13" max="13" width="77.140625" style="48" customWidth="1"/>
    <col min="14" max="14" width="0.7109375" style="48" customWidth="1"/>
    <col min="15" max="15" width="5.42578125" style="76" customWidth="1"/>
    <col min="16" max="16" width="26.5703125" style="48" customWidth="1"/>
    <col min="17" max="17" width="33.85546875" style="48" customWidth="1"/>
    <col min="18" max="18" width="22.85546875" style="48" customWidth="1"/>
    <col min="19" max="19" width="0.7109375" style="48" customWidth="1"/>
    <col min="20" max="20" width="12.5703125" style="48" customWidth="1"/>
    <col min="21" max="21" width="0.7109375" style="48" customWidth="1"/>
    <col min="22" max="22" width="15.7109375" style="48" customWidth="1"/>
    <col min="23" max="23" width="0.7109375" style="48" customWidth="1"/>
    <col min="24" max="24" width="33" style="48" customWidth="1"/>
    <col min="25" max="25" width="0.7109375" style="48" customWidth="1"/>
    <col min="26" max="26" width="24.28515625" style="48" customWidth="1"/>
    <col min="27" max="27" width="0.7109375" style="48" customWidth="1"/>
    <col min="28" max="28" width="17.85546875" style="48" customWidth="1"/>
    <col min="29" max="29" width="0.7109375" style="48" customWidth="1"/>
    <col min="30" max="30" width="24.5703125" style="48" customWidth="1"/>
    <col min="31" max="31" width="0.7109375" style="48" customWidth="1"/>
    <col min="32" max="32" width="21.28515625" style="48" customWidth="1"/>
    <col min="33" max="33" width="0.7109375" style="48" customWidth="1"/>
    <col min="34" max="34" width="18.85546875" style="48" customWidth="1"/>
    <col min="35" max="35" width="0.7109375" style="48" customWidth="1"/>
    <col min="36" max="36" width="16.28515625" style="48" customWidth="1"/>
    <col min="37" max="37" width="0.7109375" style="48" customWidth="1"/>
    <col min="38" max="38" width="16.42578125" style="48" customWidth="1"/>
    <col min="39" max="39" width="17" style="48" customWidth="1"/>
    <col min="40" max="40" width="0.7109375" style="48" customWidth="1"/>
    <col min="41" max="41" width="15.140625" style="48" customWidth="1"/>
    <col min="42" max="42" width="0.7109375" style="48" customWidth="1"/>
    <col min="43" max="44" width="11.42578125" style="48"/>
    <col min="45" max="45" width="0.7109375" style="48" customWidth="1"/>
    <col min="46" max="46" width="11.42578125" style="48" customWidth="1"/>
    <col min="47" max="47" width="0.7109375" style="48" customWidth="1"/>
    <col min="48" max="16384" width="11.42578125" style="48"/>
  </cols>
  <sheetData>
    <row r="1" spans="1:46" x14ac:dyDescent="0.25">
      <c r="A1" s="35" t="s">
        <v>123</v>
      </c>
      <c r="B1" s="36"/>
      <c r="C1" s="79" t="s">
        <v>105</v>
      </c>
      <c r="D1" s="37" t="s">
        <v>106</v>
      </c>
      <c r="E1" s="36"/>
      <c r="F1" s="38" t="s">
        <v>124</v>
      </c>
      <c r="G1" s="36"/>
      <c r="H1" s="39" t="s">
        <v>125</v>
      </c>
      <c r="I1" s="36"/>
      <c r="J1" s="40" t="s">
        <v>126</v>
      </c>
      <c r="K1" s="36"/>
      <c r="L1" s="41" t="s">
        <v>127</v>
      </c>
      <c r="M1" s="42" t="s">
        <v>128</v>
      </c>
      <c r="N1" s="36"/>
      <c r="O1" s="43" t="s">
        <v>129</v>
      </c>
      <c r="P1" s="44" t="s">
        <v>130</v>
      </c>
      <c r="Q1" s="45" t="s">
        <v>131</v>
      </c>
      <c r="R1" s="46" t="s">
        <v>132</v>
      </c>
      <c r="S1" s="36"/>
      <c r="T1" s="47" t="s">
        <v>133</v>
      </c>
      <c r="V1" s="47" t="s">
        <v>134</v>
      </c>
      <c r="W1" s="36"/>
      <c r="X1" s="47" t="s">
        <v>135</v>
      </c>
      <c r="Y1" s="36"/>
      <c r="Z1" s="47" t="s">
        <v>136</v>
      </c>
      <c r="AA1" s="36"/>
      <c r="AB1" s="47" t="s">
        <v>137</v>
      </c>
      <c r="AC1" s="36"/>
      <c r="AD1" s="47" t="s">
        <v>138</v>
      </c>
      <c r="AE1" s="36"/>
      <c r="AF1" s="47" t="s">
        <v>139</v>
      </c>
      <c r="AG1" s="36"/>
      <c r="AH1" s="47" t="s">
        <v>140</v>
      </c>
      <c r="AI1" s="36"/>
      <c r="AJ1" s="47" t="s">
        <v>141</v>
      </c>
      <c r="AK1" s="36"/>
      <c r="AL1" s="41" t="s">
        <v>142</v>
      </c>
      <c r="AM1" s="42" t="s">
        <v>143</v>
      </c>
      <c r="AN1" s="36"/>
      <c r="AO1" s="47" t="s">
        <v>144</v>
      </c>
      <c r="AP1" s="36"/>
      <c r="AQ1" s="243" t="s">
        <v>145</v>
      </c>
      <c r="AR1" s="243"/>
      <c r="AT1" s="47"/>
    </row>
    <row r="2" spans="1:46" x14ac:dyDescent="0.25">
      <c r="A2" s="49">
        <v>0.2</v>
      </c>
      <c r="C2" s="80" t="s">
        <v>146</v>
      </c>
      <c r="D2" s="50" t="s">
        <v>147</v>
      </c>
      <c r="F2" s="51">
        <v>0</v>
      </c>
      <c r="H2" s="52" t="s">
        <v>148</v>
      </c>
      <c r="J2" s="53">
        <v>0.2</v>
      </c>
      <c r="L2" s="54" t="s">
        <v>149</v>
      </c>
      <c r="M2" s="55" t="s">
        <v>150</v>
      </c>
      <c r="O2" s="56">
        <v>1</v>
      </c>
      <c r="P2" s="57" t="s">
        <v>151</v>
      </c>
      <c r="Q2" s="57" t="s">
        <v>152</v>
      </c>
      <c r="R2" s="55" t="s">
        <v>153</v>
      </c>
      <c r="T2" s="58">
        <v>0</v>
      </c>
      <c r="V2" s="58" t="s">
        <v>154</v>
      </c>
      <c r="X2" s="58" t="s">
        <v>155</v>
      </c>
      <c r="Z2" s="58" t="s">
        <v>156</v>
      </c>
      <c r="AB2" s="58" t="s">
        <v>157</v>
      </c>
      <c r="AD2" s="58" t="s">
        <v>158</v>
      </c>
      <c r="AF2" s="58" t="s">
        <v>159</v>
      </c>
      <c r="AH2" s="58" t="s">
        <v>160</v>
      </c>
      <c r="AJ2" s="58" t="s">
        <v>161</v>
      </c>
      <c r="AL2" s="54" t="s">
        <v>162</v>
      </c>
      <c r="AM2" s="55" t="s">
        <v>163</v>
      </c>
      <c r="AO2" s="58" t="s">
        <v>164</v>
      </c>
      <c r="AQ2" s="124" t="s">
        <v>165</v>
      </c>
      <c r="AR2" s="125">
        <v>0</v>
      </c>
      <c r="AT2" s="58"/>
    </row>
    <row r="3" spans="1:46" x14ac:dyDescent="0.25">
      <c r="A3" s="49">
        <v>0.1</v>
      </c>
      <c r="C3" s="81" t="s">
        <v>146</v>
      </c>
      <c r="D3" s="55" t="s">
        <v>166</v>
      </c>
      <c r="F3" s="51">
        <v>30</v>
      </c>
      <c r="H3" s="59" t="s">
        <v>167</v>
      </c>
      <c r="J3" s="53">
        <v>0.15</v>
      </c>
      <c r="L3" s="54" t="s">
        <v>168</v>
      </c>
      <c r="M3" s="55" t="s">
        <v>169</v>
      </c>
      <c r="O3" s="56">
        <v>2</v>
      </c>
      <c r="P3" s="57" t="s">
        <v>170</v>
      </c>
      <c r="Q3" s="57" t="s">
        <v>171</v>
      </c>
      <c r="R3" s="55" t="s">
        <v>172</v>
      </c>
      <c r="T3" s="58">
        <v>6</v>
      </c>
      <c r="V3" s="58" t="s">
        <v>173</v>
      </c>
      <c r="X3" s="58" t="s">
        <v>174</v>
      </c>
      <c r="Z3" s="58" t="s">
        <v>175</v>
      </c>
      <c r="AB3" s="58" t="s">
        <v>176</v>
      </c>
      <c r="AD3" s="58" t="s">
        <v>177</v>
      </c>
      <c r="AF3" s="58" t="s">
        <v>178</v>
      </c>
      <c r="AH3" s="58" t="s">
        <v>179</v>
      </c>
      <c r="AJ3" s="58" t="s">
        <v>180</v>
      </c>
      <c r="AL3" s="54" t="s">
        <v>181</v>
      </c>
      <c r="AM3" s="55" t="s">
        <v>182</v>
      </c>
      <c r="AO3" s="58" t="s">
        <v>183</v>
      </c>
      <c r="AQ3" s="124" t="s">
        <v>184</v>
      </c>
      <c r="AR3" s="125">
        <v>1</v>
      </c>
      <c r="AT3" s="58"/>
    </row>
    <row r="4" spans="1:46" x14ac:dyDescent="0.25">
      <c r="A4" s="49">
        <v>7.0000000000000007E-2</v>
      </c>
      <c r="C4" s="81" t="s">
        <v>146</v>
      </c>
      <c r="D4" s="55" t="s">
        <v>185</v>
      </c>
      <c r="F4" s="51">
        <v>45</v>
      </c>
      <c r="H4" s="60" t="s">
        <v>186</v>
      </c>
      <c r="J4" s="53">
        <v>0.1</v>
      </c>
      <c r="L4" s="54" t="s">
        <v>187</v>
      </c>
      <c r="M4" s="55" t="s">
        <v>188</v>
      </c>
      <c r="O4" s="56">
        <v>3</v>
      </c>
      <c r="P4" s="57" t="s">
        <v>189</v>
      </c>
      <c r="Q4" s="57" t="s">
        <v>190</v>
      </c>
      <c r="R4" s="55" t="s">
        <v>153</v>
      </c>
      <c r="T4" s="58">
        <v>11</v>
      </c>
      <c r="V4" s="58" t="s">
        <v>191</v>
      </c>
      <c r="X4" s="58" t="s">
        <v>192</v>
      </c>
      <c r="Z4" s="58" t="s">
        <v>193</v>
      </c>
      <c r="AB4" s="58" t="s">
        <v>194</v>
      </c>
      <c r="AD4" s="58" t="s">
        <v>195</v>
      </c>
      <c r="AF4" s="58" t="s">
        <v>196</v>
      </c>
      <c r="AH4" s="58" t="s">
        <v>197</v>
      </c>
      <c r="AJ4" s="58" t="s">
        <v>198</v>
      </c>
      <c r="AL4" s="54" t="s">
        <v>199</v>
      </c>
      <c r="AM4" s="55" t="s">
        <v>200</v>
      </c>
      <c r="AO4" s="61" t="s">
        <v>201</v>
      </c>
      <c r="AQ4" s="124" t="s">
        <v>202</v>
      </c>
      <c r="AR4" s="125">
        <v>2</v>
      </c>
      <c r="AT4" s="61"/>
    </row>
    <row r="5" spans="1:46" x14ac:dyDescent="0.25">
      <c r="A5" s="49">
        <v>5.5E-2</v>
      </c>
      <c r="C5" s="81" t="s">
        <v>203</v>
      </c>
      <c r="D5" s="55" t="s">
        <v>204</v>
      </c>
      <c r="F5" s="51">
        <v>60</v>
      </c>
      <c r="H5" s="64" t="s">
        <v>205</v>
      </c>
      <c r="J5" s="53">
        <v>0.09</v>
      </c>
      <c r="L5" s="54" t="s">
        <v>206</v>
      </c>
      <c r="M5" s="55" t="s">
        <v>207</v>
      </c>
      <c r="O5" s="56">
        <v>4</v>
      </c>
      <c r="P5" s="57" t="s">
        <v>208</v>
      </c>
      <c r="Q5" s="57" t="s">
        <v>209</v>
      </c>
      <c r="R5" s="55" t="s">
        <v>153</v>
      </c>
      <c r="T5" s="58">
        <v>21</v>
      </c>
      <c r="V5" s="58" t="s">
        <v>210</v>
      </c>
      <c r="X5" s="58" t="s">
        <v>211</v>
      </c>
      <c r="Z5" s="58" t="s">
        <v>212</v>
      </c>
      <c r="AB5" s="58" t="s">
        <v>213</v>
      </c>
      <c r="AD5" s="58" t="s">
        <v>214</v>
      </c>
      <c r="AF5" s="58" t="s">
        <v>215</v>
      </c>
      <c r="AH5" s="58" t="s">
        <v>216</v>
      </c>
      <c r="AJ5" s="58" t="s">
        <v>217</v>
      </c>
      <c r="AL5" s="54" t="s">
        <v>218</v>
      </c>
      <c r="AM5" s="55" t="s">
        <v>219</v>
      </c>
      <c r="AQ5" s="124" t="s">
        <v>220</v>
      </c>
      <c r="AR5" s="125">
        <v>3</v>
      </c>
    </row>
    <row r="6" spans="1:46" x14ac:dyDescent="0.25">
      <c r="A6" s="62">
        <v>0</v>
      </c>
      <c r="C6" s="81" t="s">
        <v>203</v>
      </c>
      <c r="D6" s="55" t="s">
        <v>221</v>
      </c>
      <c r="F6" s="63">
        <v>90</v>
      </c>
      <c r="H6" s="67" t="s">
        <v>222</v>
      </c>
      <c r="J6" s="53">
        <v>7.0000000000000007E-2</v>
      </c>
      <c r="L6" s="54" t="s">
        <v>223</v>
      </c>
      <c r="M6" s="55" t="s">
        <v>224</v>
      </c>
      <c r="O6" s="56">
        <v>5</v>
      </c>
      <c r="P6" s="57" t="s">
        <v>225</v>
      </c>
      <c r="Q6" s="57" t="s">
        <v>226</v>
      </c>
      <c r="R6" s="55" t="s">
        <v>153</v>
      </c>
      <c r="T6" s="58">
        <v>31</v>
      </c>
      <c r="V6" s="58" t="s">
        <v>227</v>
      </c>
      <c r="X6" s="58" t="s">
        <v>228</v>
      </c>
      <c r="Z6" s="58" t="s">
        <v>229</v>
      </c>
      <c r="AB6" s="58" t="s">
        <v>230</v>
      </c>
      <c r="AD6" s="58" t="s">
        <v>231</v>
      </c>
      <c r="AF6" s="58" t="s">
        <v>232</v>
      </c>
      <c r="AH6" s="61" t="s">
        <v>233</v>
      </c>
      <c r="AJ6" s="58" t="s">
        <v>234</v>
      </c>
      <c r="AL6" s="54" t="s">
        <v>235</v>
      </c>
      <c r="AM6" s="55" t="s">
        <v>236</v>
      </c>
      <c r="AQ6" s="124" t="s">
        <v>237</v>
      </c>
      <c r="AR6" s="125">
        <v>4</v>
      </c>
    </row>
    <row r="7" spans="1:46" x14ac:dyDescent="0.25">
      <c r="C7" s="81" t="s">
        <v>203</v>
      </c>
      <c r="D7" s="55" t="s">
        <v>238</v>
      </c>
      <c r="H7" s="69" t="s">
        <v>239</v>
      </c>
      <c r="J7" s="53">
        <v>0.05</v>
      </c>
      <c r="L7" s="54" t="s">
        <v>240</v>
      </c>
      <c r="M7" s="55" t="s">
        <v>241</v>
      </c>
      <c r="O7" s="56">
        <v>6</v>
      </c>
      <c r="P7" s="57" t="s">
        <v>242</v>
      </c>
      <c r="Q7" s="57" t="s">
        <v>243</v>
      </c>
      <c r="R7" s="55" t="s">
        <v>172</v>
      </c>
      <c r="T7" s="58">
        <v>41</v>
      </c>
      <c r="V7" s="58" t="s">
        <v>244</v>
      </c>
      <c r="X7" s="58" t="s">
        <v>245</v>
      </c>
      <c r="Z7" s="58" t="s">
        <v>246</v>
      </c>
      <c r="AB7" s="58" t="s">
        <v>247</v>
      </c>
      <c r="AD7" s="58" t="s">
        <v>248</v>
      </c>
      <c r="AF7" s="58" t="s">
        <v>249</v>
      </c>
      <c r="AJ7" s="58" t="s">
        <v>250</v>
      </c>
      <c r="AL7" s="54" t="s">
        <v>251</v>
      </c>
      <c r="AM7" s="55" t="s">
        <v>252</v>
      </c>
      <c r="AQ7" s="124" t="s">
        <v>253</v>
      </c>
      <c r="AR7" s="125">
        <v>5</v>
      </c>
    </row>
    <row r="8" spans="1:46" x14ac:dyDescent="0.25">
      <c r="C8" s="81" t="s">
        <v>203</v>
      </c>
      <c r="D8" s="55" t="s">
        <v>254</v>
      </c>
      <c r="H8" s="71" t="s">
        <v>80</v>
      </c>
      <c r="J8" s="53">
        <v>0.03</v>
      </c>
      <c r="L8" s="54" t="s">
        <v>255</v>
      </c>
      <c r="M8" s="55" t="s">
        <v>256</v>
      </c>
      <c r="O8" s="56">
        <v>7</v>
      </c>
      <c r="P8" s="57" t="s">
        <v>257</v>
      </c>
      <c r="Q8" s="57" t="s">
        <v>258</v>
      </c>
      <c r="R8" s="55" t="s">
        <v>153</v>
      </c>
      <c r="T8" s="58">
        <v>51</v>
      </c>
      <c r="V8" s="58" t="s">
        <v>259</v>
      </c>
      <c r="X8" s="58" t="s">
        <v>260</v>
      </c>
      <c r="Z8" s="58" t="s">
        <v>261</v>
      </c>
      <c r="AB8" s="58" t="s">
        <v>262</v>
      </c>
      <c r="AD8" s="58" t="s">
        <v>263</v>
      </c>
      <c r="AF8" s="58" t="s">
        <v>179</v>
      </c>
      <c r="AJ8" s="58" t="s">
        <v>264</v>
      </c>
      <c r="AL8" s="54" t="s">
        <v>265</v>
      </c>
      <c r="AM8" s="55" t="s">
        <v>266</v>
      </c>
      <c r="AQ8" s="124" t="s">
        <v>267</v>
      </c>
      <c r="AR8" s="125">
        <v>6</v>
      </c>
    </row>
    <row r="9" spans="1:46" x14ac:dyDescent="0.25">
      <c r="C9" s="81" t="s">
        <v>203</v>
      </c>
      <c r="D9" s="55" t="s">
        <v>268</v>
      </c>
      <c r="H9" s="72" t="s">
        <v>269</v>
      </c>
      <c r="J9" s="53">
        <v>0.02</v>
      </c>
      <c r="L9" s="54" t="s">
        <v>270</v>
      </c>
      <c r="M9" s="55" t="s">
        <v>271</v>
      </c>
      <c r="O9" s="56">
        <v>8</v>
      </c>
      <c r="P9" s="57" t="s">
        <v>272</v>
      </c>
      <c r="Q9" s="57" t="s">
        <v>273</v>
      </c>
      <c r="R9" s="55" t="s">
        <v>274</v>
      </c>
      <c r="T9" s="58">
        <v>61</v>
      </c>
      <c r="V9" s="58" t="s">
        <v>275</v>
      </c>
      <c r="X9" s="58" t="s">
        <v>276</v>
      </c>
      <c r="Z9" s="58" t="s">
        <v>277</v>
      </c>
      <c r="AB9" s="61" t="s">
        <v>278</v>
      </c>
      <c r="AD9" s="58" t="s">
        <v>278</v>
      </c>
      <c r="AF9" s="58" t="s">
        <v>279</v>
      </c>
      <c r="AJ9" s="58" t="s">
        <v>280</v>
      </c>
      <c r="AL9" s="54" t="s">
        <v>281</v>
      </c>
      <c r="AM9" s="55" t="s">
        <v>282</v>
      </c>
      <c r="AQ9" s="124" t="s">
        <v>283</v>
      </c>
      <c r="AR9" s="125">
        <v>7</v>
      </c>
    </row>
    <row r="10" spans="1:46" x14ac:dyDescent="0.25">
      <c r="C10" s="81" t="s">
        <v>203</v>
      </c>
      <c r="D10" s="55" t="s">
        <v>284</v>
      </c>
      <c r="H10" s="73" t="s">
        <v>285</v>
      </c>
      <c r="J10" s="53">
        <v>0.01</v>
      </c>
      <c r="L10" s="54" t="s">
        <v>286</v>
      </c>
      <c r="M10" s="55" t="s">
        <v>287</v>
      </c>
      <c r="O10" s="56">
        <v>9</v>
      </c>
      <c r="P10" s="57" t="s">
        <v>288</v>
      </c>
      <c r="Q10" s="57" t="s">
        <v>289</v>
      </c>
      <c r="R10" s="55" t="s">
        <v>153</v>
      </c>
      <c r="T10" s="58">
        <v>71</v>
      </c>
      <c r="V10" s="61" t="s">
        <v>290</v>
      </c>
      <c r="X10" s="58" t="s">
        <v>291</v>
      </c>
      <c r="Z10" s="58" t="s">
        <v>292</v>
      </c>
      <c r="AD10" s="61" t="s">
        <v>293</v>
      </c>
      <c r="AF10" s="61" t="s">
        <v>294</v>
      </c>
      <c r="AJ10" s="58" t="s">
        <v>295</v>
      </c>
      <c r="AL10" s="74" t="s">
        <v>296</v>
      </c>
      <c r="AM10" s="75" t="s">
        <v>297</v>
      </c>
      <c r="AQ10" s="124" t="s">
        <v>298</v>
      </c>
      <c r="AR10" s="125">
        <v>8</v>
      </c>
    </row>
    <row r="11" spans="1:46" x14ac:dyDescent="0.25">
      <c r="C11" s="81" t="s">
        <v>203</v>
      </c>
      <c r="D11" s="55" t="s">
        <v>299</v>
      </c>
      <c r="J11" s="68">
        <v>0</v>
      </c>
      <c r="L11" s="54" t="s">
        <v>300</v>
      </c>
      <c r="M11" s="55" t="s">
        <v>301</v>
      </c>
      <c r="O11" s="56">
        <v>10</v>
      </c>
      <c r="P11" s="57" t="s">
        <v>302</v>
      </c>
      <c r="Q11" s="57" t="s">
        <v>303</v>
      </c>
      <c r="R11" s="55" t="s">
        <v>172</v>
      </c>
      <c r="T11" s="58">
        <v>81</v>
      </c>
      <c r="X11" s="58" t="s">
        <v>304</v>
      </c>
      <c r="Z11" s="58" t="s">
        <v>305</v>
      </c>
      <c r="AJ11" s="58" t="s">
        <v>306</v>
      </c>
      <c r="AQ11" s="124" t="s">
        <v>307</v>
      </c>
      <c r="AR11" s="125">
        <v>9</v>
      </c>
    </row>
    <row r="12" spans="1:46" x14ac:dyDescent="0.25">
      <c r="C12" s="81" t="s">
        <v>203</v>
      </c>
      <c r="D12" s="55" t="s">
        <v>308</v>
      </c>
      <c r="L12" s="54" t="s">
        <v>309</v>
      </c>
      <c r="M12" s="55" t="s">
        <v>310</v>
      </c>
      <c r="O12" s="56">
        <v>11</v>
      </c>
      <c r="P12" s="57" t="s">
        <v>311</v>
      </c>
      <c r="Q12" s="57" t="s">
        <v>312</v>
      </c>
      <c r="R12" s="55" t="s">
        <v>172</v>
      </c>
      <c r="T12" s="58">
        <v>91</v>
      </c>
      <c r="X12" s="58" t="s">
        <v>313</v>
      </c>
      <c r="Z12" s="58" t="s">
        <v>314</v>
      </c>
      <c r="AJ12" s="58" t="s">
        <v>315</v>
      </c>
      <c r="AQ12" s="125" t="s">
        <v>316</v>
      </c>
      <c r="AR12" s="125">
        <v>10</v>
      </c>
    </row>
    <row r="13" spans="1:46" x14ac:dyDescent="0.25">
      <c r="C13" s="81" t="s">
        <v>317</v>
      </c>
      <c r="D13" s="55" t="s">
        <v>318</v>
      </c>
      <c r="L13" s="54" t="s">
        <v>319</v>
      </c>
      <c r="M13" s="55" t="s">
        <v>320</v>
      </c>
      <c r="O13" s="56">
        <v>12</v>
      </c>
      <c r="P13" s="57" t="s">
        <v>321</v>
      </c>
      <c r="Q13" s="57" t="s">
        <v>322</v>
      </c>
      <c r="R13" s="55" t="s">
        <v>153</v>
      </c>
      <c r="T13" s="61">
        <v>100</v>
      </c>
      <c r="X13" s="58" t="s">
        <v>323</v>
      </c>
      <c r="Z13" s="58" t="s">
        <v>324</v>
      </c>
      <c r="AJ13" s="58" t="s">
        <v>325</v>
      </c>
      <c r="AQ13" s="125" t="s">
        <v>326</v>
      </c>
      <c r="AR13" s="125">
        <v>11</v>
      </c>
    </row>
    <row r="14" spans="1:46" x14ac:dyDescent="0.25">
      <c r="C14" s="81" t="s">
        <v>317</v>
      </c>
      <c r="D14" s="55" t="s">
        <v>327</v>
      </c>
      <c r="L14" s="54" t="s">
        <v>328</v>
      </c>
      <c r="M14" s="55" t="s">
        <v>329</v>
      </c>
      <c r="O14" s="56">
        <v>13</v>
      </c>
      <c r="P14" s="57" t="s">
        <v>330</v>
      </c>
      <c r="Q14" s="57" t="s">
        <v>331</v>
      </c>
      <c r="R14" s="55" t="s">
        <v>172</v>
      </c>
      <c r="X14" s="58" t="s">
        <v>332</v>
      </c>
      <c r="Z14" s="58" t="s">
        <v>333</v>
      </c>
      <c r="AJ14" s="58" t="s">
        <v>334</v>
      </c>
      <c r="AQ14" s="125" t="s">
        <v>335</v>
      </c>
      <c r="AR14" s="125">
        <v>12</v>
      </c>
    </row>
    <row r="15" spans="1:46" x14ac:dyDescent="0.25">
      <c r="C15" s="81" t="s">
        <v>317</v>
      </c>
      <c r="D15" s="55" t="s">
        <v>336</v>
      </c>
      <c r="L15" s="54" t="s">
        <v>337</v>
      </c>
      <c r="M15" s="55" t="s">
        <v>338</v>
      </c>
      <c r="O15" s="56">
        <v>14</v>
      </c>
      <c r="P15" s="57" t="s">
        <v>339</v>
      </c>
      <c r="Q15" s="57" t="s">
        <v>340</v>
      </c>
      <c r="R15" s="55" t="s">
        <v>172</v>
      </c>
      <c r="X15" s="58" t="s">
        <v>341</v>
      </c>
      <c r="Z15" s="58" t="s">
        <v>107</v>
      </c>
      <c r="AJ15" s="58" t="s">
        <v>342</v>
      </c>
      <c r="AQ15" s="125" t="s">
        <v>343</v>
      </c>
      <c r="AR15" s="125">
        <v>13</v>
      </c>
    </row>
    <row r="16" spans="1:46" x14ac:dyDescent="0.25">
      <c r="C16" s="81" t="s">
        <v>317</v>
      </c>
      <c r="D16" s="55" t="s">
        <v>344</v>
      </c>
      <c r="L16" s="54" t="s">
        <v>345</v>
      </c>
      <c r="M16" s="55" t="s">
        <v>346</v>
      </c>
      <c r="O16" s="56">
        <v>15</v>
      </c>
      <c r="P16" s="57" t="s">
        <v>347</v>
      </c>
      <c r="Q16" s="57" t="s">
        <v>348</v>
      </c>
      <c r="R16" s="55" t="s">
        <v>153</v>
      </c>
      <c r="X16" s="58" t="s">
        <v>349</v>
      </c>
      <c r="Z16" s="58" t="s">
        <v>350</v>
      </c>
      <c r="AJ16" s="58" t="s">
        <v>351</v>
      </c>
      <c r="AQ16" s="125" t="s">
        <v>352</v>
      </c>
      <c r="AR16" s="125">
        <v>14</v>
      </c>
    </row>
    <row r="17" spans="3:44" x14ac:dyDescent="0.25">
      <c r="C17" s="81" t="s">
        <v>317</v>
      </c>
      <c r="D17" s="55" t="s">
        <v>353</v>
      </c>
      <c r="L17" s="54" t="s">
        <v>354</v>
      </c>
      <c r="M17" s="55" t="s">
        <v>355</v>
      </c>
      <c r="O17" s="56">
        <v>16</v>
      </c>
      <c r="P17" s="57" t="s">
        <v>356</v>
      </c>
      <c r="Q17" s="57" t="s">
        <v>357</v>
      </c>
      <c r="R17" s="55" t="s">
        <v>172</v>
      </c>
      <c r="X17" s="58" t="s">
        <v>358</v>
      </c>
      <c r="Z17" s="58" t="s">
        <v>359</v>
      </c>
      <c r="AJ17" s="58" t="s">
        <v>360</v>
      </c>
      <c r="AQ17" s="125" t="s">
        <v>361</v>
      </c>
      <c r="AR17" s="125">
        <v>15</v>
      </c>
    </row>
    <row r="18" spans="3:44" x14ac:dyDescent="0.25">
      <c r="C18" s="81" t="s">
        <v>317</v>
      </c>
      <c r="D18" s="55" t="s">
        <v>362</v>
      </c>
      <c r="L18" s="54" t="s">
        <v>363</v>
      </c>
      <c r="M18" s="55" t="s">
        <v>364</v>
      </c>
      <c r="O18" s="56">
        <v>17</v>
      </c>
      <c r="P18" s="57" t="s">
        <v>365</v>
      </c>
      <c r="Q18" s="57" t="s">
        <v>366</v>
      </c>
      <c r="R18" s="55" t="s">
        <v>172</v>
      </c>
      <c r="X18" s="58" t="s">
        <v>367</v>
      </c>
      <c r="Z18" s="58" t="s">
        <v>368</v>
      </c>
      <c r="AJ18" s="58" t="s">
        <v>369</v>
      </c>
      <c r="AQ18" s="125" t="s">
        <v>370</v>
      </c>
      <c r="AR18" s="125">
        <v>16</v>
      </c>
    </row>
    <row r="19" spans="3:44" x14ac:dyDescent="0.25">
      <c r="C19" s="81" t="s">
        <v>371</v>
      </c>
      <c r="D19" s="55" t="s">
        <v>372</v>
      </c>
      <c r="L19" s="54" t="s">
        <v>373</v>
      </c>
      <c r="M19" s="55" t="s">
        <v>374</v>
      </c>
      <c r="O19" s="56">
        <v>18</v>
      </c>
      <c r="P19" s="57" t="s">
        <v>375</v>
      </c>
      <c r="Q19" s="57" t="s">
        <v>376</v>
      </c>
      <c r="R19" s="55" t="s">
        <v>153</v>
      </c>
      <c r="X19" s="58" t="s">
        <v>377</v>
      </c>
      <c r="Z19" s="58" t="s">
        <v>378</v>
      </c>
      <c r="AJ19" s="58" t="s">
        <v>379</v>
      </c>
      <c r="AQ19" s="125" t="s">
        <v>380</v>
      </c>
      <c r="AR19" s="125">
        <v>17</v>
      </c>
    </row>
    <row r="20" spans="3:44" x14ac:dyDescent="0.25">
      <c r="C20" s="81" t="s">
        <v>371</v>
      </c>
      <c r="D20" s="55" t="s">
        <v>381</v>
      </c>
      <c r="L20" s="54" t="s">
        <v>382</v>
      </c>
      <c r="M20" s="55" t="s">
        <v>383</v>
      </c>
      <c r="O20" s="56">
        <v>19</v>
      </c>
      <c r="P20" s="57" t="s">
        <v>384</v>
      </c>
      <c r="Q20" s="57" t="s">
        <v>385</v>
      </c>
      <c r="R20" s="55" t="s">
        <v>153</v>
      </c>
      <c r="X20" s="58" t="s">
        <v>386</v>
      </c>
      <c r="Z20" s="58" t="s">
        <v>387</v>
      </c>
      <c r="AJ20" s="58" t="s">
        <v>388</v>
      </c>
      <c r="AQ20" s="125" t="s">
        <v>389</v>
      </c>
      <c r="AR20" s="125">
        <v>18</v>
      </c>
    </row>
    <row r="21" spans="3:44" x14ac:dyDescent="0.25">
      <c r="C21" s="81" t="s">
        <v>371</v>
      </c>
      <c r="D21" s="55" t="s">
        <v>390</v>
      </c>
      <c r="L21" s="54" t="s">
        <v>391</v>
      </c>
      <c r="M21" s="55" t="s">
        <v>392</v>
      </c>
      <c r="O21" s="56">
        <v>20</v>
      </c>
      <c r="P21" s="57" t="s">
        <v>393</v>
      </c>
      <c r="Q21" s="57"/>
      <c r="R21" s="55" t="s">
        <v>172</v>
      </c>
      <c r="X21" s="58" t="s">
        <v>394</v>
      </c>
      <c r="Z21" s="58" t="s">
        <v>395</v>
      </c>
      <c r="AJ21" s="58" t="s">
        <v>396</v>
      </c>
      <c r="AQ21" s="125" t="s">
        <v>397</v>
      </c>
      <c r="AR21" s="125">
        <v>19</v>
      </c>
    </row>
    <row r="22" spans="3:44" x14ac:dyDescent="0.25">
      <c r="C22" s="81" t="s">
        <v>371</v>
      </c>
      <c r="D22" s="55" t="s">
        <v>398</v>
      </c>
      <c r="L22" s="54" t="s">
        <v>399</v>
      </c>
      <c r="M22" s="55" t="s">
        <v>400</v>
      </c>
      <c r="O22" s="56">
        <v>21</v>
      </c>
      <c r="P22" s="57" t="s">
        <v>401</v>
      </c>
      <c r="Q22" s="57" t="s">
        <v>402</v>
      </c>
      <c r="R22" s="55" t="s">
        <v>172</v>
      </c>
      <c r="X22" s="58" t="s">
        <v>403</v>
      </c>
      <c r="Z22" s="58" t="s">
        <v>404</v>
      </c>
      <c r="AJ22" s="58" t="s">
        <v>405</v>
      </c>
      <c r="AQ22" s="125" t="s">
        <v>406</v>
      </c>
      <c r="AR22" s="125">
        <v>20</v>
      </c>
    </row>
    <row r="23" spans="3:44" x14ac:dyDescent="0.25">
      <c r="C23" s="81" t="s">
        <v>371</v>
      </c>
      <c r="D23" s="55" t="s">
        <v>407</v>
      </c>
      <c r="L23" s="54" t="s">
        <v>408</v>
      </c>
      <c r="M23" s="55" t="s">
        <v>409</v>
      </c>
      <c r="O23" s="56">
        <v>22</v>
      </c>
      <c r="P23" s="57" t="s">
        <v>410</v>
      </c>
      <c r="Q23" s="57" t="s">
        <v>411</v>
      </c>
      <c r="R23" s="55" t="s">
        <v>172</v>
      </c>
      <c r="X23" s="58" t="s">
        <v>412</v>
      </c>
      <c r="Z23" s="58" t="s">
        <v>413</v>
      </c>
      <c r="AJ23" s="58" t="s">
        <v>414</v>
      </c>
      <c r="AQ23" s="125" t="s">
        <v>415</v>
      </c>
      <c r="AR23" s="125">
        <v>21</v>
      </c>
    </row>
    <row r="24" spans="3:44" x14ac:dyDescent="0.25">
      <c r="C24" s="81" t="s">
        <v>371</v>
      </c>
      <c r="D24" s="55" t="s">
        <v>416</v>
      </c>
      <c r="L24" s="54" t="s">
        <v>417</v>
      </c>
      <c r="M24" s="55" t="s">
        <v>418</v>
      </c>
      <c r="O24" s="56">
        <v>23</v>
      </c>
      <c r="P24" s="57" t="s">
        <v>419</v>
      </c>
      <c r="Q24" s="57" t="s">
        <v>420</v>
      </c>
      <c r="R24" s="55" t="s">
        <v>153</v>
      </c>
      <c r="X24" s="58" t="s">
        <v>421</v>
      </c>
      <c r="Z24" s="58" t="s">
        <v>422</v>
      </c>
      <c r="AJ24" s="58" t="s">
        <v>423</v>
      </c>
      <c r="AQ24" s="125" t="s">
        <v>424</v>
      </c>
      <c r="AR24" s="125">
        <v>22</v>
      </c>
    </row>
    <row r="25" spans="3:44" x14ac:dyDescent="0.25">
      <c r="C25" s="81" t="s">
        <v>371</v>
      </c>
      <c r="D25" s="55" t="s">
        <v>425</v>
      </c>
      <c r="L25" s="54" t="s">
        <v>426</v>
      </c>
      <c r="M25" s="55" t="s">
        <v>427</v>
      </c>
      <c r="O25" s="56">
        <v>24</v>
      </c>
      <c r="P25" s="57" t="s">
        <v>428</v>
      </c>
      <c r="Q25" s="57" t="s">
        <v>429</v>
      </c>
      <c r="R25" s="55" t="s">
        <v>172</v>
      </c>
      <c r="X25" s="58" t="s">
        <v>430</v>
      </c>
      <c r="Z25" s="58" t="s">
        <v>431</v>
      </c>
      <c r="AJ25" s="58" t="s">
        <v>432</v>
      </c>
      <c r="AQ25" s="125" t="s">
        <v>433</v>
      </c>
      <c r="AR25" s="125">
        <v>23</v>
      </c>
    </row>
    <row r="26" spans="3:44" x14ac:dyDescent="0.25">
      <c r="C26" s="81" t="s">
        <v>371</v>
      </c>
      <c r="D26" s="55" t="s">
        <v>434</v>
      </c>
      <c r="L26" s="54" t="s">
        <v>435</v>
      </c>
      <c r="M26" s="55" t="s">
        <v>436</v>
      </c>
      <c r="O26" s="56">
        <v>25</v>
      </c>
      <c r="P26" s="57" t="s">
        <v>437</v>
      </c>
      <c r="Q26" s="57" t="s">
        <v>438</v>
      </c>
      <c r="R26" s="55" t="s">
        <v>172</v>
      </c>
      <c r="X26" s="58" t="s">
        <v>439</v>
      </c>
      <c r="Z26" s="58" t="s">
        <v>440</v>
      </c>
      <c r="AJ26" s="58" t="s">
        <v>441</v>
      </c>
      <c r="AQ26" s="125" t="s">
        <v>442</v>
      </c>
      <c r="AR26" s="125">
        <v>24</v>
      </c>
    </row>
    <row r="27" spans="3:44" x14ac:dyDescent="0.25">
      <c r="C27" s="81" t="s">
        <v>371</v>
      </c>
      <c r="D27" s="55" t="s">
        <v>443</v>
      </c>
      <c r="L27" s="54" t="s">
        <v>444</v>
      </c>
      <c r="M27" s="55" t="s">
        <v>445</v>
      </c>
      <c r="O27" s="56">
        <v>26</v>
      </c>
      <c r="P27" s="57" t="s">
        <v>446</v>
      </c>
      <c r="Q27" s="57" t="s">
        <v>447</v>
      </c>
      <c r="R27" s="55" t="s">
        <v>153</v>
      </c>
      <c r="X27" s="58" t="s">
        <v>448</v>
      </c>
      <c r="Z27" s="58" t="s">
        <v>449</v>
      </c>
      <c r="AJ27" s="58" t="s">
        <v>450</v>
      </c>
      <c r="AQ27" s="125" t="s">
        <v>451</v>
      </c>
      <c r="AR27" s="125">
        <v>25</v>
      </c>
    </row>
    <row r="28" spans="3:44" x14ac:dyDescent="0.25">
      <c r="C28" s="81" t="s">
        <v>452</v>
      </c>
      <c r="D28" s="55" t="s">
        <v>453</v>
      </c>
      <c r="L28" s="54" t="s">
        <v>454</v>
      </c>
      <c r="M28" s="55" t="s">
        <v>455</v>
      </c>
      <c r="O28" s="56">
        <v>27</v>
      </c>
      <c r="P28" s="57" t="s">
        <v>456</v>
      </c>
      <c r="Q28" s="57" t="s">
        <v>457</v>
      </c>
      <c r="R28" s="55" t="s">
        <v>172</v>
      </c>
      <c r="X28" s="58" t="s">
        <v>458</v>
      </c>
      <c r="Z28" s="58" t="s">
        <v>459</v>
      </c>
      <c r="AJ28" s="61" t="s">
        <v>460</v>
      </c>
      <c r="AQ28" s="125" t="s">
        <v>461</v>
      </c>
      <c r="AR28" s="125">
        <v>26</v>
      </c>
    </row>
    <row r="29" spans="3:44" x14ac:dyDescent="0.25">
      <c r="C29" s="81" t="s">
        <v>452</v>
      </c>
      <c r="D29" s="55" t="s">
        <v>462</v>
      </c>
      <c r="L29" s="54" t="s">
        <v>463</v>
      </c>
      <c r="M29" s="55" t="s">
        <v>464</v>
      </c>
      <c r="O29" s="56">
        <v>28</v>
      </c>
      <c r="P29" s="57" t="s">
        <v>465</v>
      </c>
      <c r="Q29" s="57" t="s">
        <v>466</v>
      </c>
      <c r="R29" s="55" t="s">
        <v>172</v>
      </c>
      <c r="X29" s="58" t="s">
        <v>467</v>
      </c>
      <c r="Z29" s="58" t="s">
        <v>468</v>
      </c>
      <c r="AQ29" s="125" t="s">
        <v>469</v>
      </c>
      <c r="AR29" s="125">
        <v>27</v>
      </c>
    </row>
    <row r="30" spans="3:44" x14ac:dyDescent="0.25">
      <c r="C30" s="81" t="s">
        <v>452</v>
      </c>
      <c r="D30" s="55" t="s">
        <v>470</v>
      </c>
      <c r="L30" s="54" t="s">
        <v>471</v>
      </c>
      <c r="M30" s="55" t="s">
        <v>472</v>
      </c>
      <c r="O30" s="56">
        <v>29</v>
      </c>
      <c r="P30" s="57" t="s">
        <v>473</v>
      </c>
      <c r="Q30" s="57" t="s">
        <v>474</v>
      </c>
      <c r="R30" s="55" t="s">
        <v>172</v>
      </c>
      <c r="X30" s="58" t="s">
        <v>475</v>
      </c>
      <c r="Z30" s="58" t="s">
        <v>476</v>
      </c>
      <c r="AQ30" s="125" t="s">
        <v>477</v>
      </c>
      <c r="AR30" s="125">
        <v>28</v>
      </c>
    </row>
    <row r="31" spans="3:44" x14ac:dyDescent="0.25">
      <c r="C31" s="81" t="s">
        <v>452</v>
      </c>
      <c r="D31" s="55" t="s">
        <v>478</v>
      </c>
      <c r="L31" s="54" t="s">
        <v>479</v>
      </c>
      <c r="M31" s="55" t="s">
        <v>480</v>
      </c>
      <c r="O31" s="56">
        <v>30</v>
      </c>
      <c r="P31" s="57" t="s">
        <v>481</v>
      </c>
      <c r="Q31" s="57" t="s">
        <v>482</v>
      </c>
      <c r="R31" s="55" t="s">
        <v>153</v>
      </c>
      <c r="X31" s="58" t="s">
        <v>483</v>
      </c>
      <c r="Z31" s="58" t="s">
        <v>484</v>
      </c>
      <c r="AQ31" s="125" t="s">
        <v>485</v>
      </c>
      <c r="AR31" s="125">
        <v>29</v>
      </c>
    </row>
  </sheetData>
  <mergeCells count="1">
    <mergeCell ref="AQ1:AR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PRODUIT</vt:lpstr>
      <vt:lpstr>FACTURE</vt:lpstr>
      <vt:lpstr>DETAILS</vt:lpstr>
      <vt:lpstr>DETAILS_Couleur</vt:lpstr>
      <vt:lpstr>FACTURE!Zone_d_impression</vt:lpstr>
    </vt:vector>
  </TitlesOfParts>
  <Manager>Laurent Mignot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Factuation</dc:title>
  <dc:subject>Stock</dc:subject>
  <dc:creator>Laurent Mignot</dc:creator>
  <cp:keywords>Gestion; Facturation; Stock; Inventaire</cp:keywords>
  <cp:lastModifiedBy>Laurent Mignot</cp:lastModifiedBy>
  <cp:lastPrinted>2016-02-15T01:10:40Z</cp:lastPrinted>
  <dcterms:created xsi:type="dcterms:W3CDTF">2016-02-13T16:54:11Z</dcterms:created>
  <dcterms:modified xsi:type="dcterms:W3CDTF">2016-02-16T12:56:06Z</dcterms:modified>
  <cp:category>Inventaire</cp:category>
</cp:coreProperties>
</file>