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tables/table2.xml" ContentType="application/vnd.openxmlformats-officedocument.spreadsheetml.table+xml"/>
  <Override PartName="/xl/printerSettings/printerSettings1.bin" ContentType="application/vnd.openxmlformats-officedocument.spreadsheetml.printerSettings"/>
  <Override PartName="/xl/drawings/drawing3.xml" ContentType="application/vnd.openxmlformats-officedocument.drawing+xml"/>
  <Override PartName="/xl/ctrlProps/ctrlProp1.xml" ContentType="application/vnd.ms-excel.controlproperties+xml"/>
  <Override PartName="/xl/printerSettings/printerSettings2.bin" ContentType="application/vnd.openxmlformats-officedocument.spreadsheetml.printerSettings"/>
  <Override PartName="/xl/drawings/drawing4.xml" ContentType="application/vnd.openxmlformats-officedocument.drawing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tables/table3.xml" ContentType="application/vnd.openxmlformats-officedocument.spreadsheetml.table+xml"/>
  <Override PartName="/xl/printerSettings/printerSettings3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B30410F-F142-6C75-8FE4-BCCB68B04300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ignot Laurent\Desktop\"/>
    </mc:Choice>
  </mc:AlternateContent>
  <bookViews>
    <workbookView xWindow="0" yWindow="0" windowWidth="17970" windowHeight="6480"/>
  </bookViews>
  <sheets>
    <sheet name="PRODUIT" sheetId="1" r:id="rId1"/>
    <sheet name="CLIENTS" sheetId="4" r:id="rId2"/>
    <sheet name="FACTURE" sheetId="2" r:id="rId3"/>
    <sheet name="SUIVI FACTURES" sheetId="3" r:id="rId4"/>
    <sheet name="DETAILS" sheetId="12" r:id="rId5"/>
  </sheets>
  <functionGroups builtInGroupCount="18"/>
  <externalReferences>
    <externalReference r:id="rId6"/>
  </externalReferences>
  <definedNames>
    <definedName name="BDD_DESIGNATION">OFFSET(PRODUIT!$B$2,,,COUNTA(PRODUIT!$B:$B)-1)</definedName>
    <definedName name="BDD_LISTE">OFFSET(PRODUIT!$B$2:$H$2,,,COUNTA(PRODUIT!$A:$A)-1)</definedName>
    <definedName name="BDD_LISTE_EQUI">OFFSET(PRODUIT!$O$2,,,COUNTA(PRODUIT!$O:$O)-1)</definedName>
    <definedName name="BDD_LISTE_REF">OFFSET(PRODUIT!$C$2:$F$2,,,COUNTA(PRODUIT!$C:$C)-1)</definedName>
    <definedName name="BDD_MAIN_D_ŒUVRE">OFFSET(PRODUIT!$Q$2,,,COUNTA(PRODUIT!$Q:$Q)-1)</definedName>
    <definedName name="CLIENT_SECTEUR_ACTIVITE">OFFSET(CLIENTS!$T$2,,,COUNTA(CLIENTS!$T:$T)-1)</definedName>
    <definedName name="CLIENTS_Adresse_e_mail">OFFSET(CLIENTS!$F$2,,,COUNTA(CLIENTS!$F:$F)-1)</definedName>
    <definedName name="CLIENTS_LISTE_CLIENTS">OFFSET(CLIENTS!$A$2,,,COUNTA(CLIENTS!$A:$A)-1)</definedName>
    <definedName name="CLIENTS_PLAGE_CLIENTS">OFFSET(CLIENTS!$A$2:$M$2,,,COUNTA(CLIENTS!$A:$A)-1)</definedName>
    <definedName name="CP">OFFSET(DETAILS!$C$2,,,COUNTA(DETAILS!$C:$C)-1)</definedName>
    <definedName name="DETAILS_APE">OFFSET(DETAILS!$L$2:$M$2,,,COUNTA(DETAILS!$L:$L)-1)</definedName>
    <definedName name="DETAILS_Banque">OFFSET(DETAILS!$Z$2,,,COUNTA(DETAILS!$Z:$Z)-1)</definedName>
    <definedName name="DETAILS_Code_APE">OFFSET(DETAILS!$L$2,,,COUNTA(DETAILS!$L:$L)-1)</definedName>
    <definedName name="DETAILS_Couleur">DETAILS!$H$2:$H$10</definedName>
    <definedName name="DETAILS_CP_VILLE">OFFSET(DETAILS!$C$2:$D$2,,,COUNTA(DETAILS!$D:$D)-1)</definedName>
    <definedName name="DETAILS_DELAI">OFFSET(DETAILS!$F$2,,,COUNTA(DETAILS!$F:$F)-1)</definedName>
    <definedName name="DETAILS_Pays">OFFSET(DETAILS!$X$2,,,COUNTA(DETAILS!$X:$X)-1)</definedName>
    <definedName name="DETAILS_Raison_Sociale">OFFSET(DETAILS!$V$2,,,COUNTA(DETAILS!$V:$V)-1)</definedName>
    <definedName name="DETAILS_Remise">OFFSET(DETAILS!$J$2,,,COUNTA(DETAILS!$J:$J)-1)</definedName>
    <definedName name="DETAILS_TVA">OFFSET(DETAILS!$A$2,,,COUNTA(DETAILS!$A:$A)-1)</definedName>
    <definedName name="ECHEANCIER_HT">OFFSET(SUIVI [1]FACTURES!$U$5,0,0,COUNTA(SUIVI [1]FACTURES!$U:$U)-1)</definedName>
    <definedName name="ECHEANCIER_MAJORATION_PAYEE">OFFSET(SUIVI [1]FACTURES!$L$5,0,0,COUNTA(SUIVI [1]FACTURES!$L:$L)-1)</definedName>
    <definedName name="ECHEANCIER_MONTANT_TTC">OFFSET(SUIVI [1]FACTURES!$E$5,0,0,COUNTA(SUIVI [1]FACTURES!$E:$E)-2)</definedName>
    <definedName name="ECHEANCIER_PLAGE">OFFSET(SUIVI [1]FACTURES!$A$5:$AI$5,0,0,COUNTA(SUIVI [1]FACTURES!$A:$A)-2)</definedName>
    <definedName name="ECHEANCIER_TVA_10">OFFSET(SUIVI [1]FACTURES!$S$5,0,0,COUNTA(SUIVI [1]FACTURES!$S:$S)-1)</definedName>
    <definedName name="ECHEANCIER_TVA_20">OFFSET(SUIVI [1]FACTURES!$T$5,0,0,COUNTA(SUIVI [1]FACTURES!$T:$T)-1)</definedName>
    <definedName name="ECHEANCIER_TVA_5_5">OFFSET(SUIVI [1]FACTURES!$Q$5,0,0,COUNTA(SUIVI [1]FACTURES!$Q:$Q)-1)</definedName>
    <definedName name="ECHEANCIER_TVA_7">OFFSET(SUIVI [1]FACTURES!$R$5,0,0,COUNTA(SUIVI [1]FACTURES!$R:$R)-1)</definedName>
    <definedName name="FACT">OFFSET('SUIVI FACTURES'!$B$5,,,COUNTA('SUIVI FACTURES'!$B:$B)-1)</definedName>
    <definedName name="H">HOUR(NOW())</definedName>
    <definedName name="J">TODAY()</definedName>
    <definedName name="M">MINUTE(NOW())</definedName>
    <definedName name="S">SECOND(NOW())</definedName>
    <definedName name="VILLE">OFFSET(DETAILS!$D$2,,,COUNTA(DETAILS!$D:$D)-1)</definedName>
    <definedName name="_xlnm.Print_Area" localSheetId="2">FACTURE!$C$1:$N$70</definedName>
    <definedName name="_xlnm.Print_Area" localSheetId="3">'SUIVI FACTURES'!$A$1:$AM$39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7" i="1" l="1"/>
  <c r="M27" i="1"/>
  <c r="L28" i="1"/>
  <c r="M28" i="1"/>
  <c r="U5" i="1"/>
  <c r="U9" i="1"/>
  <c r="U13" i="1"/>
  <c r="U17" i="1"/>
  <c r="U21" i="1"/>
  <c r="U25" i="1"/>
  <c r="L2" i="1"/>
  <c r="L3" i="1"/>
  <c r="M3" i="1" s="1"/>
  <c r="L4" i="1"/>
  <c r="L5" i="1"/>
  <c r="M5" i="1" s="1"/>
  <c r="L6" i="1"/>
  <c r="L7" i="1"/>
  <c r="M7" i="1" s="1"/>
  <c r="L8" i="1"/>
  <c r="L9" i="1"/>
  <c r="M9" i="1" s="1"/>
  <c r="L10" i="1"/>
  <c r="L11" i="1"/>
  <c r="M11" i="1" s="1"/>
  <c r="L12" i="1"/>
  <c r="L13" i="1"/>
  <c r="M13" i="1" s="1"/>
  <c r="L14" i="1"/>
  <c r="L15" i="1"/>
  <c r="M15" i="1" s="1"/>
  <c r="L16" i="1"/>
  <c r="L17" i="1"/>
  <c r="M17" i="1" s="1"/>
  <c r="L18" i="1"/>
  <c r="L19" i="1"/>
  <c r="M19" i="1" s="1"/>
  <c r="L20" i="1"/>
  <c r="L21" i="1"/>
  <c r="M21" i="1" s="1"/>
  <c r="L22" i="1"/>
  <c r="L23" i="1"/>
  <c r="M23" i="1" s="1"/>
  <c r="L24" i="1"/>
  <c r="L25" i="1"/>
  <c r="M25" i="1" s="1"/>
  <c r="L26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U26" i="1" l="1"/>
  <c r="U24" i="1"/>
  <c r="U22" i="1"/>
  <c r="U20" i="1"/>
  <c r="U18" i="1"/>
  <c r="U16" i="1"/>
  <c r="U14" i="1"/>
  <c r="U12" i="1"/>
  <c r="U10" i="1"/>
  <c r="U8" i="1"/>
  <c r="U6" i="1"/>
  <c r="U4" i="1"/>
  <c r="U2" i="1"/>
  <c r="U27" i="1"/>
  <c r="V1" i="1" s="1"/>
  <c r="U23" i="1"/>
  <c r="U19" i="1"/>
  <c r="U15" i="1"/>
  <c r="U11" i="1"/>
  <c r="U7" i="1"/>
  <c r="U3" i="1"/>
  <c r="M26" i="1"/>
  <c r="M24" i="1"/>
  <c r="M22" i="1"/>
  <c r="M20" i="1"/>
  <c r="M18" i="1"/>
  <c r="M16" i="1"/>
  <c r="M14" i="1"/>
  <c r="M12" i="1"/>
  <c r="M10" i="1"/>
  <c r="M8" i="1"/>
  <c r="M6" i="1"/>
  <c r="M4" i="1"/>
  <c r="M2" i="1"/>
  <c r="V5" i="3" l="1"/>
  <c r="AJ22" i="3" l="1"/>
  <c r="AM22" i="3" s="1"/>
  <c r="X22" i="3"/>
  <c r="W22" i="3"/>
  <c r="V22" i="3"/>
  <c r="U22" i="3"/>
  <c r="K22" i="3"/>
  <c r="D22" i="3"/>
  <c r="AM21" i="3"/>
  <c r="AJ21" i="3"/>
  <c r="X21" i="3"/>
  <c r="W21" i="3"/>
  <c r="V21" i="3"/>
  <c r="U21" i="3"/>
  <c r="K21" i="3"/>
  <c r="D21" i="3"/>
  <c r="AJ20" i="3"/>
  <c r="AM20" i="3" s="1"/>
  <c r="X20" i="3"/>
  <c r="W20" i="3"/>
  <c r="V20" i="3"/>
  <c r="U20" i="3"/>
  <c r="K20" i="3"/>
  <c r="D20" i="3"/>
  <c r="AM19" i="3"/>
  <c r="AJ19" i="3"/>
  <c r="X19" i="3"/>
  <c r="W19" i="3"/>
  <c r="V19" i="3"/>
  <c r="U19" i="3"/>
  <c r="K19" i="3"/>
  <c r="D19" i="3"/>
  <c r="AJ18" i="3"/>
  <c r="AM18" i="3" s="1"/>
  <c r="X18" i="3"/>
  <c r="W18" i="3"/>
  <c r="V18" i="3"/>
  <c r="U18" i="3"/>
  <c r="K18" i="3"/>
  <c r="D18" i="3"/>
  <c r="AM17" i="3"/>
  <c r="AJ17" i="3"/>
  <c r="X17" i="3"/>
  <c r="W17" i="3"/>
  <c r="V17" i="3"/>
  <c r="U17" i="3"/>
  <c r="K17" i="3"/>
  <c r="D17" i="3"/>
  <c r="AJ16" i="3"/>
  <c r="AM16" i="3" s="1"/>
  <c r="X16" i="3"/>
  <c r="W16" i="3"/>
  <c r="V16" i="3"/>
  <c r="U16" i="3"/>
  <c r="K16" i="3"/>
  <c r="D16" i="3"/>
  <c r="AM15" i="3"/>
  <c r="AJ15" i="3"/>
  <c r="X15" i="3"/>
  <c r="W15" i="3"/>
  <c r="V15" i="3"/>
  <c r="U15" i="3"/>
  <c r="K15" i="3"/>
  <c r="D15" i="3"/>
  <c r="AJ14" i="3"/>
  <c r="AM14" i="3" s="1"/>
  <c r="X14" i="3"/>
  <c r="W14" i="3"/>
  <c r="V14" i="3"/>
  <c r="U14" i="3"/>
  <c r="K14" i="3"/>
  <c r="D14" i="3"/>
  <c r="AJ13" i="3"/>
  <c r="AM13" i="3" s="1"/>
  <c r="X13" i="3"/>
  <c r="W13" i="3"/>
  <c r="V13" i="3"/>
  <c r="U13" i="3"/>
  <c r="K13" i="3"/>
  <c r="D13" i="3"/>
  <c r="AJ12" i="3"/>
  <c r="AM12" i="3" s="1"/>
  <c r="X12" i="3"/>
  <c r="W12" i="3"/>
  <c r="V12" i="3"/>
  <c r="U12" i="3"/>
  <c r="K12" i="3"/>
  <c r="D12" i="3"/>
  <c r="AM11" i="3"/>
  <c r="AJ11" i="3"/>
  <c r="X11" i="3"/>
  <c r="W11" i="3"/>
  <c r="V11" i="3"/>
  <c r="U11" i="3"/>
  <c r="K11" i="3"/>
  <c r="D11" i="3"/>
  <c r="AJ10" i="3"/>
  <c r="AM10" i="3" s="1"/>
  <c r="X10" i="3"/>
  <c r="W10" i="3"/>
  <c r="V10" i="3"/>
  <c r="U10" i="3"/>
  <c r="K10" i="3"/>
  <c r="D10" i="3"/>
  <c r="AM9" i="3"/>
  <c r="AJ9" i="3"/>
  <c r="X9" i="3"/>
  <c r="W9" i="3"/>
  <c r="V9" i="3"/>
  <c r="U9" i="3"/>
  <c r="K9" i="3"/>
  <c r="D9" i="3"/>
  <c r="AJ8" i="3"/>
  <c r="AM8" i="3" s="1"/>
  <c r="X8" i="3"/>
  <c r="W8" i="3"/>
  <c r="V8" i="3"/>
  <c r="U8" i="3"/>
  <c r="K8" i="3"/>
  <c r="D8" i="3"/>
  <c r="AM7" i="3"/>
  <c r="AJ7" i="3"/>
  <c r="X7" i="3"/>
  <c r="W7" i="3"/>
  <c r="V7" i="3"/>
  <c r="U7" i="3"/>
  <c r="K7" i="3"/>
  <c r="D7" i="3"/>
  <c r="AJ6" i="3"/>
  <c r="AM6" i="3" s="1"/>
  <c r="X6" i="3"/>
  <c r="W6" i="3"/>
  <c r="V6" i="3"/>
  <c r="U6" i="3"/>
  <c r="K6" i="3"/>
  <c r="D6" i="3"/>
  <c r="AJ5" i="3"/>
  <c r="AM5" i="3" s="1"/>
  <c r="X5" i="3"/>
  <c r="W5" i="3"/>
  <c r="U5" i="3"/>
  <c r="K5" i="3"/>
  <c r="I5" i="3"/>
  <c r="N5" i="3" s="1"/>
  <c r="D5" i="3"/>
  <c r="B1" i="3"/>
  <c r="P1" i="2" s="1"/>
  <c r="J48" i="2"/>
  <c r="J49" i="2" s="1"/>
  <c r="J44" i="2"/>
  <c r="N44" i="2" s="1"/>
  <c r="C44" i="2"/>
  <c r="J43" i="2"/>
  <c r="C43" i="2"/>
  <c r="J42" i="2"/>
  <c r="C42" i="2"/>
  <c r="J41" i="2"/>
  <c r="C41" i="2"/>
  <c r="J40" i="2"/>
  <c r="C40" i="2"/>
  <c r="J39" i="2"/>
  <c r="C39" i="2"/>
  <c r="P36" i="2"/>
  <c r="R36" i="2" s="1"/>
  <c r="J36" i="2"/>
  <c r="N36" i="2" s="1"/>
  <c r="G36" i="2"/>
  <c r="C36" i="2"/>
  <c r="P35" i="2"/>
  <c r="R35" i="2" s="1"/>
  <c r="J35" i="2"/>
  <c r="N35" i="2" s="1"/>
  <c r="G35" i="2"/>
  <c r="C35" i="2"/>
  <c r="P34" i="2"/>
  <c r="R34" i="2" s="1"/>
  <c r="J34" i="2"/>
  <c r="N34" i="2" s="1"/>
  <c r="G34" i="2"/>
  <c r="C34" i="2"/>
  <c r="P33" i="2"/>
  <c r="R33" i="2" s="1"/>
  <c r="J33" i="2"/>
  <c r="N33" i="2" s="1"/>
  <c r="G33" i="2"/>
  <c r="C33" i="2"/>
  <c r="P32" i="2"/>
  <c r="R32" i="2" s="1"/>
  <c r="J32" i="2"/>
  <c r="N32" i="2" s="1"/>
  <c r="G32" i="2"/>
  <c r="C32" i="2"/>
  <c r="P31" i="2"/>
  <c r="R31" i="2" s="1"/>
  <c r="J31" i="2"/>
  <c r="N31" i="2" s="1"/>
  <c r="G31" i="2"/>
  <c r="C31" i="2"/>
  <c r="P30" i="2"/>
  <c r="R30" i="2" s="1"/>
  <c r="J30" i="2"/>
  <c r="N30" i="2" s="1"/>
  <c r="G30" i="2"/>
  <c r="C30" i="2"/>
  <c r="P29" i="2"/>
  <c r="R29" i="2" s="1"/>
  <c r="J29" i="2"/>
  <c r="N29" i="2" s="1"/>
  <c r="G29" i="2"/>
  <c r="C29" i="2"/>
  <c r="P28" i="2"/>
  <c r="R28" i="2" s="1"/>
  <c r="J28" i="2"/>
  <c r="N28" i="2" s="1"/>
  <c r="G28" i="2"/>
  <c r="C28" i="2"/>
  <c r="P27" i="2"/>
  <c r="R27" i="2" s="1"/>
  <c r="J27" i="2"/>
  <c r="G27" i="2"/>
  <c r="C27" i="2"/>
  <c r="P26" i="2"/>
  <c r="R26" i="2" s="1"/>
  <c r="J26" i="2"/>
  <c r="K26" i="2" s="1"/>
  <c r="G26" i="2"/>
  <c r="C26" i="2"/>
  <c r="P25" i="2"/>
  <c r="R25" i="2" s="1"/>
  <c r="J25" i="2"/>
  <c r="G25" i="2"/>
  <c r="C25" i="2"/>
  <c r="P24" i="2"/>
  <c r="R24" i="2" s="1"/>
  <c r="J24" i="2"/>
  <c r="G24" i="2"/>
  <c r="C24" i="2"/>
  <c r="P23" i="2"/>
  <c r="R23" i="2" s="1"/>
  <c r="J23" i="2"/>
  <c r="M23" i="2" s="1"/>
  <c r="G23" i="2"/>
  <c r="C23" i="2"/>
  <c r="K19" i="2"/>
  <c r="G19" i="2"/>
  <c r="K17" i="2"/>
  <c r="K16" i="2"/>
  <c r="K15" i="2"/>
  <c r="K14" i="2"/>
  <c r="K13" i="2"/>
  <c r="K12" i="2"/>
  <c r="L11" i="2"/>
  <c r="K11" i="2"/>
  <c r="K9" i="2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I13" i="3" l="1"/>
  <c r="F13" i="3" s="1"/>
  <c r="N3" i="2"/>
  <c r="M5" i="3"/>
  <c r="F5" i="3"/>
  <c r="O5" i="3"/>
  <c r="G5" i="3" s="1"/>
  <c r="H5" i="3" s="1"/>
  <c r="M24" i="2"/>
  <c r="M28" i="2"/>
  <c r="M29" i="2"/>
  <c r="M30" i="2"/>
  <c r="M31" i="2"/>
  <c r="M32" i="2"/>
  <c r="M33" i="2"/>
  <c r="M34" i="2"/>
  <c r="M35" i="2"/>
  <c r="M36" i="2"/>
  <c r="I22" i="3"/>
  <c r="I20" i="3"/>
  <c r="I18" i="3"/>
  <c r="I16" i="3"/>
  <c r="I14" i="3"/>
  <c r="I12" i="3"/>
  <c r="I10" i="3"/>
  <c r="I8" i="3"/>
  <c r="I6" i="3"/>
  <c r="F6" i="3" s="1"/>
  <c r="I7" i="3"/>
  <c r="I9" i="3"/>
  <c r="F9" i="3" s="1"/>
  <c r="I11" i="3"/>
  <c r="M13" i="3"/>
  <c r="I15" i="3"/>
  <c r="F15" i="3" s="1"/>
  <c r="I17" i="3"/>
  <c r="I19" i="3"/>
  <c r="F19" i="3" s="1"/>
  <c r="I21" i="3"/>
  <c r="K24" i="2"/>
  <c r="N24" i="2" s="1"/>
  <c r="N26" i="2"/>
  <c r="M26" i="2"/>
  <c r="K28" i="2"/>
  <c r="K29" i="2"/>
  <c r="K30" i="2"/>
  <c r="K31" i="2"/>
  <c r="K32" i="2"/>
  <c r="K33" i="2"/>
  <c r="K34" i="2"/>
  <c r="K35" i="2"/>
  <c r="K36" i="2"/>
  <c r="L5" i="3"/>
  <c r="P5" i="3" s="1"/>
  <c r="J50" i="2"/>
  <c r="L23" i="2"/>
  <c r="K23" i="2"/>
  <c r="N23" i="2" s="1"/>
  <c r="L24" i="2"/>
  <c r="K25" i="2"/>
  <c r="N25" i="2" s="1"/>
  <c r="M25" i="2"/>
  <c r="L26" i="2"/>
  <c r="K27" i="2"/>
  <c r="N27" i="2" s="1"/>
  <c r="M27" i="2"/>
  <c r="L28" i="2"/>
  <c r="L29" i="2"/>
  <c r="L30" i="2"/>
  <c r="L31" i="2"/>
  <c r="L32" i="2"/>
  <c r="L33" i="2"/>
  <c r="L34" i="2"/>
  <c r="L35" i="2"/>
  <c r="L36" i="2"/>
  <c r="K39" i="2"/>
  <c r="N39" i="2" s="1"/>
  <c r="M39" i="2"/>
  <c r="K40" i="2"/>
  <c r="N40" i="2" s="1"/>
  <c r="M40" i="2"/>
  <c r="K41" i="2"/>
  <c r="N41" i="2" s="1"/>
  <c r="M41" i="2"/>
  <c r="K42" i="2"/>
  <c r="N42" i="2" s="1"/>
  <c r="M42" i="2"/>
  <c r="K43" i="2"/>
  <c r="N43" i="2" s="1"/>
  <c r="M43" i="2"/>
  <c r="K44" i="2"/>
  <c r="M44" i="2"/>
  <c r="L25" i="2"/>
  <c r="L27" i="2"/>
  <c r="R37" i="2"/>
  <c r="L39" i="2"/>
  <c r="L40" i="2"/>
  <c r="L41" i="2"/>
  <c r="L42" i="2"/>
  <c r="L43" i="2"/>
  <c r="L44" i="2"/>
  <c r="N13" i="3" l="1"/>
  <c r="L13" i="3"/>
  <c r="P13" i="3" s="1"/>
  <c r="O13" i="3"/>
  <c r="G13" i="3"/>
  <c r="H13" i="3" s="1"/>
  <c r="O21" i="3"/>
  <c r="G21" i="3" s="1"/>
  <c r="M21" i="3"/>
  <c r="N21" i="3"/>
  <c r="L21" i="3"/>
  <c r="P21" i="3" s="1"/>
  <c r="O17" i="3"/>
  <c r="M17" i="3"/>
  <c r="N17" i="3"/>
  <c r="L17" i="3"/>
  <c r="P17" i="3" s="1"/>
  <c r="O11" i="3"/>
  <c r="M11" i="3"/>
  <c r="N11" i="3"/>
  <c r="L11" i="3"/>
  <c r="P11" i="3" s="1"/>
  <c r="O7" i="3"/>
  <c r="M7" i="3"/>
  <c r="N7" i="3"/>
  <c r="L7" i="3"/>
  <c r="P7" i="3" s="1"/>
  <c r="N8" i="3"/>
  <c r="L8" i="3"/>
  <c r="P8" i="3" s="1"/>
  <c r="M8" i="3"/>
  <c r="O8" i="3"/>
  <c r="F8" i="3"/>
  <c r="N12" i="3"/>
  <c r="L12" i="3"/>
  <c r="P12" i="3" s="1"/>
  <c r="M12" i="3"/>
  <c r="O12" i="3"/>
  <c r="F12" i="3"/>
  <c r="N16" i="3"/>
  <c r="L16" i="3"/>
  <c r="P16" i="3" s="1"/>
  <c r="M16" i="3"/>
  <c r="O16" i="3"/>
  <c r="F16" i="3"/>
  <c r="N20" i="3"/>
  <c r="L20" i="3"/>
  <c r="P20" i="3" s="1"/>
  <c r="M20" i="3"/>
  <c r="O20" i="3"/>
  <c r="G20" i="3" s="1"/>
  <c r="F20" i="3"/>
  <c r="F21" i="3"/>
  <c r="O19" i="3"/>
  <c r="G19" i="3" s="1"/>
  <c r="M19" i="3"/>
  <c r="N19" i="3"/>
  <c r="L19" i="3"/>
  <c r="P19" i="3" s="1"/>
  <c r="F17" i="3"/>
  <c r="O15" i="3"/>
  <c r="G15" i="3" s="1"/>
  <c r="M15" i="3"/>
  <c r="N15" i="3"/>
  <c r="L15" i="3"/>
  <c r="P15" i="3" s="1"/>
  <c r="F11" i="3"/>
  <c r="O9" i="3"/>
  <c r="G9" i="3" s="1"/>
  <c r="M9" i="3"/>
  <c r="N9" i="3"/>
  <c r="L9" i="3"/>
  <c r="P9" i="3" s="1"/>
  <c r="F7" i="3"/>
  <c r="N6" i="3"/>
  <c r="L6" i="3"/>
  <c r="P6" i="3" s="1"/>
  <c r="M6" i="3"/>
  <c r="O6" i="3"/>
  <c r="G6" i="3" s="1"/>
  <c r="H6" i="3" s="1"/>
  <c r="N10" i="3"/>
  <c r="L10" i="3"/>
  <c r="P10" i="3" s="1"/>
  <c r="M10" i="3"/>
  <c r="O10" i="3"/>
  <c r="F10" i="3"/>
  <c r="N14" i="3"/>
  <c r="L14" i="3"/>
  <c r="P14" i="3" s="1"/>
  <c r="M14" i="3"/>
  <c r="O14" i="3"/>
  <c r="F14" i="3"/>
  <c r="N18" i="3"/>
  <c r="L18" i="3"/>
  <c r="P18" i="3" s="1"/>
  <c r="M18" i="3"/>
  <c r="O18" i="3"/>
  <c r="F18" i="3"/>
  <c r="N22" i="3"/>
  <c r="L22" i="3"/>
  <c r="P22" i="3" s="1"/>
  <c r="M22" i="3"/>
  <c r="O22" i="3"/>
  <c r="G22" i="3" s="1"/>
  <c r="F22" i="3"/>
  <c r="N47" i="2"/>
  <c r="J52" i="2"/>
  <c r="J51" i="2"/>
  <c r="H9" i="3" l="1"/>
  <c r="H19" i="3"/>
  <c r="H22" i="3"/>
  <c r="H15" i="3"/>
  <c r="H20" i="3"/>
  <c r="H21" i="3"/>
  <c r="G18" i="3"/>
  <c r="G17" i="3"/>
  <c r="G10" i="3"/>
  <c r="G16" i="3"/>
  <c r="G8" i="3"/>
  <c r="G14" i="3"/>
  <c r="G12" i="3"/>
  <c r="G7" i="3"/>
  <c r="G11" i="3"/>
  <c r="N53" i="2"/>
  <c r="M53" i="2" s="1"/>
  <c r="N52" i="2"/>
  <c r="M52" i="2" s="1"/>
  <c r="N50" i="2"/>
  <c r="M50" i="2" s="1"/>
  <c r="N51" i="2"/>
  <c r="M51" i="2" s="1"/>
  <c r="H7" i="3" l="1"/>
  <c r="H16" i="3"/>
  <c r="H17" i="3"/>
  <c r="H14" i="3"/>
  <c r="H11" i="3"/>
  <c r="H12" i="3"/>
  <c r="H8" i="3"/>
  <c r="H10" i="3"/>
  <c r="H18" i="3"/>
  <c r="I57" i="2"/>
  <c r="N54" i="2"/>
  <c r="C63" i="2"/>
</calcChain>
</file>

<file path=xl/sharedStrings.xml><?xml version="1.0" encoding="utf-8"?>
<sst xmlns="http://schemas.openxmlformats.org/spreadsheetml/2006/main" count="977" uniqueCount="791">
  <si>
    <t>EQUIPEMENT</t>
  </si>
  <si>
    <t>DESIGNATION</t>
  </si>
  <si>
    <t>REFERENCE</t>
  </si>
  <si>
    <t>Prix HT</t>
  </si>
  <si>
    <t>Coeff revente</t>
  </si>
  <si>
    <t>Prix de Vente HT</t>
  </si>
  <si>
    <t>QUANTITE</t>
  </si>
  <si>
    <t>POIDS</t>
  </si>
  <si>
    <t>SEUIL</t>
  </si>
  <si>
    <t>ENTREE</t>
  </si>
  <si>
    <t>SORTIE</t>
  </si>
  <si>
    <t>STOCK</t>
  </si>
  <si>
    <t>ETAT</t>
  </si>
  <si>
    <t>Automobile I Huile</t>
  </si>
  <si>
    <t>10w40 marque 1</t>
  </si>
  <si>
    <t>HUIL-MOT-10401</t>
  </si>
  <si>
    <t>DEPLAC1</t>
  </si>
  <si>
    <t>5w50 marque 2</t>
  </si>
  <si>
    <t>HUIL-MOT-55002</t>
  </si>
  <si>
    <t>Boissons I 1</t>
  </si>
  <si>
    <t>DEPLAC2</t>
  </si>
  <si>
    <t>0w30 marque 1</t>
  </si>
  <si>
    <t>HUIL-MOT-30001</t>
  </si>
  <si>
    <t>Boissons I 2</t>
  </si>
  <si>
    <t>DEVIS</t>
  </si>
  <si>
    <t>Jus de fruits - 1</t>
  </si>
  <si>
    <t>BOIS-JSF-1054</t>
  </si>
  <si>
    <t>Boissons I 3</t>
  </si>
  <si>
    <t>FORFAIT-SUPP</t>
  </si>
  <si>
    <t>Jus de fruits - 2</t>
  </si>
  <si>
    <t>BOIS-JSF-1055</t>
  </si>
  <si>
    <t>Boissons I 4</t>
  </si>
  <si>
    <t>FORFAIT-INSTALL-SITE</t>
  </si>
  <si>
    <t>Jus de fruits - 3</t>
  </si>
  <si>
    <t>BOIS-JSF-1056</t>
  </si>
  <si>
    <t>Main D'œuvre I Deplacement</t>
  </si>
  <si>
    <t>FORFAIT-LIVRAISON</t>
  </si>
  <si>
    <t>Jus de fruits - 4</t>
  </si>
  <si>
    <t>BOIS-JSF-1057</t>
  </si>
  <si>
    <t>Main D'œuvre I Forfait</t>
  </si>
  <si>
    <t>LIV-DEB-SITE</t>
  </si>
  <si>
    <t>Déplacement inférieur à 6 KM. (facturé au KM Aller + Retour))</t>
  </si>
  <si>
    <t>Main D'œuvre I Livraison</t>
  </si>
  <si>
    <t>LIV-SITE</t>
  </si>
  <si>
    <t>Déplacement supérieur à 6 KM. (facturé au KM Aller + Retour))</t>
  </si>
  <si>
    <t>Main D'œuvre I Magasin</t>
  </si>
  <si>
    <t>FORFAIT-MAT-VENDU</t>
  </si>
  <si>
    <t>Devis préalable à une intervention / étude des problèmes</t>
  </si>
  <si>
    <t>Main D'œuvre I Sur Site</t>
  </si>
  <si>
    <t>FORFAIT-MAT</t>
  </si>
  <si>
    <t>Forfait ajouté pour prise en charge de votre matériel en EXPRESS</t>
  </si>
  <si>
    <t>Ordinateurs I  ASUS-EEETOP</t>
  </si>
  <si>
    <t>MO-SITE</t>
  </si>
  <si>
    <t>Forfait pour livraison, installation et paramètrage sur site</t>
  </si>
  <si>
    <t>Ordinateurs I  ASUS-PORTABLES</t>
  </si>
  <si>
    <t>MO-RAP-SITE</t>
  </si>
  <si>
    <t>Forfait pour livraison</t>
  </si>
  <si>
    <t>MO-SITE-FORFAIT-2H</t>
  </si>
  <si>
    <t>Livraison /déballage /mise en place du matériel sur site 1/4h (hors déplacement)</t>
  </si>
  <si>
    <t>Livraison à effectuer sur site (dépose des colis, hors déplacement)</t>
  </si>
  <si>
    <t>Forfait pour sur matériel vendu</t>
  </si>
  <si>
    <t>Forfait pour sur matériel</t>
  </si>
  <si>
    <t>Main d'oeuvre site : intervention sur site</t>
  </si>
  <si>
    <t>Main d'oeuvre site : intervention sur site EXPRESS (Dans la journée)</t>
  </si>
  <si>
    <t>Main d'oeuvre site : intervention sur site FORFAIT 2 Heures maxi (hors déplac)</t>
  </si>
  <si>
    <t>ASUS AIO 20" A4310-BB020T  i3-4160 4Go 500Go W7P64/8.1P64</t>
  </si>
  <si>
    <t>ASUS-A4310-BB020T</t>
  </si>
  <si>
    <t>ASUS AIO 21.5" A6410-BC021T  i3-4160 4Go 500Go W7P64/8.1P64</t>
  </si>
  <si>
    <t>ASUS-A6410-BC021T</t>
  </si>
  <si>
    <t>PORTABLE ASUS 10.1" T100CHI-FG004P  Z3775 2Go 64GoSSD WiFin/BT Win8.1Pro32</t>
  </si>
  <si>
    <t>ASUS-T100CHI-FG004P</t>
  </si>
  <si>
    <t>PORTABLE ASUS 10.1" T100HA-FU002T  Z8500 2Go 32GoSSD WiFin/BT Win10-32</t>
  </si>
  <si>
    <t>ASUS-T100HA-FU002T</t>
  </si>
  <si>
    <t>PORTABLE ASUS 10.1" T100HA-FU004T  Z8500 2Go 32GoSSD WiFin/BT Win10-64</t>
  </si>
  <si>
    <t>ASUS-T100HA-FU004T</t>
  </si>
  <si>
    <t>Vitrage I AIXAM</t>
  </si>
  <si>
    <t>Lunette Verte Solextra Chauffante pour AIXAM CITY 11 Tous les Modèles</t>
  </si>
  <si>
    <t>CITY 16</t>
  </si>
  <si>
    <t>Nom de la société (ou logo)</t>
  </si>
  <si>
    <t>Couleur</t>
  </si>
  <si>
    <t>Bleu</t>
  </si>
  <si>
    <t>17/12/2015</t>
  </si>
  <si>
    <t>FACTURE</t>
  </si>
  <si>
    <t>Facture n°</t>
  </si>
  <si>
    <t>Date</t>
  </si>
  <si>
    <t>Facturé à</t>
  </si>
  <si>
    <t>Nom</t>
  </si>
  <si>
    <t>Adresse</t>
  </si>
  <si>
    <t>Code postal - Ville</t>
  </si>
  <si>
    <t>Adresse e-mail</t>
  </si>
  <si>
    <t>Téléphone</t>
  </si>
  <si>
    <t>Fax</t>
  </si>
  <si>
    <t>Mobile</t>
  </si>
  <si>
    <t xml:space="preserve">No TVA : </t>
  </si>
  <si>
    <t>SECTEUR D'ACTIVITE :</t>
  </si>
  <si>
    <t xml:space="preserve">CONTACT : </t>
  </si>
  <si>
    <t xml:space="preserve">SIRET : </t>
  </si>
  <si>
    <t>FRAIS DE PORT</t>
  </si>
  <si>
    <t>Désignation</t>
  </si>
  <si>
    <t>POIDS U</t>
  </si>
  <si>
    <t>TOTAL</t>
  </si>
  <si>
    <t>Référence</t>
  </si>
  <si>
    <t>Qté</t>
  </si>
  <si>
    <t>% TVA</t>
  </si>
  <si>
    <t>Prix unitaire HT</t>
  </si>
  <si>
    <t>Prix unitaire TTC</t>
  </si>
  <si>
    <t>Total HT</t>
  </si>
  <si>
    <t>Total TVA</t>
  </si>
  <si>
    <t>Total TTC</t>
  </si>
  <si>
    <t>MAIN D'ŒUVRE</t>
  </si>
  <si>
    <t>Indemnité forfaitaire pour frais de recouvrement en cas de retard de paiement : 40 €</t>
  </si>
  <si>
    <t>Nos conditions de vente ne prévoient pas d'escompte pour paiement anticipé.</t>
  </si>
  <si>
    <t>Coordonnées bancaires</t>
  </si>
  <si>
    <t>REMISE</t>
  </si>
  <si>
    <t>Frais de port</t>
  </si>
  <si>
    <t>Toute palette 'EURO' livrée devra être échangée contre une palette du même type, faute de quoi un supplément de 12,50 € sera facturé</t>
  </si>
  <si>
    <t>Date du jour</t>
  </si>
  <si>
    <t>Taux d’intérêt légal</t>
  </si>
  <si>
    <t>Raison sociale</t>
  </si>
  <si>
    <t>N° facture</t>
  </si>
  <si>
    <t>Date facture</t>
  </si>
  <si>
    <t>Date d'échéance</t>
  </si>
  <si>
    <t>Montant TTC</t>
  </si>
  <si>
    <t>Nbre de Jours en dépassement</t>
  </si>
  <si>
    <t>Majoration</t>
  </si>
  <si>
    <t>Solde restant dû</t>
  </si>
  <si>
    <t>▼  Réglée  ▼</t>
  </si>
  <si>
    <t>Date du Règlement</t>
  </si>
  <si>
    <t>Montant Total Payé</t>
  </si>
  <si>
    <t>Majoration Payée</t>
  </si>
  <si>
    <t xml:space="preserve">Première relance </t>
  </si>
  <si>
    <t xml:space="preserve">Deuxième relance </t>
  </si>
  <si>
    <t xml:space="preserve">Troisième relance </t>
  </si>
  <si>
    <t>Observations</t>
  </si>
  <si>
    <t>TVA 5,5</t>
  </si>
  <si>
    <t>TVA 7</t>
  </si>
  <si>
    <t>TVA 10</t>
  </si>
  <si>
    <t>TVA 20</t>
  </si>
  <si>
    <t>HT</t>
  </si>
  <si>
    <t>CP</t>
  </si>
  <si>
    <t>VILLE</t>
  </si>
  <si>
    <t>MODE DE PAIEMENT</t>
  </si>
  <si>
    <t>TITULAIRE DU COMPTE</t>
  </si>
  <si>
    <t>N° DE CHEQUE / DOMICILIATION</t>
  </si>
  <si>
    <t>TRANSACTION</t>
  </si>
  <si>
    <t>LIBELLE / ADRESSE MAIL</t>
  </si>
  <si>
    <t>CODE BANQUE</t>
  </si>
  <si>
    <t>CODE GUICHET</t>
  </si>
  <si>
    <t>NUMERO DE COMPTE</t>
  </si>
  <si>
    <t>CLE RIB</t>
  </si>
  <si>
    <t>CODE BIC/SWIFT</t>
  </si>
  <si>
    <t>CODE IBAN</t>
  </si>
  <si>
    <t>CHECKBOX</t>
  </si>
  <si>
    <t>Paiement Comptant</t>
  </si>
  <si>
    <t>Paiement Différé</t>
  </si>
  <si>
    <t>CALCUL</t>
  </si>
  <si>
    <t>FACT-1</t>
  </si>
  <si>
    <t>ESPECES</t>
  </si>
  <si>
    <t>FACT-2</t>
  </si>
  <si>
    <t>VIREMENT</t>
  </si>
  <si>
    <t>Fred</t>
  </si>
  <si>
    <t>Lille</t>
  </si>
  <si>
    <t>X5444</t>
  </si>
  <si>
    <t>BNP Paris Bas</t>
  </si>
  <si>
    <t>BNPAFRPPLPD</t>
  </si>
  <si>
    <t>FR7630004022490001094179184</t>
  </si>
  <si>
    <t>FACT-3</t>
  </si>
  <si>
    <t>FACT-4</t>
  </si>
  <si>
    <t>FACT-5</t>
  </si>
  <si>
    <t>FACT-6</t>
  </si>
  <si>
    <t>FACT-7</t>
  </si>
  <si>
    <t>Crédit Agricole</t>
  </si>
  <si>
    <t>FACT-8</t>
  </si>
  <si>
    <t>FACT-9</t>
  </si>
  <si>
    <t>FACT-10</t>
  </si>
  <si>
    <t>FACT-11</t>
  </si>
  <si>
    <t>FACT-12</t>
  </si>
  <si>
    <t>FACT-13</t>
  </si>
  <si>
    <t>FACT-14</t>
  </si>
  <si>
    <t>FACT-15</t>
  </si>
  <si>
    <t>FACT-16</t>
  </si>
  <si>
    <t>FACT-17</t>
  </si>
  <si>
    <t>FACT-18</t>
  </si>
  <si>
    <t>Code postal</t>
  </si>
  <si>
    <t xml:space="preserve">Ville </t>
  </si>
  <si>
    <t>N° TVA</t>
  </si>
  <si>
    <t>Code Client</t>
  </si>
  <si>
    <t>Contact Principal</t>
  </si>
  <si>
    <t>Numéro SIREN</t>
  </si>
  <si>
    <t>Numéro SIRET</t>
  </si>
  <si>
    <t>Secteur d'activité</t>
  </si>
  <si>
    <t>ST CLOUD</t>
  </si>
  <si>
    <t>01 46 02 09 09</t>
  </si>
  <si>
    <t>FR30 344 772 538</t>
  </si>
  <si>
    <t>01 46 02 49 08</t>
  </si>
  <si>
    <t>ALCOOL</t>
  </si>
  <si>
    <t>PARIS 17</t>
  </si>
  <si>
    <t>01 48 16 27 83</t>
  </si>
  <si>
    <t>FR68 524 986 361</t>
  </si>
  <si>
    <t>ALIMENTAIRE</t>
  </si>
  <si>
    <t>NANTES CEDEX 4</t>
  </si>
  <si>
    <t>02 40 46 41 42</t>
  </si>
  <si>
    <t>FR86 333 722 155</t>
  </si>
  <si>
    <t>02 40 46 17 76</t>
  </si>
  <si>
    <t>AUTOMOBILE</t>
  </si>
  <si>
    <t>BOULOGNE BILLANCOURT</t>
  </si>
  <si>
    <t>01 55 38 95 70</t>
  </si>
  <si>
    <t>FR45 422 273 409</t>
  </si>
  <si>
    <t>01 55 38 95 71</t>
  </si>
  <si>
    <t>BOISSONS</t>
  </si>
  <si>
    <t>POLIGNY</t>
  </si>
  <si>
    <t>03 84 73 70 10</t>
  </si>
  <si>
    <t>FR51 409 065 406</t>
  </si>
  <si>
    <t>03 84 73 10 10</t>
  </si>
  <si>
    <t>BOUCHERIE</t>
  </si>
  <si>
    <t>WEYERSHEIM</t>
  </si>
  <si>
    <t>03 88 68 13 14</t>
  </si>
  <si>
    <t>FR34 316 466 937</t>
  </si>
  <si>
    <t>03 88 68 10 56</t>
  </si>
  <si>
    <t>BOULANGERIE</t>
  </si>
  <si>
    <t>LILLE</t>
  </si>
  <si>
    <t>08 10 34 34 04</t>
  </si>
  <si>
    <t>FR71 327 327 037</t>
  </si>
  <si>
    <t>08 10 34 34 01</t>
  </si>
  <si>
    <t>CONSOMMABLES</t>
  </si>
  <si>
    <t>MACON</t>
  </si>
  <si>
    <t>03 85 29 11 74</t>
  </si>
  <si>
    <t>FR86 411 434 384</t>
  </si>
  <si>
    <t>03 85 34 63 28</t>
  </si>
  <si>
    <t>ELECTRONIQUE</t>
  </si>
  <si>
    <t>PARIS LA DEFENSE CEDEX</t>
  </si>
  <si>
    <t>02 40 41 00 00</t>
  </si>
  <si>
    <t>FR55 854 800 745</t>
  </si>
  <si>
    <t>EQUIPEMENTS</t>
  </si>
  <si>
    <t>LE POINCONNET</t>
  </si>
  <si>
    <t>02 54 29 78 33</t>
  </si>
  <si>
    <t>FR74 434 403 689</t>
  </si>
  <si>
    <t>02 54 36 79 08</t>
  </si>
  <si>
    <t>JARDINERIE</t>
  </si>
  <si>
    <t>VAULX EN VELIN</t>
  </si>
  <si>
    <t>04 78 69 34 45</t>
  </si>
  <si>
    <t>FR32 450 707 047</t>
  </si>
  <si>
    <t>04 72 76 29 14</t>
  </si>
  <si>
    <t>LINGERIE</t>
  </si>
  <si>
    <t>VANNES</t>
  </si>
  <si>
    <t>02 97 42 77 53</t>
  </si>
  <si>
    <t>FR96 514 020 197</t>
  </si>
  <si>
    <t>02 97 69 11 14</t>
  </si>
  <si>
    <t>LOISIRS</t>
  </si>
  <si>
    <t>EPINAL CEDEX</t>
  </si>
  <si>
    <t>03 29 69 10 10</t>
  </si>
  <si>
    <t>FR49 398 149 187</t>
  </si>
  <si>
    <t>03 29 35 10 15</t>
  </si>
  <si>
    <t>POISSONNERIE</t>
  </si>
  <si>
    <t>LIMONEST</t>
  </si>
  <si>
    <t>04 78 66 38 00</t>
  </si>
  <si>
    <t>FR22 316 807 015</t>
  </si>
  <si>
    <t>04 78 66 38 05</t>
  </si>
  <si>
    <t>PRODUITS D'ACCUEIL</t>
  </si>
  <si>
    <t>ARGENTEUIL CEDEX</t>
  </si>
  <si>
    <t>01 34 34 47 74</t>
  </si>
  <si>
    <t>FR22 421 253 899</t>
  </si>
  <si>
    <t>01 34 34 47 75</t>
  </si>
  <si>
    <t>PROMOTIONNELS</t>
  </si>
  <si>
    <t>ST LAURENT DE LA PLAINE</t>
  </si>
  <si>
    <t>02 41 74 37 77</t>
  </si>
  <si>
    <t>FR23 440 068 666</t>
  </si>
  <si>
    <t>02 41 74 37 78</t>
  </si>
  <si>
    <t>SERVICES</t>
  </si>
  <si>
    <t>EYGALIERES</t>
  </si>
  <si>
    <t>04 90 95 06 36</t>
  </si>
  <si>
    <t>FR12 773 801 204</t>
  </si>
  <si>
    <t>04 90 95 17 97</t>
  </si>
  <si>
    <t>SURGELES</t>
  </si>
  <si>
    <t>WILLEMS</t>
  </si>
  <si>
    <t>03 20 61 72 22</t>
  </si>
  <si>
    <t>FR65 301 420 469</t>
  </si>
  <si>
    <t>03 20 61 76 67</t>
  </si>
  <si>
    <t>TRANSPORT</t>
  </si>
  <si>
    <t>BOBIGNY CEDEX</t>
  </si>
  <si>
    <t>01 41 83 57 04</t>
  </si>
  <si>
    <t>FR94 572 141 885</t>
  </si>
  <si>
    <t>01 41 83 57 57</t>
  </si>
  <si>
    <t>GRIGNY</t>
  </si>
  <si>
    <t>01 69 02 56 98</t>
  </si>
  <si>
    <t>FR78 433 123 452</t>
  </si>
  <si>
    <t>01 69 02 55 67</t>
  </si>
  <si>
    <t>GRIGNY CEDEX</t>
  </si>
  <si>
    <t>01 69 02 55 76</t>
  </si>
  <si>
    <t>FR47 424 460 889</t>
  </si>
  <si>
    <t>01 69 02 57 05</t>
  </si>
  <si>
    <t>SCEAUX</t>
  </si>
  <si>
    <t>01 79 46 36 18</t>
  </si>
  <si>
    <t>FR08 515 053 056 00021</t>
  </si>
  <si>
    <t>01 78 42 35 86</t>
  </si>
  <si>
    <t>PARIS 15</t>
  </si>
  <si>
    <t>05 55 31 46 39</t>
  </si>
  <si>
    <t>FR81 443 681 903</t>
  </si>
  <si>
    <t>05 55 31 46 31</t>
  </si>
  <si>
    <t>BAUDIGNECOURT</t>
  </si>
  <si>
    <t>03 29 89 61 06</t>
  </si>
  <si>
    <t>FR86 486 120 116</t>
  </si>
  <si>
    <t>03 29 89 77 01</t>
  </si>
  <si>
    <t>PARTHENAY</t>
  </si>
  <si>
    <t>04 93 46 91 31</t>
  </si>
  <si>
    <t>FR83 337 604 482</t>
  </si>
  <si>
    <t>04 93 46 91 33</t>
  </si>
  <si>
    <t>Code Postal - Ville</t>
  </si>
  <si>
    <t>Email</t>
  </si>
  <si>
    <t>Taux des pénalités exigibles à compter du 2 mars 2015 en l'absence de paiement : XXX %</t>
  </si>
  <si>
    <t>RIB : 30004 2249 10941791  84</t>
  </si>
  <si>
    <t>IBAN : FR76 30 00402 24900 010 941 791 84</t>
  </si>
  <si>
    <t>BIC : BNPAFRPPLPD</t>
  </si>
  <si>
    <t xml:space="preserve"> 350000 €,  RCS  AAAAA XXX XXX XXX XXX</t>
  </si>
  <si>
    <t>SIREN 453179541</t>
  </si>
  <si>
    <t xml:space="preserve"> FR21 453 179 541</t>
  </si>
  <si>
    <t>Sarl Riethys</t>
  </si>
  <si>
    <t>31, rue de la république</t>
  </si>
  <si>
    <t>27000 - Evreux</t>
  </si>
  <si>
    <t>riethys.compagny@orange.fr</t>
  </si>
  <si>
    <t>04 54 59 87 54</t>
  </si>
  <si>
    <t>04 54 59 87 55</t>
  </si>
  <si>
    <t/>
  </si>
  <si>
    <t>06 81 87 95 21</t>
  </si>
  <si>
    <t>Titulaire du compte : Dominique Dupond</t>
  </si>
  <si>
    <t>Taux TVA</t>
  </si>
  <si>
    <t xml:space="preserve">Délai </t>
  </si>
  <si>
    <t>Couleurs</t>
  </si>
  <si>
    <t>Remise</t>
  </si>
  <si>
    <t>Code APE</t>
  </si>
  <si>
    <t>Libéllé</t>
  </si>
  <si>
    <t>Dpt</t>
  </si>
  <si>
    <t>Dept</t>
  </si>
  <si>
    <t>Préfecture</t>
  </si>
  <si>
    <t>Info à afficher</t>
  </si>
  <si>
    <t>Poids Limite</t>
  </si>
  <si>
    <t>Raison Sociale</t>
  </si>
  <si>
    <t>Pays</t>
  </si>
  <si>
    <t>Banque</t>
  </si>
  <si>
    <t>Etat Lot</t>
  </si>
  <si>
    <t>Etat Article</t>
  </si>
  <si>
    <t>Retrait Produit</t>
  </si>
  <si>
    <t>Quarantaine</t>
  </si>
  <si>
    <t>Categories</t>
  </si>
  <si>
    <t>Code Fournisseur</t>
  </si>
  <si>
    <t>Fournisseurs</t>
  </si>
  <si>
    <t>Civilité</t>
  </si>
  <si>
    <t>VERIFICATION IBAN</t>
  </si>
  <si>
    <t>01000</t>
  </si>
  <si>
    <t>Bourg En Bresse</t>
  </si>
  <si>
    <t>Violet</t>
  </si>
  <si>
    <t>0111Z</t>
  </si>
  <si>
    <t>Culture de céréales (à l'exception du riz), de légumineuses et de graines oléagineuses</t>
  </si>
  <si>
    <t>Ain</t>
  </si>
  <si>
    <t>BOURG-EN-BRESSE</t>
  </si>
  <si>
    <t>Transports Alloin</t>
  </si>
  <si>
    <t>Association</t>
  </si>
  <si>
    <t>Afghanistan</t>
  </si>
  <si>
    <t>AXA</t>
  </si>
  <si>
    <t>Colis abîmé</t>
  </si>
  <si>
    <t>DLC dépassée</t>
  </si>
  <si>
    <t>Biologique</t>
  </si>
  <si>
    <t>Dangereux</t>
  </si>
  <si>
    <t>Accessoires</t>
  </si>
  <si>
    <t>CO</t>
  </si>
  <si>
    <t>Conditionneur</t>
  </si>
  <si>
    <t>Monsieur</t>
  </si>
  <si>
    <t>0</t>
  </si>
  <si>
    <t>Brou</t>
  </si>
  <si>
    <t>Rose</t>
  </si>
  <si>
    <t>0112Z</t>
  </si>
  <si>
    <t>Culture du riz</t>
  </si>
  <si>
    <t>Aisne</t>
  </si>
  <si>
    <t>LAON</t>
  </si>
  <si>
    <t>Transports Dachser</t>
  </si>
  <si>
    <t>EI</t>
  </si>
  <si>
    <t>Afrique du Sud</t>
  </si>
  <si>
    <t>Bank of America</t>
  </si>
  <si>
    <t>Colis déchiré</t>
  </si>
  <si>
    <t>Emballage non conforme</t>
  </si>
  <si>
    <t>Crise</t>
  </si>
  <si>
    <t>Non</t>
  </si>
  <si>
    <t>Alcool</t>
  </si>
  <si>
    <t>DI</t>
  </si>
  <si>
    <t>Distributeur</t>
  </si>
  <si>
    <t>Madame</t>
  </si>
  <si>
    <t>1</t>
  </si>
  <si>
    <t>St Denis Les Bourg</t>
  </si>
  <si>
    <t>Rouge</t>
  </si>
  <si>
    <t>0113Z</t>
  </si>
  <si>
    <t>Culture de légumes, de melons, de racines et de tubercules</t>
  </si>
  <si>
    <t>Allier</t>
  </si>
  <si>
    <t>MOULINS</t>
  </si>
  <si>
    <t>EIRL</t>
  </si>
  <si>
    <t>Albanie</t>
  </si>
  <si>
    <t>Bank of China</t>
  </si>
  <si>
    <t>Colis écrasé</t>
  </si>
  <si>
    <t>Indéterminé</t>
  </si>
  <si>
    <t>Interdiction</t>
  </si>
  <si>
    <t>Rappel Fournisseur</t>
  </si>
  <si>
    <t>Boisson</t>
  </si>
  <si>
    <t>FC</t>
  </si>
  <si>
    <t>Client</t>
  </si>
  <si>
    <t>Mademoiselle</t>
  </si>
  <si>
    <t>2</t>
  </si>
  <si>
    <t>01090</t>
  </si>
  <si>
    <t>Amareins</t>
  </si>
  <si>
    <t>Orange</t>
  </si>
  <si>
    <t>0114Z</t>
  </si>
  <si>
    <t>Culture de la canne à sucre</t>
  </si>
  <si>
    <t>Alpes Hte Provence</t>
  </si>
  <si>
    <t>DIGNE-LES-BAINS</t>
  </si>
  <si>
    <t>Eurl</t>
  </si>
  <si>
    <t>Algérie</t>
  </si>
  <si>
    <t>Bank of New York Mellon</t>
  </si>
  <si>
    <t>Colis non conforme</t>
  </si>
  <si>
    <t>Interdit à la Vente</t>
  </si>
  <si>
    <t>Manutention</t>
  </si>
  <si>
    <t>Réclamation</t>
  </si>
  <si>
    <t>Boucherie</t>
  </si>
  <si>
    <t>FN</t>
  </si>
  <si>
    <t>Fournisseur</t>
  </si>
  <si>
    <t>3</t>
  </si>
  <si>
    <t>Amareins Francheleins Ces</t>
  </si>
  <si>
    <t>Jaune</t>
  </si>
  <si>
    <t>0115Z</t>
  </si>
  <si>
    <t>Culture du tabac</t>
  </si>
  <si>
    <t>Hautes Alpes</t>
  </si>
  <si>
    <t>GAP</t>
  </si>
  <si>
    <t>S.A</t>
  </si>
  <si>
    <t>Allemagne</t>
  </si>
  <si>
    <t>Banques Populaires</t>
  </si>
  <si>
    <t>Colis non vérifié</t>
  </si>
  <si>
    <t>Manque d'information</t>
  </si>
  <si>
    <t>Mauvaise Gestion</t>
  </si>
  <si>
    <t>Vice caché</t>
  </si>
  <si>
    <t>Boulangerie</t>
  </si>
  <si>
    <t>IM</t>
  </si>
  <si>
    <t>Imprimeur</t>
  </si>
  <si>
    <t>4</t>
  </si>
  <si>
    <t>Cesseins</t>
  </si>
  <si>
    <t>Vert</t>
  </si>
  <si>
    <t>0116Z</t>
  </si>
  <si>
    <t>Culture de plantes à fibres</t>
  </si>
  <si>
    <t>Alpes Maritimes</t>
  </si>
  <si>
    <t>NICE</t>
  </si>
  <si>
    <t>Sarl</t>
  </si>
  <si>
    <t>Andorre</t>
  </si>
  <si>
    <t>Barclays</t>
  </si>
  <si>
    <t>Colis partiel</t>
  </si>
  <si>
    <t>Odeur suspect</t>
  </si>
  <si>
    <t>Mauvaise Référence</t>
  </si>
  <si>
    <t>Charcuterie</t>
  </si>
  <si>
    <t>IT</t>
  </si>
  <si>
    <t>Importateur</t>
  </si>
  <si>
    <t>5</t>
  </si>
  <si>
    <t>Genouilleux</t>
  </si>
  <si>
    <t>0119Z</t>
  </si>
  <si>
    <t>Autres cultures non permanentes</t>
  </si>
  <si>
    <t>Ardèche</t>
  </si>
  <si>
    <t>PRIVAS</t>
  </si>
  <si>
    <t>SAS</t>
  </si>
  <si>
    <t>Angleterre</t>
  </si>
  <si>
    <t>BNP Paribas</t>
  </si>
  <si>
    <t>Colis plein d'eau</t>
  </si>
  <si>
    <t>Perte,Vol</t>
  </si>
  <si>
    <t>Chaussures</t>
  </si>
  <si>
    <t>TR</t>
  </si>
  <si>
    <t>Transporteur</t>
  </si>
  <si>
    <t>6</t>
  </si>
  <si>
    <t>Guereins</t>
  </si>
  <si>
    <t>Marron</t>
  </si>
  <si>
    <t>0121Z</t>
  </si>
  <si>
    <t>Culture de la vigne</t>
  </si>
  <si>
    <t>Ardennes</t>
  </si>
  <si>
    <t>CHARLEVILLE-MEZIERES</t>
  </si>
  <si>
    <t>Mbs Transports Express</t>
  </si>
  <si>
    <t>SASU</t>
  </si>
  <si>
    <t>Angola</t>
  </si>
  <si>
    <t>Boursorama Banque</t>
  </si>
  <si>
    <t>RAS</t>
  </si>
  <si>
    <t>Problème Fournisseur</t>
  </si>
  <si>
    <t>Condiment</t>
  </si>
  <si>
    <t>VD</t>
  </si>
  <si>
    <t>Vente au détails</t>
  </si>
  <si>
    <t>7</t>
  </si>
  <si>
    <t>Lurcy</t>
  </si>
  <si>
    <t>Noir</t>
  </si>
  <si>
    <t>0122Z</t>
  </si>
  <si>
    <t>Culture de fruits tropicaux et subtropicaux</t>
  </si>
  <si>
    <t>Ariege</t>
  </si>
  <si>
    <t>FOIX</t>
  </si>
  <si>
    <t>SNC</t>
  </si>
  <si>
    <t>Arabie Saoudite</t>
  </si>
  <si>
    <t>BRED</t>
  </si>
  <si>
    <t>Visuel suspect</t>
  </si>
  <si>
    <t>Vandalisme</t>
  </si>
  <si>
    <t>Confiserie</t>
  </si>
  <si>
    <t>VG</t>
  </si>
  <si>
    <t>Vente en gros</t>
  </si>
  <si>
    <t>8</t>
  </si>
  <si>
    <t>Montceaux</t>
  </si>
  <si>
    <t>0123Z</t>
  </si>
  <si>
    <t>Culture d'agrumes</t>
  </si>
  <si>
    <t>Aube</t>
  </si>
  <si>
    <t>TROYES</t>
  </si>
  <si>
    <t>Argentine</t>
  </si>
  <si>
    <t>Caisse d'épargne</t>
  </si>
  <si>
    <t>Conserve</t>
  </si>
  <si>
    <t>9</t>
  </si>
  <si>
    <t>Montmerle Sur Saone</t>
  </si>
  <si>
    <t>0124Z</t>
  </si>
  <si>
    <t>Culture de fruits à pépins et à noyau</t>
  </si>
  <si>
    <t>Aude</t>
  </si>
  <si>
    <t>CARCASSONNE</t>
  </si>
  <si>
    <t>Arménie</t>
  </si>
  <si>
    <t>CIC</t>
  </si>
  <si>
    <t>Consoles</t>
  </si>
  <si>
    <t>A</t>
  </si>
  <si>
    <t>01100</t>
  </si>
  <si>
    <t>Apremont</t>
  </si>
  <si>
    <t>0125Z</t>
  </si>
  <si>
    <t>Culture d'autres fruits d'arbres ou d'arbustes et de fruits à coque</t>
  </si>
  <si>
    <t>Aveyron</t>
  </si>
  <si>
    <t>RODEZ</t>
  </si>
  <si>
    <t>Antigua-et-Barbuda</t>
  </si>
  <si>
    <t>Citigroup</t>
  </si>
  <si>
    <t>Dessert</t>
  </si>
  <si>
    <t>B</t>
  </si>
  <si>
    <t>Arbent</t>
  </si>
  <si>
    <t>0126Z</t>
  </si>
  <si>
    <t>Culture de fruits oléagineux</t>
  </si>
  <si>
    <t>Bouches du Rhône</t>
  </si>
  <si>
    <t>MARSEILLE--1ER-ARRONDISSEMENT</t>
  </si>
  <si>
    <t>Australie</t>
  </si>
  <si>
    <t>Commerzbank</t>
  </si>
  <si>
    <t>Divers</t>
  </si>
  <si>
    <t>C</t>
  </si>
  <si>
    <t>Bouvent</t>
  </si>
  <si>
    <t>0127Z</t>
  </si>
  <si>
    <t>Culture de plantes à boissons</t>
  </si>
  <si>
    <t>Calvados</t>
  </si>
  <si>
    <t>CAEN</t>
  </si>
  <si>
    <t>Autriche</t>
  </si>
  <si>
    <t>Droguerie</t>
  </si>
  <si>
    <t>D</t>
  </si>
  <si>
    <t>Geovreisset</t>
  </si>
  <si>
    <t>0128Z</t>
  </si>
  <si>
    <t>Culture de plantes à épices, aromatiques, médicinales et pharmaceutiques</t>
  </si>
  <si>
    <t>Cantal</t>
  </si>
  <si>
    <t>AURILLAC</t>
  </si>
  <si>
    <t>Azerbaïdjan</t>
  </si>
  <si>
    <t>Crédit du Nord</t>
  </si>
  <si>
    <t>Frais</t>
  </si>
  <si>
    <t>E</t>
  </si>
  <si>
    <t>Oyonnax</t>
  </si>
  <si>
    <t>0129Z</t>
  </si>
  <si>
    <t>Autres cultures permanentes</t>
  </si>
  <si>
    <t>Charente</t>
  </si>
  <si>
    <t>ANGOULEME</t>
  </si>
  <si>
    <t>Bahamas</t>
  </si>
  <si>
    <t>Crédit Mutuel</t>
  </si>
  <si>
    <t>Fromage</t>
  </si>
  <si>
    <t>F</t>
  </si>
  <si>
    <t>Veyziat</t>
  </si>
  <si>
    <t>0130Z</t>
  </si>
  <si>
    <t>Reproduction de plantes</t>
  </si>
  <si>
    <t>Charente Maritime</t>
  </si>
  <si>
    <t>LA ROCHELLE</t>
  </si>
  <si>
    <t>Bahreïn</t>
  </si>
  <si>
    <t>Credit Suisse</t>
  </si>
  <si>
    <t>Fruits secs</t>
  </si>
  <si>
    <t>G</t>
  </si>
  <si>
    <t>01110</t>
  </si>
  <si>
    <t>Aranc</t>
  </si>
  <si>
    <t>0141Z</t>
  </si>
  <si>
    <t>Élevage de vaches laitières</t>
  </si>
  <si>
    <t>Cher</t>
  </si>
  <si>
    <t>BOURGES</t>
  </si>
  <si>
    <t>Bangladesh</t>
  </si>
  <si>
    <t>Deutsche Bank</t>
  </si>
  <si>
    <t>Hifi / TV</t>
  </si>
  <si>
    <t>H</t>
  </si>
  <si>
    <t>Brenod</t>
  </si>
  <si>
    <t>0142Z</t>
  </si>
  <si>
    <t>Élevage d'autres bovins et de buffles</t>
  </si>
  <si>
    <t>Correze</t>
  </si>
  <si>
    <t>TULLE</t>
  </si>
  <si>
    <t>Barbade</t>
  </si>
  <si>
    <t>Dexia</t>
  </si>
  <si>
    <t>Hygiène</t>
  </si>
  <si>
    <t>I</t>
  </si>
  <si>
    <t>Champdor</t>
  </si>
  <si>
    <t>0143Z</t>
  </si>
  <si>
    <t>Élevage de chevaux et d'autres équidés</t>
  </si>
  <si>
    <t>Corse</t>
  </si>
  <si>
    <t>Belgique</t>
  </si>
  <si>
    <t>Goldman Sachs</t>
  </si>
  <si>
    <t>Jeux / Jouets</t>
  </si>
  <si>
    <t>J</t>
  </si>
  <si>
    <t>Corcelles</t>
  </si>
  <si>
    <t>0144Z</t>
  </si>
  <si>
    <t>Élevage de chameaux et d'autres camélidés</t>
  </si>
  <si>
    <t>Cote d'Or</t>
  </si>
  <si>
    <t>DIJON</t>
  </si>
  <si>
    <t>Belize</t>
  </si>
  <si>
    <t>GroupamaBanque</t>
  </si>
  <si>
    <t>Légumes</t>
  </si>
  <si>
    <t>K</t>
  </si>
  <si>
    <t>Corlier</t>
  </si>
  <si>
    <t>0145Z</t>
  </si>
  <si>
    <t>Élevage d'ovins et de caprins</t>
  </si>
  <si>
    <t>Cote d'Armor</t>
  </si>
  <si>
    <t>SAINT-BRIEUC</t>
  </si>
  <si>
    <t>Bénin</t>
  </si>
  <si>
    <t>HSBC</t>
  </si>
  <si>
    <t>Meubles</t>
  </si>
  <si>
    <t>L</t>
  </si>
  <si>
    <t>Cormaranche En Bugey</t>
  </si>
  <si>
    <t>0146Z</t>
  </si>
  <si>
    <t>Élevage de porcins</t>
  </si>
  <si>
    <t>Creuse</t>
  </si>
  <si>
    <t>GUERET</t>
  </si>
  <si>
    <t>Bhoutan</t>
  </si>
  <si>
    <t>ING Bank</t>
  </si>
  <si>
    <t>Pc</t>
  </si>
  <si>
    <t>M</t>
  </si>
  <si>
    <t>Hauteville Lompnes</t>
  </si>
  <si>
    <t>0147Z</t>
  </si>
  <si>
    <t>Élevage de volailles</t>
  </si>
  <si>
    <t>Dordogne</t>
  </si>
  <si>
    <t>PERIGUEUX</t>
  </si>
  <si>
    <t>Biélorussie</t>
  </si>
  <si>
    <t>JP Morgan Chase</t>
  </si>
  <si>
    <t>Poissonnerie</t>
  </si>
  <si>
    <t>N</t>
  </si>
  <si>
    <t>Hostias</t>
  </si>
  <si>
    <t>0149Z</t>
  </si>
  <si>
    <t>Élevage d'autres animaux</t>
  </si>
  <si>
    <t>Doubs</t>
  </si>
  <si>
    <t>BESANCON</t>
  </si>
  <si>
    <t>Birmanie</t>
  </si>
  <si>
    <t>La Poste</t>
  </si>
  <si>
    <t>Surgelé</t>
  </si>
  <si>
    <t>O</t>
  </si>
  <si>
    <t>Thezillieu</t>
  </si>
  <si>
    <t>0150Z</t>
  </si>
  <si>
    <t>Culture et élevage associés</t>
  </si>
  <si>
    <t>Drome</t>
  </si>
  <si>
    <t>VALENCE</t>
  </si>
  <si>
    <t>Bolivie</t>
  </si>
  <si>
    <t>LCL</t>
  </si>
  <si>
    <t>Téléphonie</t>
  </si>
  <si>
    <t>P</t>
  </si>
  <si>
    <t>01120</t>
  </si>
  <si>
    <t>Chanes</t>
  </si>
  <si>
    <t>0161Z</t>
  </si>
  <si>
    <t>Activités de soutien aux cultures</t>
  </si>
  <si>
    <t>Eure</t>
  </si>
  <si>
    <t>EVREUX</t>
  </si>
  <si>
    <t>Bosnie-Herzégovine</t>
  </si>
  <si>
    <t>Lloyds Banking Group</t>
  </si>
  <si>
    <t>Vetements</t>
  </si>
  <si>
    <t>Q</t>
  </si>
  <si>
    <t>Cordieux</t>
  </si>
  <si>
    <t>0162Z</t>
  </si>
  <si>
    <t>Activités de soutien à la production animale</t>
  </si>
  <si>
    <t>Eure et Loire</t>
  </si>
  <si>
    <t>CHARTRES</t>
  </si>
  <si>
    <t>Botswana</t>
  </si>
  <si>
    <t>Mitsubishi UFJ FG</t>
  </si>
  <si>
    <t>R</t>
  </si>
  <si>
    <t>Dagneux</t>
  </si>
  <si>
    <t>0163Z</t>
  </si>
  <si>
    <t>Traitement primaire des récoltes</t>
  </si>
  <si>
    <t>Finistère</t>
  </si>
  <si>
    <t>QUIMPER</t>
  </si>
  <si>
    <t>Brésil</t>
  </si>
  <si>
    <t>Mizuho FG</t>
  </si>
  <si>
    <t>S</t>
  </si>
  <si>
    <t>Jailleux</t>
  </si>
  <si>
    <t>0164Z</t>
  </si>
  <si>
    <t>Traitement des semences</t>
  </si>
  <si>
    <t>Gard</t>
  </si>
  <si>
    <t>NIMES</t>
  </si>
  <si>
    <t>Brunei</t>
  </si>
  <si>
    <t>MonaBanq</t>
  </si>
  <si>
    <t>T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</si>
  <si>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</si>
  <si>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</si>
  <si>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</si>
  <si>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</si>
  <si>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</si>
  <si>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</si>
  <si>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</si>
  <si>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</si>
  <si>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</si>
  <si>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</si>
  <si>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</si>
  <si>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</si>
  <si>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</si>
  <si>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</si>
  <si>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</si>
  <si>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</si>
  <si>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</si>
  <si>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</si>
  <si>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</si>
  <si>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</si>
  <si>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</si>
  <si>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</si>
  <si>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</si>
  <si>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</si>
  <si>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</si>
  <si>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Adresse 1</t>
  </si>
  <si>
    <t>Adresse 2</t>
  </si>
  <si>
    <t>Adresse 3</t>
  </si>
  <si>
    <t>Adresse 4</t>
  </si>
  <si>
    <t>Adresse 5</t>
  </si>
  <si>
    <t>Adresse 6</t>
  </si>
  <si>
    <t>Adresse 7</t>
  </si>
  <si>
    <t>Adresse 8</t>
  </si>
  <si>
    <t>Adresse 9</t>
  </si>
  <si>
    <t>Adresse 10</t>
  </si>
  <si>
    <t>Adresse 11</t>
  </si>
  <si>
    <t>Adresse 12</t>
  </si>
  <si>
    <t>Adresse 13</t>
  </si>
  <si>
    <t>Adresse 14</t>
  </si>
  <si>
    <t>Adresse 15</t>
  </si>
  <si>
    <t>Adresse 16</t>
  </si>
  <si>
    <t>Adresse 17</t>
  </si>
  <si>
    <t>Adresse 18</t>
  </si>
  <si>
    <t>Adresse 19</t>
  </si>
  <si>
    <t>Adresse 20</t>
  </si>
  <si>
    <t>Adresse 21</t>
  </si>
  <si>
    <t>Adresse 22</t>
  </si>
  <si>
    <t>Adresse 23</t>
  </si>
  <si>
    <t>Adresse 24</t>
  </si>
  <si>
    <t>Adresse 25</t>
  </si>
  <si>
    <t>Contact 1</t>
  </si>
  <si>
    <t>Contact 2</t>
  </si>
  <si>
    <t>Contact 3</t>
  </si>
  <si>
    <t>Contact 4</t>
  </si>
  <si>
    <t>Contact 5</t>
  </si>
  <si>
    <t>Contact 6</t>
  </si>
  <si>
    <t>Contact 7</t>
  </si>
  <si>
    <t>Contact 8</t>
  </si>
  <si>
    <t>Contact 9</t>
  </si>
  <si>
    <t>Contact 10</t>
  </si>
  <si>
    <t>Contact 11</t>
  </si>
  <si>
    <t>Contact 12</t>
  </si>
  <si>
    <t>Contact 13</t>
  </si>
  <si>
    <t>Contact 14</t>
  </si>
  <si>
    <t>Contact 15</t>
  </si>
  <si>
    <t>Contact 16</t>
  </si>
  <si>
    <t>Contact 17</t>
  </si>
  <si>
    <t>Contact 18</t>
  </si>
  <si>
    <t>Contact 19</t>
  </si>
  <si>
    <t>Contact 20</t>
  </si>
  <si>
    <t>Contact 21</t>
  </si>
  <si>
    <t>Contact 22</t>
  </si>
  <si>
    <t>Contact 23</t>
  </si>
  <si>
    <t>Contact 24</t>
  </si>
  <si>
    <t>Contact 25</t>
  </si>
  <si>
    <t>Contact 1Nom 1@gmail.com</t>
  </si>
  <si>
    <t>Contact 2Nom 2@gmail.com</t>
  </si>
  <si>
    <t>Contact 3Nom 3@gmail.com</t>
  </si>
  <si>
    <t>Contact 4Nom 4@gmail.com</t>
  </si>
  <si>
    <t>Contact 5Nom 5@gmail.com</t>
  </si>
  <si>
    <t>Contact 6Nom 6@gmail.com</t>
  </si>
  <si>
    <t>Contact 7Nom 7@gmail.com</t>
  </si>
  <si>
    <t>Contact 8Nom 8@gmail.com</t>
  </si>
  <si>
    <t>Contact 9Nom 9@gmail.com</t>
  </si>
  <si>
    <t>Contact 10Nom 10@gmail.com</t>
  </si>
  <si>
    <t>Contact 11Nom 11@gmail.com</t>
  </si>
  <si>
    <t>Contact 12Nom 12@gmail.com</t>
  </si>
  <si>
    <t>Contact 13Nom 13@gmail.com</t>
  </si>
  <si>
    <t>Contact 14Nom 14@gmail.com</t>
  </si>
  <si>
    <t>Contact 15Nom 15@gmail.com</t>
  </si>
  <si>
    <t>Contact 16Nom 16@gmail.com</t>
  </si>
  <si>
    <t>Contact 17Nom 17@gmail.com</t>
  </si>
  <si>
    <t>Contact 18Nom 18@gmail.com</t>
  </si>
  <si>
    <t>Contact 19Nom 19@gmail.com</t>
  </si>
  <si>
    <t>Contact 20Nom 20@gmail.com</t>
  </si>
  <si>
    <t>Contact 21Nom 21@gmail.com</t>
  </si>
  <si>
    <t>Contact 22Nom 22@gmail.com</t>
  </si>
  <si>
    <t>Contact 23Nom 23@gmail.com</t>
  </si>
  <si>
    <t>Contact 24Nom 24@gmail.com</t>
  </si>
  <si>
    <t>Contact 25Nom 25@gmail.com</t>
  </si>
  <si>
    <t>SOMME PAR REFERENCE</t>
  </si>
  <si>
    <t>Coca Cola Pack de 6x2 litre</t>
  </si>
  <si>
    <t>TZ12CLA62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</si>
</sst>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.00\ [$€-40C]_-;\-* #,##0.00\ [$€-40C]_-;_-* &quot;-&quot;??\ [$€-40C]_-;_-@_-"/>
    <numFmt numFmtId="167" formatCode="_(* #,##0_);_(* \(#,##0\);_(* &quot;-&quot;??_);_(@_)"/>
    <numFmt numFmtId="168" formatCode="0.000\ \k\g"/>
    <numFmt numFmtId="169" formatCode="dd/mm/yy;@"/>
    <numFmt numFmtId="170" formatCode="00000"/>
    <numFmt numFmtId="171" formatCode="0#&quot; &quot;##&quot; &quot;##&quot; &quot;##&quot; &quot;##"/>
    <numFmt numFmtId="172" formatCode="&quot;( &quot;0&quot; jours )&quot;"/>
    <numFmt numFmtId="173" formatCode="#,##0.00\ [$€-1]"/>
    <numFmt numFmtId="174" formatCode="_(* #,##0.000_);_(* \(#,##0.000\);_(* &quot;-&quot;??_);_(@_)"/>
    <numFmt numFmtId="175" formatCode="0.0"/>
    <numFmt numFmtId="176" formatCode="[$€-2]\ #,##0.00"/>
    <numFmt numFmtId="177" formatCode="#,##0.00\ &quot;€&quot;"/>
    <numFmt numFmtId="178" formatCode="0\ &quot;Colis&quot;"/>
    <numFmt numFmtId="179" formatCode="[&gt;1]0&quot; palettes&quot;;0&quot; palette&quot;"/>
    <numFmt numFmtId="180" formatCode="0\ \k\g"/>
    <numFmt numFmtId="181" formatCode="#,##0.00\ [$€-40C];\-#,##0.00\ [$€-40C]"/>
    <numFmt numFmtId="182" formatCode="00,000,000,000,000"/>
    <numFmt numFmtId="183" formatCode="00000\ 00\ 000"/>
    <numFmt numFmtId="184" formatCode="000,000,000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D5D"/>
      <name val="Calibri"/>
      <family val="2"/>
      <scheme val="minor"/>
    </font>
    <font>
      <sz val="12"/>
      <color rgb="FF00206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2060"/>
      <name val="Calibri"/>
      <family val="2"/>
      <scheme val="minor"/>
    </font>
    <font>
      <sz val="8"/>
      <color rgb="FF000000"/>
      <name val="Segoe UI"/>
      <family val="2"/>
    </font>
    <font>
      <b/>
      <sz val="12"/>
      <color theme="3"/>
      <name val="Century Gothic"/>
      <family val="2"/>
    </font>
    <font>
      <sz val="12"/>
      <color theme="3"/>
      <name val="Century Gothic"/>
      <family val="2"/>
    </font>
    <font>
      <sz val="10"/>
      <color theme="3"/>
      <name val="Century Gothic"/>
      <family val="2"/>
    </font>
    <font>
      <sz val="11"/>
      <color theme="1"/>
      <name val="Century Gothic"/>
      <family val="2"/>
    </font>
    <font>
      <sz val="11"/>
      <color theme="3"/>
      <name val="Century Gothic"/>
      <family val="2"/>
    </font>
    <font>
      <b/>
      <sz val="11"/>
      <color theme="3"/>
      <name val="Century Gothic"/>
      <family val="2"/>
    </font>
    <font>
      <b/>
      <u/>
      <sz val="12"/>
      <color theme="3"/>
      <name val="Century Gothic"/>
      <family val="2"/>
    </font>
    <font>
      <i/>
      <sz val="10"/>
      <color theme="3"/>
      <name val="Century Gothic"/>
      <family val="2"/>
    </font>
    <font>
      <b/>
      <sz val="10"/>
      <color theme="3"/>
      <name val="Century Gothic"/>
      <family val="2"/>
    </font>
    <font>
      <sz val="11"/>
      <color rgb="FFFF0000"/>
      <name val="Century Gothic"/>
      <family val="2"/>
    </font>
    <font>
      <sz val="11"/>
      <color theme="3"/>
      <name val="Sitka Small"/>
    </font>
    <font>
      <b/>
      <sz val="14"/>
      <color theme="3"/>
      <name val="Century Gothic"/>
      <family val="2"/>
    </font>
    <font>
      <sz val="12"/>
      <color theme="1" tint="0.24994659260841701"/>
      <name val="Century Gothic"/>
      <family val="2"/>
    </font>
    <font>
      <sz val="11"/>
      <color rgb="FFFFFF66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3366FF"/>
      <name val="Calibri"/>
      <family val="2"/>
      <scheme val="minor"/>
    </font>
    <font>
      <sz val="11"/>
      <color theme="2"/>
      <name val="Calibri"/>
      <family val="2"/>
      <scheme val="minor"/>
    </font>
    <font>
      <sz val="20"/>
      <color rgb="FF3366FF"/>
      <name val="DS-Digital"/>
    </font>
    <font>
      <sz val="36"/>
      <color theme="1"/>
      <name val="Calibri"/>
      <family val="2"/>
      <scheme val="minor"/>
    </font>
    <font>
      <b/>
      <sz val="11"/>
      <color rgb="FF3E725D"/>
      <name val="Calibri"/>
      <family val="2"/>
      <scheme val="minor"/>
    </font>
    <font>
      <sz val="11"/>
      <color rgb="FF3E725D"/>
      <name val="Calibri"/>
      <family val="2"/>
      <scheme val="minor"/>
    </font>
    <font>
      <b/>
      <sz val="11"/>
      <color rgb="FF3366FF"/>
      <name val="Calibri"/>
      <family val="2"/>
      <scheme val="minor"/>
    </font>
    <font>
      <b/>
      <sz val="10"/>
      <color rgb="FFFFFD5D"/>
      <name val="BastardusSans"/>
    </font>
    <font>
      <b/>
      <sz val="11"/>
      <color rgb="FF002060"/>
      <name val="Calibri"/>
      <family val="2"/>
    </font>
    <font>
      <sz val="11"/>
      <color rgb="FF002060"/>
      <name val="Calibri"/>
      <family val="2"/>
    </font>
    <font>
      <u/>
      <sz val="11"/>
      <color rgb="FF002060"/>
      <name val="Calibri"/>
      <family val="2"/>
      <scheme val="minor"/>
    </font>
    <font>
      <sz val="8"/>
      <color rgb="FF002060"/>
      <name val="Calibri"/>
      <family val="2"/>
    </font>
    <font>
      <sz val="10"/>
      <color rgb="FF002060"/>
      <name val="Calibri"/>
      <family val="2"/>
    </font>
    <font>
      <b/>
      <sz val="11"/>
      <color rgb="FFFFFF00"/>
      <name val="Calibri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FF66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i/>
      <sz val="12"/>
      <color theme="3"/>
      <name val="Century Gothic"/>
      <family val="2"/>
    </font>
    <font>
      <sz val="11"/>
      <color rgb="FFFFFD5D"/>
      <name val="Calibri"/>
      <family val="2"/>
      <scheme val="minor"/>
    </font>
    <font>
      <b/>
      <sz val="10"/>
      <color theme="3"/>
      <name val="Ebrima"/>
    </font>
  </fonts>
  <fills count="19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D5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6633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54">
    <border>
      <left/>
      <right/>
      <top/>
      <bottom/>
      <diagonal/>
    </border>
    <border>
      <left style="thin">
        <color rgb="FFFFFF66"/>
      </left>
      <right style="thin">
        <color rgb="FFFFFF66"/>
      </right>
      <top/>
      <bottom/>
      <diagonal/>
    </border>
    <border>
      <left style="hair">
        <color theme="3"/>
      </left>
      <right style="hair">
        <color theme="3"/>
      </right>
      <top style="dotted">
        <color theme="3"/>
      </top>
      <bottom style="dotted">
        <color theme="3"/>
      </bottom>
      <diagonal/>
    </border>
    <border>
      <left style="hair">
        <color rgb="FF002060"/>
      </left>
      <right style="hair">
        <color rgb="FF002060"/>
      </right>
      <top style="dotted">
        <color rgb="FFFFFF00"/>
      </top>
      <bottom style="dotted">
        <color rgb="FF002060"/>
      </bottom>
      <diagonal/>
    </border>
    <border>
      <left style="hair">
        <color rgb="FF002060"/>
      </left>
      <right style="hair">
        <color rgb="FF002060"/>
      </right>
      <top style="dotted">
        <color rgb="FF002060"/>
      </top>
      <bottom style="dotted">
        <color rgb="FF002060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theme="3"/>
      </left>
      <right/>
      <top style="hair">
        <color theme="3"/>
      </top>
      <bottom/>
      <diagonal/>
    </border>
    <border>
      <left/>
      <right style="hair">
        <color theme="3"/>
      </right>
      <top style="hair">
        <color theme="3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theme="3"/>
      </left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theme="3"/>
      </right>
      <top style="hair">
        <color theme="3"/>
      </top>
      <bottom style="hair">
        <color theme="3"/>
      </bottom>
      <diagonal/>
    </border>
    <border>
      <left/>
      <right/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 style="hair">
        <color theme="3"/>
      </bottom>
      <diagonal/>
    </border>
    <border>
      <left/>
      <right/>
      <top style="hair">
        <color theme="3"/>
      </top>
      <bottom style="hair">
        <color theme="3"/>
      </bottom>
      <diagonal/>
    </border>
    <border>
      <left style="hair">
        <color theme="3"/>
      </left>
      <right/>
      <top/>
      <bottom style="hair">
        <color theme="3"/>
      </bottom>
      <diagonal/>
    </border>
    <border>
      <left/>
      <right/>
      <top/>
      <bottom style="hair">
        <color theme="3"/>
      </bottom>
      <diagonal/>
    </border>
    <border>
      <left/>
      <right style="hair">
        <color theme="3"/>
      </right>
      <top/>
      <bottom style="hair">
        <color theme="3"/>
      </bottom>
      <diagonal/>
    </border>
    <border>
      <left style="thin">
        <color theme="3"/>
      </left>
      <right/>
      <top style="hair">
        <color theme="3"/>
      </top>
      <bottom style="hair">
        <color theme="3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hair">
        <color theme="3"/>
      </right>
      <top/>
      <bottom/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hair">
        <color rgb="FF3366FF"/>
      </left>
      <right style="hair">
        <color rgb="FF3366FF"/>
      </right>
      <top style="hair">
        <color rgb="FF3366FF"/>
      </top>
      <bottom style="hair">
        <color rgb="FF3366FF"/>
      </bottom>
      <diagonal/>
    </border>
    <border>
      <left style="hair">
        <color rgb="FF3366FF"/>
      </left>
      <right/>
      <top style="hair">
        <color rgb="FF3366FF"/>
      </top>
      <bottom style="hair">
        <color rgb="FF3366FF"/>
      </bottom>
      <diagonal/>
    </border>
    <border>
      <left/>
      <right style="hair">
        <color rgb="FF3366FF"/>
      </right>
      <top style="hair">
        <color rgb="FF3366FF"/>
      </top>
      <bottom style="hair">
        <color rgb="FF3366FF"/>
      </bottom>
      <diagonal/>
    </border>
    <border>
      <left style="thin">
        <color rgb="FFFFFF66"/>
      </left>
      <right style="thin">
        <color rgb="FFFFFF66"/>
      </right>
      <top/>
      <bottom style="thin">
        <color rgb="FFFFFF66"/>
      </bottom>
      <diagonal/>
    </border>
    <border>
      <left style="hair">
        <color rgb="FF002060"/>
      </left>
      <right style="hair">
        <color rgb="FF002060"/>
      </right>
      <top style="thin">
        <color rgb="FFFFFF66"/>
      </top>
      <bottom style="dotted">
        <color rgb="FF002060"/>
      </bottom>
      <diagonal/>
    </border>
    <border>
      <left style="hair">
        <color rgb="FF002060"/>
      </left>
      <right style="hair">
        <color rgb="FF002060"/>
      </right>
      <top/>
      <bottom style="dotted">
        <color rgb="FF002060"/>
      </bottom>
      <diagonal/>
    </border>
    <border>
      <left style="hair">
        <color rgb="FF3366FF"/>
      </left>
      <right/>
      <top/>
      <bottom/>
      <diagonal/>
    </border>
    <border>
      <left style="hair">
        <color rgb="FF3366FF"/>
      </left>
      <right/>
      <top/>
      <bottom style="hair">
        <color rgb="FF3366FF"/>
      </bottom>
      <diagonal/>
    </border>
    <border>
      <left/>
      <right style="hair">
        <color rgb="FF3366FF"/>
      </right>
      <top/>
      <bottom/>
      <diagonal/>
    </border>
    <border>
      <left/>
      <right style="hair">
        <color rgb="FF3366FF"/>
      </right>
      <top/>
      <bottom style="hair">
        <color rgb="FF3366FF"/>
      </bottom>
      <diagonal/>
    </border>
    <border>
      <left style="hair">
        <color rgb="FF3366FF"/>
      </left>
      <right style="hair">
        <color rgb="FF3366FF"/>
      </right>
      <top/>
      <bottom/>
      <diagonal/>
    </border>
    <border>
      <left style="hair">
        <color rgb="FF3366FF"/>
      </left>
      <right/>
      <top style="hair">
        <color rgb="FFFFFF99"/>
      </top>
      <bottom style="hair">
        <color rgb="FFFFFF99"/>
      </bottom>
      <diagonal/>
    </border>
    <border>
      <left/>
      <right style="hair">
        <color rgb="FF3366FF"/>
      </right>
      <top style="hair">
        <color rgb="FFFFFF99"/>
      </top>
      <bottom style="hair">
        <color rgb="FFFFFF99"/>
      </bottom>
      <diagonal/>
    </border>
    <border>
      <left style="hair">
        <color rgb="FF3366FF"/>
      </left>
      <right style="hair">
        <color rgb="FF3366FF"/>
      </right>
      <top style="hair">
        <color rgb="FFFFFF99"/>
      </top>
      <bottom/>
      <diagonal/>
    </border>
    <border>
      <left style="thin">
        <color rgb="FFFFFF99"/>
      </left>
      <right style="thin">
        <color rgb="FFFFFF99"/>
      </right>
      <top style="thin">
        <color rgb="FFFFFF99"/>
      </top>
      <bottom style="thin">
        <color rgb="FFFFFF99"/>
      </bottom>
      <diagonal/>
    </border>
    <border>
      <left style="hair">
        <color rgb="FF3366FF"/>
      </left>
      <right/>
      <top style="thin">
        <color rgb="FFFFFF99"/>
      </top>
      <bottom/>
      <diagonal/>
    </border>
    <border>
      <left/>
      <right/>
      <top style="thin">
        <color rgb="FFFFFF99"/>
      </top>
      <bottom/>
      <diagonal/>
    </border>
    <border>
      <left style="hair">
        <color rgb="FF3366FF"/>
      </left>
      <right/>
      <top style="hair">
        <color rgb="FFFFFF99"/>
      </top>
      <bottom/>
      <diagonal/>
    </border>
    <border>
      <left/>
      <right style="hair">
        <color rgb="FF3366FF"/>
      </right>
      <top style="hair">
        <color rgb="FFFFFF99"/>
      </top>
      <bottom/>
      <diagonal/>
    </border>
    <border>
      <left style="hair">
        <color rgb="FF3366FF"/>
      </left>
      <right style="hair">
        <color rgb="FF3366FF"/>
      </right>
      <top/>
      <bottom style="hair">
        <color rgb="FF3366FF"/>
      </bottom>
      <diagonal/>
    </border>
    <border>
      <left style="dotted">
        <color theme="3" tint="0.39994506668294322"/>
      </left>
      <right/>
      <top/>
      <bottom/>
      <diagonal/>
    </border>
    <border>
      <left/>
      <right style="dotted">
        <color theme="3" tint="0.39994506668294322"/>
      </right>
      <top/>
      <bottom/>
      <diagonal/>
    </border>
    <border>
      <left style="dotted">
        <color theme="3" tint="0.39994506668294322"/>
      </left>
      <right/>
      <top/>
      <bottom style="dotted">
        <color theme="3" tint="0.39994506668294322"/>
      </bottom>
      <diagonal/>
    </border>
    <border>
      <left/>
      <right/>
      <top/>
      <bottom style="dotted">
        <color theme="3" tint="0.39994506668294322"/>
      </bottom>
      <diagonal/>
    </border>
    <border>
      <left/>
      <right style="dotted">
        <color theme="3" tint="0.39994506668294322"/>
      </right>
      <top/>
      <bottom style="dotted">
        <color theme="3" tint="0.39994506668294322"/>
      </bottom>
      <diagonal/>
    </border>
    <border>
      <left style="hair">
        <color rgb="FF002060"/>
      </left>
      <right style="hair">
        <color rgb="FF002060"/>
      </right>
      <top style="dotted">
        <color rgb="FF002060"/>
      </top>
      <bottom/>
      <diagonal/>
    </border>
  </borders>
  <cellStyleXfs count="8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2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9" fontId="2" fillId="2" borderId="1" xfId="3" applyFont="1" applyFill="1" applyBorder="1" applyAlignment="1">
      <alignment horizontal="center" vertical="center" wrapText="1"/>
    </xf>
    <xf numFmtId="166" fontId="2" fillId="2" borderId="1" xfId="0" applyNumberFormat="1" applyFont="1" applyFill="1" applyBorder="1" applyAlignment="1">
      <alignment horizontal="center" vertical="center" wrapText="1"/>
    </xf>
    <xf numFmtId="167" fontId="2" fillId="2" borderId="1" xfId="1" applyNumberFormat="1" applyFont="1" applyFill="1" applyBorder="1" applyAlignment="1">
      <alignment horizontal="center" vertical="center" wrapText="1"/>
    </xf>
    <xf numFmtId="168" fontId="2" fillId="2" borderId="1" xfId="0" applyNumberFormat="1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/>
    </xf>
    <xf numFmtId="0" fontId="8" fillId="4" borderId="0" xfId="0" applyFont="1" applyFill="1" applyBorder="1" applyAlignment="1">
      <alignment vertical="center"/>
    </xf>
    <xf numFmtId="0" fontId="9" fillId="4" borderId="0" xfId="0" applyFont="1" applyFill="1" applyBorder="1" applyAlignment="1">
      <alignment vertical="center"/>
    </xf>
    <xf numFmtId="0" fontId="7" fillId="4" borderId="0" xfId="0" applyFont="1" applyFill="1" applyBorder="1" applyAlignment="1">
      <alignment vertical="center"/>
    </xf>
    <xf numFmtId="0" fontId="8" fillId="4" borderId="12" xfId="0" applyFont="1" applyFill="1" applyBorder="1" applyAlignment="1">
      <alignment horizontal="center" vertical="center"/>
    </xf>
    <xf numFmtId="14" fontId="8" fillId="4" borderId="16" xfId="0" applyNumberFormat="1" applyFont="1" applyFill="1" applyBorder="1" applyAlignment="1" applyProtection="1">
      <alignment horizontal="center" vertical="center"/>
      <protection locked="0"/>
    </xf>
    <xf numFmtId="170" fontId="8" fillId="4" borderId="0" xfId="0" applyNumberFormat="1" applyFont="1" applyFill="1" applyBorder="1" applyAlignment="1">
      <alignment vertical="center"/>
    </xf>
    <xf numFmtId="170" fontId="8" fillId="4" borderId="0" xfId="0" applyNumberFormat="1" applyFont="1" applyFill="1" applyBorder="1" applyAlignment="1">
      <alignment vertical="center" wrapText="1"/>
    </xf>
    <xf numFmtId="0" fontId="8" fillId="4" borderId="0" xfId="4" applyFont="1" applyFill="1" applyBorder="1" applyAlignment="1">
      <alignment horizontal="left" vertical="center"/>
    </xf>
    <xf numFmtId="0" fontId="9" fillId="4" borderId="0" xfId="0" applyFont="1" applyFill="1" applyBorder="1" applyAlignment="1">
      <alignment horizontal="right" vertical="center" wrapText="1"/>
    </xf>
    <xf numFmtId="0" fontId="9" fillId="4" borderId="0" xfId="0" applyFont="1" applyFill="1" applyBorder="1" applyAlignment="1">
      <alignment horizontal="right" vertical="center"/>
    </xf>
    <xf numFmtId="0" fontId="9" fillId="4" borderId="0" xfId="0" applyFont="1" applyFill="1" applyBorder="1" applyAlignment="1">
      <alignment horizontal="left" vertical="center"/>
    </xf>
    <xf numFmtId="0" fontId="9" fillId="4" borderId="0" xfId="0" applyFont="1" applyFill="1" applyBorder="1" applyAlignment="1">
      <alignment horizontal="left" vertical="center" wrapText="1"/>
    </xf>
    <xf numFmtId="14" fontId="8" fillId="4" borderId="0" xfId="0" applyNumberFormat="1" applyFont="1" applyFill="1" applyBorder="1" applyAlignment="1">
      <alignment horizontal="left" vertical="center"/>
    </xf>
    <xf numFmtId="172" fontId="14" fillId="4" borderId="0" xfId="0" applyNumberFormat="1" applyFont="1" applyFill="1" applyBorder="1" applyAlignment="1" applyProtection="1">
      <alignment vertical="center"/>
      <protection locked="0"/>
    </xf>
    <xf numFmtId="0" fontId="15" fillId="4" borderId="0" xfId="0" applyFont="1" applyFill="1" applyBorder="1" applyAlignment="1">
      <alignment vertical="center"/>
    </xf>
    <xf numFmtId="0" fontId="15" fillId="4" borderId="0" xfId="0" applyFont="1" applyFill="1" applyBorder="1" applyAlignment="1">
      <alignment horizontal="left" vertical="center"/>
    </xf>
    <xf numFmtId="169" fontId="11" fillId="4" borderId="20" xfId="0" applyNumberFormat="1" applyFont="1" applyFill="1" applyBorder="1" applyAlignment="1">
      <alignment horizontal="left" vertical="center"/>
    </xf>
    <xf numFmtId="1" fontId="11" fillId="4" borderId="20" xfId="0" applyNumberFormat="1" applyFont="1" applyFill="1" applyBorder="1" applyAlignment="1">
      <alignment horizontal="left" vertical="center"/>
    </xf>
    <xf numFmtId="1" fontId="11" fillId="4" borderId="20" xfId="0" applyNumberFormat="1" applyFont="1" applyFill="1" applyBorder="1" applyAlignment="1" applyProtection="1">
      <alignment horizontal="center" vertical="center"/>
      <protection locked="0"/>
    </xf>
    <xf numFmtId="10" fontId="11" fillId="4" borderId="20" xfId="3" applyNumberFormat="1" applyFont="1" applyFill="1" applyBorder="1" applyAlignment="1" applyProtection="1">
      <alignment horizontal="center" vertical="center"/>
      <protection locked="0"/>
    </xf>
    <xf numFmtId="164" fontId="11" fillId="4" borderId="20" xfId="0" applyNumberFormat="1" applyFont="1" applyFill="1" applyBorder="1" applyAlignment="1">
      <alignment horizontal="center" vertical="center"/>
    </xf>
    <xf numFmtId="173" fontId="11" fillId="4" borderId="20" xfId="0" applyNumberFormat="1" applyFont="1" applyFill="1" applyBorder="1" applyAlignment="1">
      <alignment horizontal="center" vertical="center"/>
    </xf>
    <xf numFmtId="173" fontId="11" fillId="4" borderId="24" xfId="0" applyNumberFormat="1" applyFont="1" applyFill="1" applyBorder="1" applyAlignment="1">
      <alignment horizontal="center" vertical="center"/>
    </xf>
    <xf numFmtId="1" fontId="11" fillId="4" borderId="20" xfId="0" applyNumberFormat="1" applyFont="1" applyFill="1" applyBorder="1" applyAlignment="1" applyProtection="1">
      <alignment horizontal="left" vertical="center"/>
      <protection locked="0"/>
    </xf>
    <xf numFmtId="1" fontId="11" fillId="4" borderId="22" xfId="0" applyNumberFormat="1" applyFont="1" applyFill="1" applyBorder="1" applyAlignment="1" applyProtection="1">
      <alignment horizontal="left" vertical="center"/>
      <protection locked="0"/>
    </xf>
    <xf numFmtId="1" fontId="11" fillId="4" borderId="22" xfId="0" applyNumberFormat="1" applyFont="1" applyFill="1" applyBorder="1" applyAlignment="1" applyProtection="1">
      <alignment horizontal="center" vertical="center"/>
      <protection locked="0"/>
    </xf>
    <xf numFmtId="10" fontId="11" fillId="4" borderId="22" xfId="3" applyNumberFormat="1" applyFont="1" applyFill="1" applyBorder="1" applyAlignment="1" applyProtection="1">
      <alignment horizontal="center" vertical="center"/>
      <protection locked="0"/>
    </xf>
    <xf numFmtId="0" fontId="11" fillId="4" borderId="0" xfId="0" applyFont="1" applyFill="1" applyBorder="1" applyAlignment="1">
      <alignment vertical="center"/>
    </xf>
    <xf numFmtId="0" fontId="14" fillId="4" borderId="0" xfId="0" applyFont="1" applyFill="1" applyBorder="1" applyAlignment="1">
      <alignment vertical="center"/>
    </xf>
    <xf numFmtId="0" fontId="7" fillId="4" borderId="25" xfId="0" applyNumberFormat="1" applyFont="1" applyFill="1" applyBorder="1" applyAlignment="1">
      <alignment horizontal="right" vertical="center"/>
    </xf>
    <xf numFmtId="178" fontId="7" fillId="4" borderId="0" xfId="0" applyNumberFormat="1" applyFont="1" applyFill="1" applyBorder="1" applyAlignment="1">
      <alignment vertical="center"/>
    </xf>
    <xf numFmtId="0" fontId="7" fillId="4" borderId="26" xfId="0" applyNumberFormat="1" applyFont="1" applyFill="1" applyBorder="1" applyAlignment="1">
      <alignment horizontal="right" vertical="center"/>
    </xf>
    <xf numFmtId="168" fontId="7" fillId="4" borderId="0" xfId="0" applyNumberFormat="1" applyFont="1" applyFill="1" applyBorder="1" applyAlignment="1">
      <alignment vertical="center"/>
    </xf>
    <xf numFmtId="0" fontId="11" fillId="4" borderId="0" xfId="0" applyFont="1" applyFill="1" applyBorder="1" applyAlignment="1">
      <alignment vertical="center" wrapText="1"/>
    </xf>
    <xf numFmtId="179" fontId="7" fillId="4" borderId="0" xfId="0" applyNumberFormat="1" applyFont="1" applyFill="1" applyBorder="1" applyAlignment="1">
      <alignment horizontal="center" vertical="center"/>
    </xf>
    <xf numFmtId="0" fontId="18" fillId="4" borderId="27" xfId="0" applyNumberFormat="1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center" vertical="center"/>
    </xf>
    <xf numFmtId="14" fontId="21" fillId="3" borderId="28" xfId="0" applyNumberFormat="1" applyFont="1" applyFill="1" applyBorder="1" applyAlignment="1">
      <alignment horizontal="center" vertical="center"/>
    </xf>
    <xf numFmtId="9" fontId="21" fillId="3" borderId="28" xfId="3" applyNumberFormat="1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 wrapText="1"/>
    </xf>
    <xf numFmtId="14" fontId="2" fillId="2" borderId="28" xfId="0" applyNumberFormat="1" applyFont="1" applyFill="1" applyBorder="1" applyAlignment="1">
      <alignment horizontal="center" vertical="center" wrapText="1"/>
    </xf>
    <xf numFmtId="181" fontId="2" fillId="2" borderId="28" xfId="3" applyNumberFormat="1" applyFont="1" applyFill="1" applyBorder="1" applyAlignment="1">
      <alignment horizontal="center" vertical="center" wrapText="1"/>
    </xf>
    <xf numFmtId="1" fontId="2" fillId="2" borderId="28" xfId="0" applyNumberFormat="1" applyFont="1" applyFill="1" applyBorder="1" applyAlignment="1">
      <alignment horizontal="center" vertical="center" wrapText="1"/>
    </xf>
    <xf numFmtId="164" fontId="2" fillId="2" borderId="28" xfId="3" applyNumberFormat="1" applyFont="1" applyFill="1" applyBorder="1" applyAlignment="1">
      <alignment horizontal="center" vertical="center" wrapText="1"/>
    </xf>
    <xf numFmtId="0" fontId="2" fillId="2" borderId="28" xfId="0" applyNumberFormat="1" applyFont="1" applyFill="1" applyBorder="1" applyAlignment="1">
      <alignment horizontal="center" vertical="center" wrapText="1"/>
    </xf>
    <xf numFmtId="164" fontId="2" fillId="2" borderId="28" xfId="2" applyNumberFormat="1" applyFont="1" applyFill="1" applyBorder="1" applyAlignment="1">
      <alignment horizontal="center" vertical="center" wrapText="1"/>
    </xf>
    <xf numFmtId="166" fontId="2" fillId="2" borderId="28" xfId="0" applyNumberFormat="1" applyFont="1" applyFill="1" applyBorder="1" applyAlignment="1">
      <alignment horizontal="center" vertical="center" wrapText="1"/>
    </xf>
    <xf numFmtId="164" fontId="2" fillId="2" borderId="28" xfId="2" applyFont="1" applyFill="1" applyBorder="1" applyAlignment="1">
      <alignment horizontal="center" vertical="center" wrapText="1"/>
    </xf>
    <xf numFmtId="170" fontId="2" fillId="2" borderId="28" xfId="1" applyNumberFormat="1" applyFont="1" applyFill="1" applyBorder="1" applyAlignment="1">
      <alignment horizontal="center" vertical="center" wrapText="1"/>
    </xf>
    <xf numFmtId="182" fontId="2" fillId="2" borderId="28" xfId="1" applyNumberFormat="1" applyFont="1" applyFill="1" applyBorder="1" applyAlignment="1">
      <alignment horizontal="center" vertical="center" wrapText="1"/>
    </xf>
    <xf numFmtId="49" fontId="2" fillId="2" borderId="28" xfId="1" applyNumberFormat="1" applyFont="1" applyFill="1" applyBorder="1" applyAlignment="1">
      <alignment horizontal="center" vertical="center" wrapText="1"/>
    </xf>
    <xf numFmtId="183" fontId="2" fillId="2" borderId="28" xfId="1" applyNumberFormat="1" applyFont="1" applyFill="1" applyBorder="1" applyAlignment="1">
      <alignment horizontal="center" vertical="center" wrapText="1"/>
    </xf>
    <xf numFmtId="164" fontId="2" fillId="2" borderId="28" xfId="1" applyNumberFormat="1" applyFont="1" applyFill="1" applyBorder="1" applyAlignment="1">
      <alignment horizontal="center" vertical="center" wrapText="1"/>
    </xf>
    <xf numFmtId="14" fontId="5" fillId="3" borderId="28" xfId="0" applyNumberFormat="1" applyFont="1" applyFill="1" applyBorder="1" applyAlignment="1">
      <alignment horizontal="right" vertical="center" wrapText="1"/>
    </xf>
    <xf numFmtId="164" fontId="5" fillId="3" borderId="28" xfId="3" applyNumberFormat="1" applyFont="1" applyFill="1" applyBorder="1" applyAlignment="1">
      <alignment horizontal="right" vertical="center"/>
    </xf>
    <xf numFmtId="1" fontId="5" fillId="3" borderId="28" xfId="0" applyNumberFormat="1" applyFont="1" applyFill="1" applyBorder="1" applyAlignment="1">
      <alignment horizontal="right" vertical="center"/>
    </xf>
    <xf numFmtId="170" fontId="5" fillId="3" borderId="28" xfId="1" applyNumberFormat="1" applyFont="1" applyFill="1" applyBorder="1" applyAlignment="1">
      <alignment vertical="center"/>
    </xf>
    <xf numFmtId="182" fontId="5" fillId="3" borderId="28" xfId="1" applyNumberFormat="1" applyFont="1" applyFill="1" applyBorder="1" applyAlignment="1">
      <alignment horizontal="center" vertical="center"/>
    </xf>
    <xf numFmtId="49" fontId="5" fillId="3" borderId="28" xfId="1" applyNumberFormat="1" applyFont="1" applyFill="1" applyBorder="1" applyAlignment="1">
      <alignment vertical="center"/>
    </xf>
    <xf numFmtId="170" fontId="5" fillId="3" borderId="28" xfId="1" applyNumberFormat="1" applyFont="1" applyFill="1" applyBorder="1" applyAlignment="1">
      <alignment horizontal="center" vertical="center"/>
    </xf>
    <xf numFmtId="183" fontId="5" fillId="3" borderId="28" xfId="1" applyNumberFormat="1" applyFont="1" applyFill="1" applyBorder="1" applyAlignment="1">
      <alignment vertical="center"/>
    </xf>
    <xf numFmtId="164" fontId="5" fillId="3" borderId="28" xfId="1" applyNumberFormat="1" applyFont="1" applyFill="1" applyBorder="1" applyAlignment="1">
      <alignment vertical="center"/>
    </xf>
    <xf numFmtId="167" fontId="5" fillId="3" borderId="28" xfId="1" applyNumberFormat="1" applyFont="1" applyFill="1" applyBorder="1" applyAlignment="1">
      <alignment vertical="center"/>
    </xf>
    <xf numFmtId="0" fontId="5" fillId="3" borderId="28" xfId="0" applyFont="1" applyFill="1" applyBorder="1" applyAlignment="1">
      <alignment vertical="center"/>
    </xf>
    <xf numFmtId="14" fontId="5" fillId="3" borderId="28" xfId="0" applyNumberFormat="1" applyFont="1" applyFill="1" applyBorder="1" applyAlignment="1">
      <alignment horizontal="right" vertical="center"/>
    </xf>
    <xf numFmtId="0" fontId="29" fillId="2" borderId="31" xfId="0" applyNumberFormat="1" applyFont="1" applyFill="1" applyBorder="1" applyAlignment="1">
      <alignment horizontal="center" vertical="center" wrapText="1"/>
    </xf>
    <xf numFmtId="0" fontId="29" fillId="2" borderId="31" xfId="0" applyFont="1" applyFill="1" applyBorder="1" applyAlignment="1">
      <alignment horizontal="center" vertical="center"/>
    </xf>
    <xf numFmtId="0" fontId="33" fillId="3" borderId="32" xfId="0" applyFont="1" applyFill="1" applyBorder="1" applyAlignment="1">
      <alignment vertical="center"/>
    </xf>
    <xf numFmtId="170" fontId="33" fillId="3" borderId="32" xfId="0" applyNumberFormat="1" applyFont="1" applyFill="1" applyBorder="1" applyAlignment="1">
      <alignment horizontal="center" vertical="center"/>
    </xf>
    <xf numFmtId="0" fontId="33" fillId="3" borderId="32" xfId="0" applyFont="1" applyFill="1" applyBorder="1" applyAlignment="1">
      <alignment horizontal="left" vertical="center"/>
    </xf>
    <xf numFmtId="171" fontId="33" fillId="3" borderId="32" xfId="0" applyNumberFormat="1" applyFont="1" applyFill="1" applyBorder="1" applyAlignment="1">
      <alignment horizontal="center" vertical="center"/>
    </xf>
    <xf numFmtId="0" fontId="33" fillId="3" borderId="32" xfId="0" applyFont="1" applyFill="1" applyBorder="1" applyAlignment="1">
      <alignment horizontal="center" vertical="center"/>
    </xf>
    <xf numFmtId="184" fontId="33" fillId="3" borderId="32" xfId="0" applyNumberFormat="1" applyFont="1" applyFill="1" applyBorder="1" applyAlignment="1">
      <alignment vertical="center"/>
    </xf>
    <xf numFmtId="182" fontId="33" fillId="3" borderId="32" xfId="0" applyNumberFormat="1" applyFont="1" applyFill="1" applyBorder="1" applyAlignment="1">
      <alignment vertical="center"/>
    </xf>
    <xf numFmtId="0" fontId="31" fillId="3" borderId="33" xfId="0" applyFont="1" applyFill="1" applyBorder="1"/>
    <xf numFmtId="0" fontId="33" fillId="3" borderId="4" xfId="0" applyFont="1" applyFill="1" applyBorder="1" applyAlignment="1">
      <alignment vertical="center"/>
    </xf>
    <xf numFmtId="170" fontId="33" fillId="3" borderId="4" xfId="0" applyNumberFormat="1" applyFont="1" applyFill="1" applyBorder="1" applyAlignment="1">
      <alignment horizontal="center" vertical="center"/>
    </xf>
    <xf numFmtId="0" fontId="33" fillId="3" borderId="4" xfId="0" applyFont="1" applyFill="1" applyBorder="1" applyAlignment="1">
      <alignment horizontal="left" vertical="center"/>
    </xf>
    <xf numFmtId="171" fontId="33" fillId="3" borderId="4" xfId="0" applyNumberFormat="1" applyFont="1" applyFill="1" applyBorder="1" applyAlignment="1">
      <alignment horizontal="center" vertical="center"/>
    </xf>
    <xf numFmtId="0" fontId="33" fillId="3" borderId="4" xfId="0" applyFont="1" applyFill="1" applyBorder="1" applyAlignment="1">
      <alignment horizontal="center" vertical="center"/>
    </xf>
    <xf numFmtId="184" fontId="33" fillId="3" borderId="4" xfId="0" applyNumberFormat="1" applyFont="1" applyFill="1" applyBorder="1" applyAlignment="1">
      <alignment vertical="center"/>
    </xf>
    <xf numFmtId="0" fontId="31" fillId="3" borderId="4" xfId="0" applyFont="1" applyFill="1" applyBorder="1" applyAlignment="1">
      <alignment vertical="center"/>
    </xf>
    <xf numFmtId="0" fontId="31" fillId="3" borderId="4" xfId="0" applyFont="1" applyFill="1" applyBorder="1"/>
    <xf numFmtId="0" fontId="5" fillId="3" borderId="4" xfId="0" applyFont="1" applyFill="1" applyBorder="1" applyAlignment="1">
      <alignment vertical="center"/>
    </xf>
    <xf numFmtId="1" fontId="33" fillId="3" borderId="4" xfId="0" applyNumberFormat="1" applyFont="1" applyFill="1" applyBorder="1" applyAlignment="1">
      <alignment horizontal="left" vertical="center"/>
    </xf>
    <xf numFmtId="182" fontId="33" fillId="3" borderId="4" xfId="0" applyNumberFormat="1" applyFont="1" applyFill="1" applyBorder="1" applyAlignment="1">
      <alignment vertical="center"/>
    </xf>
    <xf numFmtId="0" fontId="35" fillId="2" borderId="0" xfId="0" applyFont="1" applyFill="1" applyAlignment="1">
      <alignment horizontal="center" vertical="center"/>
    </xf>
    <xf numFmtId="10" fontId="38" fillId="2" borderId="38" xfId="3" applyNumberFormat="1" applyFont="1" applyFill="1" applyBorder="1" applyAlignment="1">
      <alignment vertical="center"/>
    </xf>
    <xf numFmtId="0" fontId="20" fillId="7" borderId="0" xfId="0" applyFont="1" applyFill="1" applyAlignment="1">
      <alignment vertical="center"/>
    </xf>
    <xf numFmtId="0" fontId="38" fillId="2" borderId="40" xfId="0" applyFont="1" applyFill="1" applyBorder="1" applyAlignment="1">
      <alignment vertical="center"/>
    </xf>
    <xf numFmtId="172" fontId="38" fillId="2" borderId="41" xfId="0" applyNumberFormat="1" applyFont="1" applyFill="1" applyBorder="1" applyAlignment="1">
      <alignment vertical="center"/>
    </xf>
    <xf numFmtId="0" fontId="20" fillId="2" borderId="38" xfId="0" applyFont="1" applyFill="1" applyBorder="1" applyAlignment="1">
      <alignment vertical="center"/>
    </xf>
    <xf numFmtId="9" fontId="38" fillId="2" borderId="42" xfId="3" applyFont="1" applyFill="1" applyBorder="1" applyAlignment="1">
      <alignment vertical="center"/>
    </xf>
    <xf numFmtId="0" fontId="38" fillId="2" borderId="34" xfId="0" applyFont="1" applyFill="1" applyBorder="1" applyAlignment="1">
      <alignment vertical="center"/>
    </xf>
    <xf numFmtId="0" fontId="38" fillId="2" borderId="36" xfId="0" applyFont="1" applyFill="1" applyBorder="1" applyAlignment="1">
      <alignment vertical="center"/>
    </xf>
    <xf numFmtId="0" fontId="38" fillId="2" borderId="43" xfId="0" applyFont="1" applyFill="1" applyBorder="1" applyAlignment="1">
      <alignment horizontal="center" vertical="center" wrapText="1"/>
    </xf>
    <xf numFmtId="0" fontId="38" fillId="2" borderId="44" xfId="0" applyFont="1" applyFill="1" applyBorder="1" applyAlignment="1">
      <alignment vertical="center" wrapText="1"/>
    </xf>
    <xf numFmtId="0" fontId="38" fillId="2" borderId="0" xfId="0" applyFont="1" applyFill="1" applyBorder="1" applyAlignment="1">
      <alignment vertical="center" wrapText="1"/>
    </xf>
    <xf numFmtId="0" fontId="38" fillId="2" borderId="36" xfId="0" applyFont="1" applyFill="1" applyBorder="1" applyAlignment="1">
      <alignment vertical="center" wrapText="1"/>
    </xf>
    <xf numFmtId="0" fontId="38" fillId="2" borderId="38" xfId="0" applyFont="1" applyFill="1" applyBorder="1" applyAlignment="1">
      <alignment vertical="center"/>
    </xf>
    <xf numFmtId="0" fontId="0" fillId="7" borderId="0" xfId="0" applyFill="1" applyAlignment="1">
      <alignment vertical="center"/>
    </xf>
    <xf numFmtId="10" fontId="0" fillId="8" borderId="38" xfId="3" applyNumberFormat="1" applyFont="1" applyFill="1" applyBorder="1" applyAlignment="1">
      <alignment vertical="center"/>
    </xf>
    <xf numFmtId="0" fontId="0" fillId="8" borderId="46" xfId="0" applyFill="1" applyBorder="1" applyAlignment="1">
      <alignment vertical="center"/>
    </xf>
    <xf numFmtId="172" fontId="0" fillId="8" borderId="38" xfId="0" applyNumberFormat="1" applyFill="1" applyBorder="1" applyAlignment="1">
      <alignment vertical="center"/>
    </xf>
    <xf numFmtId="0" fontId="36" fillId="9" borderId="38" xfId="0" applyFont="1" applyFill="1" applyBorder="1" applyAlignment="1">
      <alignment vertical="center"/>
    </xf>
    <xf numFmtId="9" fontId="0" fillId="8" borderId="26" xfId="3" applyFont="1" applyFill="1" applyBorder="1" applyAlignment="1">
      <alignment vertical="center"/>
    </xf>
    <xf numFmtId="0" fontId="0" fillId="8" borderId="34" xfId="0" applyFill="1" applyBorder="1" applyAlignment="1">
      <alignment vertical="center"/>
    </xf>
    <xf numFmtId="0" fontId="0" fillId="8" borderId="36" xfId="0" applyFill="1" applyBorder="1" applyAlignment="1">
      <alignment vertical="center"/>
    </xf>
    <xf numFmtId="0" fontId="0" fillId="8" borderId="34" xfId="0" applyFill="1" applyBorder="1" applyAlignment="1">
      <alignment horizontal="center" vertical="center"/>
    </xf>
    <xf numFmtId="0" fontId="0" fillId="8" borderId="0" xfId="0" applyFill="1" applyBorder="1" applyAlignment="1">
      <alignment vertical="center"/>
    </xf>
    <xf numFmtId="0" fontId="0" fillId="8" borderId="38" xfId="0" applyFill="1" applyBorder="1" applyAlignment="1">
      <alignment vertical="center"/>
    </xf>
    <xf numFmtId="0" fontId="36" fillId="10" borderId="38" xfId="0" applyFont="1" applyFill="1" applyBorder="1" applyAlignment="1">
      <alignment vertical="center"/>
    </xf>
    <xf numFmtId="0" fontId="36" fillId="11" borderId="38" xfId="0" applyFont="1" applyFill="1" applyBorder="1" applyAlignment="1">
      <alignment vertical="center"/>
    </xf>
    <xf numFmtId="0" fontId="0" fillId="8" borderId="47" xfId="0" applyFill="1" applyBorder="1" applyAlignment="1">
      <alignment vertical="center"/>
    </xf>
    <xf numFmtId="10" fontId="0" fillId="8" borderId="47" xfId="3" applyNumberFormat="1" applyFont="1" applyFill="1" applyBorder="1" applyAlignment="1">
      <alignment vertical="center"/>
    </xf>
    <xf numFmtId="172" fontId="0" fillId="8" borderId="47" xfId="0" applyNumberFormat="1" applyFill="1" applyBorder="1" applyAlignment="1">
      <alignment vertical="center"/>
    </xf>
    <xf numFmtId="0" fontId="0" fillId="12" borderId="38" xfId="0" applyFill="1" applyBorder="1" applyAlignment="1">
      <alignment vertical="center"/>
    </xf>
    <xf numFmtId="10" fontId="0" fillId="7" borderId="0" xfId="3" applyNumberFormat="1" applyFont="1" applyFill="1" applyAlignment="1">
      <alignment vertical="center"/>
    </xf>
    <xf numFmtId="172" fontId="0" fillId="7" borderId="0" xfId="0" applyNumberFormat="1" applyFill="1" applyAlignment="1">
      <alignment vertical="center"/>
    </xf>
    <xf numFmtId="0" fontId="0" fillId="13" borderId="38" xfId="0" applyFill="1" applyBorder="1" applyAlignment="1">
      <alignment vertical="center"/>
    </xf>
    <xf numFmtId="9" fontId="0" fillId="8" borderId="27" xfId="3" applyFont="1" applyFill="1" applyBorder="1" applyAlignment="1">
      <alignment vertical="center"/>
    </xf>
    <xf numFmtId="0" fontId="0" fillId="14" borderId="38" xfId="0" applyFill="1" applyBorder="1" applyAlignment="1">
      <alignment vertical="center"/>
    </xf>
    <xf numFmtId="9" fontId="0" fillId="7" borderId="0" xfId="3" applyFont="1" applyFill="1" applyAlignment="1">
      <alignment vertical="center"/>
    </xf>
    <xf numFmtId="0" fontId="39" fillId="2" borderId="38" xfId="0" applyFont="1" applyFill="1" applyBorder="1" applyAlignment="1">
      <alignment vertical="center"/>
    </xf>
    <xf numFmtId="0" fontId="37" fillId="15" borderId="38" xfId="0" applyFont="1" applyFill="1" applyBorder="1" applyAlignment="1">
      <alignment vertical="center"/>
    </xf>
    <xf numFmtId="0" fontId="37" fillId="16" borderId="47" xfId="0" applyFont="1" applyFill="1" applyBorder="1" applyAlignment="1">
      <alignment vertical="center"/>
    </xf>
    <xf numFmtId="0" fontId="0" fillId="8" borderId="35" xfId="0" applyFill="1" applyBorder="1" applyAlignment="1">
      <alignment vertical="center"/>
    </xf>
    <xf numFmtId="0" fontId="0" fillId="8" borderId="37" xfId="0" applyFill="1" applyBorder="1" applyAlignment="1">
      <alignment vertical="center"/>
    </xf>
    <xf numFmtId="0" fontId="0" fillId="7" borderId="0" xfId="0" applyFill="1" applyAlignment="1">
      <alignment horizontal="center" vertical="center"/>
    </xf>
    <xf numFmtId="0" fontId="40" fillId="4" borderId="0" xfId="0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 wrapText="1"/>
    </xf>
    <xf numFmtId="0" fontId="41" fillId="2" borderId="0" xfId="0" applyFont="1" applyFill="1" applyAlignment="1">
      <alignment horizontal="left" vertical="center" wrapText="1"/>
    </xf>
    <xf numFmtId="0" fontId="33" fillId="3" borderId="32" xfId="4" applyFont="1" applyFill="1" applyBorder="1" applyAlignment="1">
      <alignment vertical="center"/>
    </xf>
    <xf numFmtId="0" fontId="33" fillId="3" borderId="4" xfId="4" applyFont="1" applyFill="1" applyBorder="1" applyAlignment="1">
      <alignment vertical="center"/>
    </xf>
    <xf numFmtId="49" fontId="38" fillId="2" borderId="39" xfId="6" applyNumberFormat="1" applyFont="1" applyFill="1" applyBorder="1" applyAlignment="1">
      <alignment vertical="center"/>
    </xf>
    <xf numFmtId="49" fontId="0" fillId="8" borderId="45" xfId="6" applyNumberFormat="1" applyFont="1" applyFill="1" applyBorder="1" applyAlignment="1">
      <alignment vertical="center"/>
    </xf>
    <xf numFmtId="49" fontId="0" fillId="8" borderId="34" xfId="6" applyNumberFormat="1" applyFont="1" applyFill="1" applyBorder="1" applyAlignment="1">
      <alignment vertical="center"/>
    </xf>
    <xf numFmtId="49" fontId="0" fillId="7" borderId="0" xfId="6" applyNumberFormat="1" applyFont="1" applyFill="1" applyAlignment="1">
      <alignment vertical="center"/>
    </xf>
    <xf numFmtId="0" fontId="8" fillId="4" borderId="0" xfId="0" applyFont="1" applyFill="1" applyBorder="1" applyAlignment="1">
      <alignment horizontal="left" vertical="center"/>
    </xf>
    <xf numFmtId="0" fontId="7" fillId="4" borderId="0" xfId="0" applyFont="1" applyFill="1" applyBorder="1" applyAlignment="1">
      <alignment horizontal="right" vertical="center"/>
    </xf>
    <xf numFmtId="0" fontId="11" fillId="4" borderId="0" xfId="0" applyFont="1" applyFill="1" applyBorder="1" applyAlignment="1">
      <alignment horizontal="left" vertical="center"/>
    </xf>
    <xf numFmtId="0" fontId="30" fillId="7" borderId="0" xfId="0" applyFont="1" applyFill="1" applyAlignment="1">
      <alignment horizontal="center" vertical="center"/>
    </xf>
    <xf numFmtId="0" fontId="31" fillId="7" borderId="0" xfId="0" applyFont="1" applyFill="1" applyAlignment="1">
      <alignment horizontal="center" vertical="center"/>
    </xf>
    <xf numFmtId="0" fontId="32" fillId="7" borderId="0" xfId="4" applyFont="1" applyFill="1" applyAlignment="1">
      <alignment horizontal="center" vertical="center"/>
    </xf>
    <xf numFmtId="0" fontId="34" fillId="7" borderId="0" xfId="0" applyFont="1" applyFill="1" applyAlignment="1">
      <alignment vertical="center"/>
    </xf>
    <xf numFmtId="170" fontId="34" fillId="7" borderId="0" xfId="0" applyNumberFormat="1" applyFont="1" applyFill="1" applyAlignment="1">
      <alignment horizontal="center" vertical="center"/>
    </xf>
    <xf numFmtId="0" fontId="34" fillId="7" borderId="0" xfId="0" applyFont="1" applyFill="1" applyAlignment="1">
      <alignment horizontal="left" vertical="center"/>
    </xf>
    <xf numFmtId="171" fontId="34" fillId="7" borderId="0" xfId="0" applyNumberFormat="1" applyFont="1" applyFill="1" applyAlignment="1">
      <alignment horizontal="center" vertical="center"/>
    </xf>
    <xf numFmtId="0" fontId="34" fillId="7" borderId="0" xfId="0" applyFont="1" applyFill="1" applyAlignment="1">
      <alignment horizontal="center" vertical="center"/>
    </xf>
    <xf numFmtId="184" fontId="34" fillId="7" borderId="0" xfId="0" applyNumberFormat="1" applyFont="1" applyFill="1" applyAlignment="1">
      <alignment vertical="center"/>
    </xf>
    <xf numFmtId="182" fontId="34" fillId="7" borderId="0" xfId="0" applyNumberFormat="1" applyFont="1" applyFill="1" applyAlignment="1">
      <alignment vertical="center"/>
    </xf>
    <xf numFmtId="0" fontId="0" fillId="7" borderId="0" xfId="0" applyFill="1" applyAlignment="1">
      <alignment horizontal="left" vertical="center" wrapText="1"/>
    </xf>
    <xf numFmtId="0" fontId="4" fillId="7" borderId="0" xfId="4" applyFill="1" applyAlignment="1">
      <alignment horizontal="left" vertical="center" wrapText="1"/>
    </xf>
    <xf numFmtId="0" fontId="5" fillId="7" borderId="0" xfId="0" applyFont="1" applyFill="1" applyBorder="1" applyAlignment="1">
      <alignment horizontal="left" vertical="center"/>
    </xf>
    <xf numFmtId="0" fontId="0" fillId="7" borderId="0" xfId="0" applyFill="1" applyAlignment="1">
      <alignment horizontal="left" vertical="center"/>
    </xf>
    <xf numFmtId="0" fontId="0" fillId="7" borderId="0" xfId="0" applyFont="1" applyFill="1" applyAlignment="1">
      <alignment horizontal="left" vertical="center"/>
    </xf>
    <xf numFmtId="0" fontId="22" fillId="7" borderId="0" xfId="0" applyFont="1" applyFill="1" applyAlignment="1">
      <alignment vertical="center"/>
    </xf>
    <xf numFmtId="182" fontId="22" fillId="7" borderId="0" xfId="0" applyNumberFormat="1" applyFont="1" applyFill="1" applyAlignment="1">
      <alignment horizontal="center" vertical="center"/>
    </xf>
    <xf numFmtId="49" fontId="22" fillId="7" borderId="0" xfId="0" applyNumberFormat="1" applyFont="1" applyFill="1" applyAlignment="1">
      <alignment vertical="center"/>
    </xf>
    <xf numFmtId="0" fontId="22" fillId="7" borderId="0" xfId="0" applyFont="1" applyFill="1" applyAlignment="1">
      <alignment horizontal="center" vertical="center"/>
    </xf>
    <xf numFmtId="170" fontId="22" fillId="7" borderId="0" xfId="0" applyNumberFormat="1" applyFont="1" applyFill="1" applyAlignment="1">
      <alignment horizontal="center" vertical="center"/>
    </xf>
    <xf numFmtId="0" fontId="24" fillId="7" borderId="0" xfId="0" applyFont="1" applyFill="1" applyAlignment="1">
      <alignment vertical="center"/>
    </xf>
    <xf numFmtId="1" fontId="24" fillId="7" borderId="0" xfId="0" applyNumberFormat="1" applyFont="1" applyFill="1" applyAlignment="1">
      <alignment vertical="center"/>
    </xf>
    <xf numFmtId="164" fontId="24" fillId="7" borderId="0" xfId="0" applyNumberFormat="1" applyFont="1" applyFill="1" applyAlignment="1">
      <alignment vertical="center"/>
    </xf>
    <xf numFmtId="0" fontId="25" fillId="7" borderId="0" xfId="0" applyFont="1" applyFill="1" applyAlignment="1">
      <alignment horizontal="right" vertical="center"/>
    </xf>
    <xf numFmtId="1" fontId="25" fillId="7" borderId="0" xfId="0" applyNumberFormat="1" applyFont="1" applyFill="1" applyAlignment="1">
      <alignment horizontal="right" vertical="center"/>
    </xf>
    <xf numFmtId="164" fontId="25" fillId="7" borderId="0" xfId="0" applyNumberFormat="1" applyFont="1" applyFill="1" applyAlignment="1">
      <alignment horizontal="right" vertical="center"/>
    </xf>
    <xf numFmtId="0" fontId="20" fillId="7" borderId="0" xfId="0" applyFont="1" applyFill="1" applyAlignment="1">
      <alignment vertical="center" wrapText="1"/>
    </xf>
    <xf numFmtId="0" fontId="22" fillId="7" borderId="0" xfId="0" applyFont="1" applyFill="1" applyAlignment="1">
      <alignment vertical="center" wrapText="1"/>
    </xf>
    <xf numFmtId="0" fontId="8" fillId="7" borderId="5" xfId="0" applyFont="1" applyFill="1" applyBorder="1" applyAlignment="1" applyProtection="1">
      <alignment vertical="center"/>
      <protection locked="0"/>
    </xf>
    <xf numFmtId="0" fontId="12" fillId="7" borderId="19" xfId="0" applyFont="1" applyFill="1" applyBorder="1" applyAlignment="1">
      <alignment horizontal="center" vertical="center"/>
    </xf>
    <xf numFmtId="0" fontId="12" fillId="7" borderId="20" xfId="0" applyFont="1" applyFill="1" applyBorder="1" applyAlignment="1">
      <alignment horizontal="center" vertical="center"/>
    </xf>
    <xf numFmtId="0" fontId="12" fillId="7" borderId="5" xfId="0" applyFont="1" applyFill="1" applyBorder="1" applyAlignment="1">
      <alignment horizontal="center" vertical="center"/>
    </xf>
    <xf numFmtId="1" fontId="11" fillId="7" borderId="0" xfId="0" applyNumberFormat="1" applyFont="1" applyFill="1" applyAlignment="1">
      <alignment vertical="center"/>
    </xf>
    <xf numFmtId="0" fontId="11" fillId="7" borderId="0" xfId="0" applyFont="1" applyFill="1" applyAlignment="1">
      <alignment vertical="center"/>
    </xf>
    <xf numFmtId="0" fontId="10" fillId="7" borderId="0" xfId="0" applyFont="1" applyFill="1" applyAlignment="1">
      <alignment horizontal="center" vertical="center"/>
    </xf>
    <xf numFmtId="0" fontId="10" fillId="7" borderId="0" xfId="0" applyFont="1" applyFill="1" applyBorder="1" applyAlignment="1">
      <alignment horizontal="center" vertical="center"/>
    </xf>
    <xf numFmtId="0" fontId="11" fillId="4" borderId="20" xfId="0" applyFont="1" applyFill="1" applyBorder="1" applyAlignment="1">
      <alignment vertical="center"/>
    </xf>
    <xf numFmtId="1" fontId="11" fillId="4" borderId="20" xfId="0" applyNumberFormat="1" applyFont="1" applyFill="1" applyBorder="1" applyAlignment="1">
      <alignment horizontal="center" vertical="center"/>
    </xf>
    <xf numFmtId="175" fontId="11" fillId="4" borderId="20" xfId="0" applyNumberFormat="1" applyFont="1" applyFill="1" applyBorder="1" applyAlignment="1">
      <alignment horizontal="center" vertical="center"/>
    </xf>
    <xf numFmtId="176" fontId="11" fillId="4" borderId="20" xfId="0" applyNumberFormat="1" applyFont="1" applyFill="1" applyBorder="1" applyAlignment="1">
      <alignment horizontal="center" vertical="center"/>
    </xf>
    <xf numFmtId="168" fontId="11" fillId="6" borderId="8" xfId="0" applyNumberFormat="1" applyFont="1" applyFill="1" applyBorder="1" applyAlignment="1">
      <alignment vertical="center"/>
    </xf>
    <xf numFmtId="0" fontId="11" fillId="6" borderId="18" xfId="0" applyFont="1" applyFill="1" applyBorder="1" applyAlignment="1">
      <alignment vertical="center"/>
    </xf>
    <xf numFmtId="174" fontId="11" fillId="6" borderId="25" xfId="1" applyNumberFormat="1" applyFont="1" applyFill="1" applyBorder="1" applyAlignment="1">
      <alignment vertical="center"/>
    </xf>
    <xf numFmtId="168" fontId="11" fillId="6" borderId="13" xfId="0" applyNumberFormat="1" applyFont="1" applyFill="1" applyBorder="1" applyAlignment="1">
      <alignment vertical="center"/>
    </xf>
    <xf numFmtId="0" fontId="11" fillId="6" borderId="0" xfId="0" applyFont="1" applyFill="1" applyBorder="1" applyAlignment="1">
      <alignment vertical="center"/>
    </xf>
    <xf numFmtId="174" fontId="11" fillId="6" borderId="26" xfId="1" applyNumberFormat="1" applyFont="1" applyFill="1" applyBorder="1" applyAlignment="1">
      <alignment vertical="center"/>
    </xf>
    <xf numFmtId="168" fontId="11" fillId="6" borderId="21" xfId="0" applyNumberFormat="1" applyFont="1" applyFill="1" applyBorder="1" applyAlignment="1">
      <alignment vertical="center"/>
    </xf>
    <xf numFmtId="0" fontId="11" fillId="6" borderId="22" xfId="0" applyFont="1" applyFill="1" applyBorder="1" applyAlignment="1">
      <alignment vertical="center"/>
    </xf>
    <xf numFmtId="0" fontId="8" fillId="17" borderId="17" xfId="0" applyNumberFormat="1" applyFont="1" applyFill="1" applyBorder="1" applyAlignment="1">
      <alignment horizontal="center" vertical="center"/>
    </xf>
    <xf numFmtId="0" fontId="8" fillId="17" borderId="5" xfId="0" applyNumberFormat="1" applyFont="1" applyFill="1" applyBorder="1" applyAlignment="1">
      <alignment horizontal="center" vertical="center"/>
    </xf>
    <xf numFmtId="0" fontId="8" fillId="17" borderId="5" xfId="3" applyNumberFormat="1" applyFont="1" applyFill="1" applyBorder="1" applyAlignment="1">
      <alignment horizontal="center" vertical="center"/>
    </xf>
    <xf numFmtId="0" fontId="8" fillId="17" borderId="5" xfId="0" applyNumberFormat="1" applyFont="1" applyFill="1" applyBorder="1" applyAlignment="1">
      <alignment horizontal="center" vertical="center" wrapText="1"/>
    </xf>
    <xf numFmtId="0" fontId="8" fillId="17" borderId="19" xfId="0" applyNumberFormat="1" applyFont="1" applyFill="1" applyBorder="1" applyAlignment="1">
      <alignment horizontal="center" vertical="center"/>
    </xf>
    <xf numFmtId="168" fontId="11" fillId="5" borderId="5" xfId="1" applyNumberFormat="1" applyFont="1" applyFill="1" applyBorder="1" applyAlignment="1">
      <alignment vertical="center"/>
    </xf>
    <xf numFmtId="0" fontId="8" fillId="4" borderId="5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/>
    </xf>
    <xf numFmtId="0" fontId="5" fillId="3" borderId="3" xfId="0" applyFont="1" applyFill="1" applyBorder="1" applyAlignment="1">
      <alignment vertical="center"/>
    </xf>
    <xf numFmtId="164" fontId="5" fillId="3" borderId="3" xfId="2" applyNumberFormat="1" applyFont="1" applyFill="1" applyBorder="1" applyAlignment="1">
      <alignment vertical="center"/>
    </xf>
    <xf numFmtId="9" fontId="5" fillId="3" borderId="3" xfId="3" applyFont="1" applyFill="1" applyBorder="1" applyAlignment="1">
      <alignment vertical="center"/>
    </xf>
    <xf numFmtId="166" fontId="5" fillId="3" borderId="3" xfId="2" applyNumberFormat="1" applyFont="1" applyFill="1" applyBorder="1" applyAlignment="1">
      <alignment vertical="center"/>
    </xf>
    <xf numFmtId="167" fontId="5" fillId="3" borderId="3" xfId="1" applyNumberFormat="1" applyFont="1" applyFill="1" applyBorder="1" applyAlignment="1">
      <alignment vertical="center"/>
    </xf>
    <xf numFmtId="168" fontId="5" fillId="3" borderId="3" xfId="0" applyNumberFormat="1" applyFont="1" applyFill="1" applyBorder="1" applyAlignment="1">
      <alignment vertical="center"/>
    </xf>
    <xf numFmtId="166" fontId="5" fillId="3" borderId="2" xfId="0" applyNumberFormat="1" applyFont="1" applyFill="1" applyBorder="1" applyAlignment="1">
      <alignment vertical="center"/>
    </xf>
    <xf numFmtId="164" fontId="5" fillId="3" borderId="4" xfId="2" applyNumberFormat="1" applyFont="1" applyFill="1" applyBorder="1" applyAlignment="1">
      <alignment vertical="center"/>
    </xf>
    <xf numFmtId="9" fontId="5" fillId="3" borderId="4" xfId="3" applyFont="1" applyFill="1" applyBorder="1" applyAlignment="1">
      <alignment vertical="center"/>
    </xf>
    <xf numFmtId="166" fontId="5" fillId="3" borderId="4" xfId="2" applyNumberFormat="1" applyFont="1" applyFill="1" applyBorder="1" applyAlignment="1">
      <alignment vertical="center"/>
    </xf>
    <xf numFmtId="167" fontId="5" fillId="3" borderId="4" xfId="1" applyNumberFormat="1" applyFont="1" applyFill="1" applyBorder="1" applyAlignment="1">
      <alignment vertical="center"/>
    </xf>
    <xf numFmtId="168" fontId="5" fillId="3" borderId="4" xfId="0" applyNumberFormat="1" applyFont="1" applyFill="1" applyBorder="1" applyAlignment="1">
      <alignment vertical="center"/>
    </xf>
    <xf numFmtId="0" fontId="0" fillId="7" borderId="0" xfId="0" applyFont="1" applyFill="1" applyAlignment="1">
      <alignment vertical="center"/>
    </xf>
    <xf numFmtId="164" fontId="0" fillId="7" borderId="0" xfId="2" applyNumberFormat="1" applyFont="1" applyFill="1" applyAlignment="1">
      <alignment vertical="center"/>
    </xf>
    <xf numFmtId="166" fontId="0" fillId="7" borderId="0" xfId="2" applyNumberFormat="1" applyFont="1" applyFill="1" applyAlignment="1">
      <alignment vertical="center"/>
    </xf>
    <xf numFmtId="167" fontId="0" fillId="7" borderId="0" xfId="1" applyNumberFormat="1" applyFont="1" applyFill="1" applyAlignment="1">
      <alignment vertical="center"/>
    </xf>
    <xf numFmtId="168" fontId="0" fillId="7" borderId="0" xfId="0" applyNumberFormat="1" applyFill="1" applyAlignment="1">
      <alignment vertical="center"/>
    </xf>
    <xf numFmtId="1" fontId="22" fillId="7" borderId="0" xfId="0" applyNumberFormat="1" applyFont="1" applyFill="1" applyAlignment="1">
      <alignment vertical="center"/>
    </xf>
    <xf numFmtId="164" fontId="22" fillId="7" borderId="0" xfId="3" applyNumberFormat="1" applyFont="1" applyFill="1" applyAlignment="1">
      <alignment vertical="center"/>
    </xf>
    <xf numFmtId="181" fontId="22" fillId="7" borderId="0" xfId="3" applyNumberFormat="1" applyFont="1" applyFill="1" applyAlignment="1">
      <alignment vertical="center"/>
    </xf>
    <xf numFmtId="0" fontId="22" fillId="7" borderId="0" xfId="0" applyNumberFormat="1" applyFont="1" applyFill="1" applyAlignment="1">
      <alignment vertical="center"/>
    </xf>
    <xf numFmtId="14" fontId="23" fillId="7" borderId="0" xfId="0" applyNumberFormat="1" applyFont="1" applyFill="1" applyAlignment="1">
      <alignment vertical="center"/>
    </xf>
    <xf numFmtId="164" fontId="22" fillId="7" borderId="0" xfId="2" applyNumberFormat="1" applyFont="1" applyFill="1" applyAlignment="1">
      <alignment vertical="center"/>
    </xf>
    <xf numFmtId="166" fontId="22" fillId="7" borderId="0" xfId="0" applyNumberFormat="1" applyFont="1" applyFill="1" applyAlignment="1">
      <alignment vertical="center"/>
    </xf>
    <xf numFmtId="164" fontId="22" fillId="7" borderId="0" xfId="2" applyFont="1" applyFill="1" applyAlignment="1">
      <alignment vertical="center"/>
    </xf>
    <xf numFmtId="170" fontId="22" fillId="7" borderId="0" xfId="1" applyNumberFormat="1" applyFont="1" applyFill="1" applyAlignment="1">
      <alignment vertical="center"/>
    </xf>
    <xf numFmtId="183" fontId="22" fillId="7" borderId="0" xfId="0" applyNumberFormat="1" applyFont="1" applyFill="1" applyAlignment="1">
      <alignment vertical="center"/>
    </xf>
    <xf numFmtId="164" fontId="22" fillId="7" borderId="0" xfId="0" applyNumberFormat="1" applyFont="1" applyFill="1" applyAlignment="1">
      <alignment vertical="center"/>
    </xf>
    <xf numFmtId="0" fontId="4" fillId="7" borderId="0" xfId="4" applyFill="1" applyAlignment="1">
      <alignment vertical="center"/>
    </xf>
    <xf numFmtId="0" fontId="21" fillId="3" borderId="28" xfId="0" applyFont="1" applyFill="1" applyBorder="1" applyAlignment="1">
      <alignment vertical="center"/>
    </xf>
    <xf numFmtId="0" fontId="5" fillId="3" borderId="28" xfId="0" applyNumberFormat="1" applyFont="1" applyFill="1" applyBorder="1" applyAlignment="1">
      <alignment vertical="center"/>
    </xf>
    <xf numFmtId="14" fontId="5" fillId="3" borderId="28" xfId="0" applyNumberFormat="1" applyFont="1" applyFill="1" applyBorder="1" applyAlignment="1">
      <alignment vertical="center"/>
    </xf>
    <xf numFmtId="164" fontId="5" fillId="3" borderId="28" xfId="2" applyNumberFormat="1" applyFont="1" applyFill="1" applyBorder="1" applyAlignment="1">
      <alignment vertical="center"/>
    </xf>
    <xf numFmtId="166" fontId="5" fillId="3" borderId="28" xfId="0" applyNumberFormat="1" applyFont="1" applyFill="1" applyBorder="1" applyAlignment="1">
      <alignment vertical="center"/>
    </xf>
    <xf numFmtId="0" fontId="5" fillId="3" borderId="28" xfId="1" applyNumberFormat="1" applyFont="1" applyFill="1" applyBorder="1" applyAlignment="1">
      <alignment vertical="center"/>
    </xf>
    <xf numFmtId="164" fontId="5" fillId="3" borderId="28" xfId="2" applyFont="1" applyFill="1" applyBorder="1" applyAlignment="1">
      <alignment vertical="center"/>
    </xf>
    <xf numFmtId="0" fontId="26" fillId="7" borderId="0" xfId="0" applyFont="1" applyFill="1" applyAlignment="1">
      <alignment vertical="center"/>
    </xf>
    <xf numFmtId="0" fontId="27" fillId="7" borderId="0" xfId="0" applyFont="1" applyFill="1" applyAlignment="1">
      <alignment vertical="center"/>
    </xf>
    <xf numFmtId="181" fontId="27" fillId="7" borderId="0" xfId="3" applyNumberFormat="1" applyFont="1" applyFill="1" applyAlignment="1">
      <alignment vertical="center"/>
    </xf>
    <xf numFmtId="14" fontId="27" fillId="7" borderId="0" xfId="0" applyNumberFormat="1" applyFont="1" applyFill="1" applyAlignment="1">
      <alignment vertical="center"/>
    </xf>
    <xf numFmtId="164" fontId="27" fillId="7" borderId="0" xfId="2" applyFont="1" applyFill="1" applyAlignment="1">
      <alignment vertical="center"/>
    </xf>
    <xf numFmtId="0" fontId="28" fillId="7" borderId="0" xfId="0" applyFont="1" applyFill="1" applyAlignment="1">
      <alignment vertical="center"/>
    </xf>
    <xf numFmtId="14" fontId="22" fillId="7" borderId="0" xfId="0" applyNumberFormat="1" applyFont="1" applyFill="1" applyAlignment="1">
      <alignment vertical="center"/>
    </xf>
    <xf numFmtId="0" fontId="0" fillId="8" borderId="38" xfId="0" quotePrefix="1" applyFill="1" applyBorder="1" applyAlignment="1">
      <alignment horizontal="center" vertical="center"/>
    </xf>
    <xf numFmtId="0" fontId="0" fillId="8" borderId="38" xfId="0" applyFill="1" applyBorder="1" applyAlignment="1">
      <alignment horizontal="center" vertical="center"/>
    </xf>
    <xf numFmtId="0" fontId="10" fillId="7" borderId="0" xfId="0" applyFont="1" applyFill="1" applyAlignment="1">
      <alignment vertical="center"/>
    </xf>
    <xf numFmtId="0" fontId="16" fillId="7" borderId="0" xfId="0" applyFont="1" applyFill="1" applyAlignment="1">
      <alignment vertical="center"/>
    </xf>
    <xf numFmtId="0" fontId="10" fillId="4" borderId="0" xfId="0" applyFont="1" applyFill="1" applyBorder="1" applyAlignment="1">
      <alignment vertical="center"/>
    </xf>
    <xf numFmtId="177" fontId="8" fillId="4" borderId="8" xfId="0" applyNumberFormat="1" applyFont="1" applyFill="1" applyBorder="1" applyAlignment="1">
      <alignment horizontal="right" vertical="center"/>
    </xf>
    <xf numFmtId="9" fontId="8" fillId="4" borderId="13" xfId="3" applyFont="1" applyFill="1" applyBorder="1" applyAlignment="1">
      <alignment horizontal="right" vertical="center"/>
    </xf>
    <xf numFmtId="177" fontId="8" fillId="4" borderId="13" xfId="0" applyNumberFormat="1" applyFont="1" applyFill="1" applyBorder="1" applyAlignment="1">
      <alignment horizontal="right" vertical="center"/>
    </xf>
    <xf numFmtId="0" fontId="11" fillId="4" borderId="0" xfId="0" applyFont="1" applyFill="1" applyBorder="1" applyAlignment="1">
      <alignment horizontal="right" vertical="center"/>
    </xf>
    <xf numFmtId="164" fontId="7" fillId="4" borderId="21" xfId="0" applyNumberFormat="1" applyFont="1" applyFill="1" applyBorder="1" applyAlignment="1">
      <alignment horizontal="right" vertical="center"/>
    </xf>
    <xf numFmtId="180" fontId="10" fillId="7" borderId="0" xfId="0" applyNumberFormat="1" applyFont="1" applyFill="1" applyAlignment="1">
      <alignment vertical="center"/>
    </xf>
    <xf numFmtId="0" fontId="19" fillId="7" borderId="0" xfId="5" applyFont="1" applyFill="1" applyBorder="1" applyAlignment="1" applyProtection="1">
      <alignment vertical="center"/>
      <protection hidden="1"/>
    </xf>
    <xf numFmtId="0" fontId="10" fillId="7" borderId="0" xfId="0" applyFont="1" applyFill="1" applyBorder="1" applyAlignment="1">
      <alignment vertical="center"/>
    </xf>
    <xf numFmtId="0" fontId="5" fillId="3" borderId="53" xfId="0" applyFont="1" applyFill="1" applyBorder="1" applyAlignment="1">
      <alignment horizontal="left" vertical="center"/>
    </xf>
    <xf numFmtId="0" fontId="5" fillId="3" borderId="53" xfId="0" applyFont="1" applyFill="1" applyBorder="1" applyAlignment="1">
      <alignment vertical="center"/>
    </xf>
    <xf numFmtId="164" fontId="5" fillId="3" borderId="53" xfId="2" applyNumberFormat="1" applyFont="1" applyFill="1" applyBorder="1" applyAlignment="1">
      <alignment vertical="center"/>
    </xf>
    <xf numFmtId="9" fontId="5" fillId="3" borderId="53" xfId="3" applyFont="1" applyFill="1" applyBorder="1" applyAlignment="1">
      <alignment vertical="center"/>
    </xf>
    <xf numFmtId="166" fontId="5" fillId="3" borderId="53" xfId="2" applyNumberFormat="1" applyFont="1" applyFill="1" applyBorder="1" applyAlignment="1">
      <alignment vertical="center"/>
    </xf>
    <xf numFmtId="167" fontId="5" fillId="3" borderId="53" xfId="1" applyNumberFormat="1" applyFont="1" applyFill="1" applyBorder="1" applyAlignment="1">
      <alignment vertical="center"/>
    </xf>
    <xf numFmtId="168" fontId="5" fillId="3" borderId="53" xfId="0" applyNumberFormat="1" applyFont="1" applyFill="1" applyBorder="1" applyAlignment="1">
      <alignment vertical="center"/>
    </xf>
    <xf numFmtId="0" fontId="7" fillId="4" borderId="0" xfId="0" applyFont="1" applyFill="1" applyBorder="1" applyAlignment="1">
      <alignment horizontal="right" vertical="center" wrapText="1"/>
    </xf>
    <xf numFmtId="0" fontId="8" fillId="4" borderId="0" xfId="0" applyFont="1" applyFill="1" applyBorder="1" applyAlignment="1" applyProtection="1">
      <alignment horizontal="left" vertical="center"/>
      <protection locked="0"/>
    </xf>
    <xf numFmtId="0" fontId="8" fillId="4" borderId="0" xfId="0" applyFont="1" applyFill="1" applyBorder="1" applyAlignment="1">
      <alignment horizontal="left" vertical="center" wrapTex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right" vertical="center"/>
    </xf>
    <xf numFmtId="0" fontId="8" fillId="4" borderId="0" xfId="0" applyFont="1" applyFill="1" applyBorder="1" applyAlignment="1">
      <alignment horizontal="left" vertical="center"/>
    </xf>
    <xf numFmtId="0" fontId="7" fillId="4" borderId="0" xfId="0" applyFont="1" applyFill="1" applyBorder="1" applyAlignment="1">
      <alignment horizontal="left" vertical="center"/>
    </xf>
    <xf numFmtId="0" fontId="7" fillId="4" borderId="48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49" xfId="0" applyFont="1" applyFill="1" applyBorder="1" applyAlignment="1">
      <alignment horizontal="center" vertical="center"/>
    </xf>
    <xf numFmtId="0" fontId="7" fillId="4" borderId="50" xfId="0" applyFont="1" applyFill="1" applyBorder="1" applyAlignment="1">
      <alignment horizontal="center" vertical="center"/>
    </xf>
    <xf numFmtId="0" fontId="7" fillId="4" borderId="51" xfId="0" applyFont="1" applyFill="1" applyBorder="1" applyAlignment="1">
      <alignment horizontal="center" vertical="center"/>
    </xf>
    <xf numFmtId="0" fontId="7" fillId="4" borderId="52" xfId="0" applyFont="1" applyFill="1" applyBorder="1" applyAlignment="1">
      <alignment horizontal="center" vertical="center"/>
    </xf>
    <xf numFmtId="171" fontId="8" fillId="4" borderId="0" xfId="0" applyNumberFormat="1" applyFont="1" applyFill="1" applyBorder="1" applyAlignment="1">
      <alignment horizontal="left" vertical="center"/>
    </xf>
    <xf numFmtId="171" fontId="8" fillId="4" borderId="0" xfId="0" applyNumberFormat="1" applyFont="1" applyFill="1" applyBorder="1" applyAlignment="1">
      <alignment horizontal="left" vertical="center" wrapText="1"/>
    </xf>
    <xf numFmtId="0" fontId="7" fillId="4" borderId="0" xfId="0" applyFont="1" applyFill="1" applyBorder="1" applyAlignment="1">
      <alignment horizontal="right" vertical="center"/>
    </xf>
    <xf numFmtId="0" fontId="7" fillId="4" borderId="5" xfId="0" applyNumberFormat="1" applyFont="1" applyFill="1" applyBorder="1" applyAlignment="1">
      <alignment horizontal="center" vertical="center" wrapText="1"/>
    </xf>
    <xf numFmtId="0" fontId="12" fillId="7" borderId="19" xfId="0" applyFont="1" applyFill="1" applyBorder="1" applyAlignment="1">
      <alignment horizontal="center" vertical="center"/>
    </xf>
    <xf numFmtId="0" fontId="12" fillId="7" borderId="20" xfId="0" applyFont="1" applyFill="1" applyBorder="1" applyAlignment="1">
      <alignment horizontal="center" vertical="center"/>
    </xf>
    <xf numFmtId="0" fontId="12" fillId="7" borderId="17" xfId="0" applyFont="1" applyFill="1" applyBorder="1" applyAlignment="1">
      <alignment horizontal="center" vertical="center"/>
    </xf>
    <xf numFmtId="3" fontId="8" fillId="4" borderId="0" xfId="0" applyNumberFormat="1" applyFont="1" applyFill="1" applyBorder="1" applyAlignment="1">
      <alignment horizontal="left" vertical="center" wrapText="1"/>
    </xf>
    <xf numFmtId="0" fontId="7" fillId="4" borderId="19" xfId="0" applyNumberFormat="1" applyFont="1" applyFill="1" applyBorder="1" applyAlignment="1">
      <alignment horizontal="center" vertical="center" wrapText="1"/>
    </xf>
    <xf numFmtId="0" fontId="11" fillId="4" borderId="20" xfId="0" applyFont="1" applyFill="1" applyBorder="1" applyAlignment="1" applyProtection="1">
      <alignment horizontal="left" vertical="center" wrapText="1"/>
      <protection locked="0"/>
    </xf>
    <xf numFmtId="0" fontId="7" fillId="4" borderId="17" xfId="0" applyNumberFormat="1" applyFont="1" applyFill="1" applyBorder="1" applyAlignment="1">
      <alignment horizontal="center" vertical="center" wrapText="1"/>
    </xf>
    <xf numFmtId="0" fontId="7" fillId="4" borderId="8" xfId="0" applyNumberFormat="1" applyFont="1" applyFill="1" applyBorder="1" applyAlignment="1">
      <alignment horizontal="center" vertical="center" wrapText="1"/>
    </xf>
    <xf numFmtId="0" fontId="7" fillId="4" borderId="18" xfId="0" applyNumberFormat="1" applyFont="1" applyFill="1" applyBorder="1" applyAlignment="1">
      <alignment horizontal="center" vertical="center" wrapText="1"/>
    </xf>
    <xf numFmtId="0" fontId="7" fillId="4" borderId="9" xfId="0" applyNumberFormat="1" applyFont="1" applyFill="1" applyBorder="1" applyAlignment="1">
      <alignment horizontal="center" vertical="center" wrapText="1"/>
    </xf>
    <xf numFmtId="0" fontId="7" fillId="4" borderId="21" xfId="0" applyNumberFormat="1" applyFont="1" applyFill="1" applyBorder="1" applyAlignment="1">
      <alignment horizontal="center" vertical="center" wrapText="1"/>
    </xf>
    <xf numFmtId="0" fontId="7" fillId="4" borderId="22" xfId="0" applyNumberFormat="1" applyFont="1" applyFill="1" applyBorder="1" applyAlignment="1">
      <alignment horizontal="center" vertical="center" wrapText="1"/>
    </xf>
    <xf numFmtId="0" fontId="7" fillId="4" borderId="23" xfId="0" applyNumberFormat="1" applyFont="1" applyFill="1" applyBorder="1" applyAlignment="1">
      <alignment horizontal="center" vertical="center" wrapText="1"/>
    </xf>
    <xf numFmtId="0" fontId="7" fillId="4" borderId="5" xfId="0" applyNumberFormat="1" applyFont="1" applyFill="1" applyBorder="1" applyAlignment="1">
      <alignment horizontal="left" vertical="center" wrapText="1"/>
    </xf>
    <xf numFmtId="0" fontId="17" fillId="4" borderId="0" xfId="0" applyFont="1" applyFill="1" applyBorder="1" applyAlignment="1">
      <alignment horizontal="left" vertical="center"/>
    </xf>
    <xf numFmtId="169" fontId="7" fillId="18" borderId="17" xfId="0" applyNumberFormat="1" applyFont="1" applyFill="1" applyBorder="1" applyAlignment="1">
      <alignment horizontal="center" vertical="center"/>
    </xf>
    <xf numFmtId="169" fontId="7" fillId="18" borderId="5" xfId="0" applyNumberFormat="1" applyFont="1" applyFill="1" applyBorder="1" applyAlignment="1">
      <alignment horizontal="center" vertical="center"/>
    </xf>
    <xf numFmtId="169" fontId="7" fillId="18" borderId="19" xfId="0" applyNumberFormat="1" applyFont="1" applyFill="1" applyBorder="1" applyAlignment="1">
      <alignment horizontal="center" vertical="center"/>
    </xf>
    <xf numFmtId="0" fontId="8" fillId="17" borderId="5" xfId="0" applyNumberFormat="1" applyFont="1" applyFill="1" applyBorder="1" applyAlignment="1">
      <alignment horizontal="center" vertical="center" wrapText="1"/>
    </xf>
    <xf numFmtId="0" fontId="11" fillId="4" borderId="20" xfId="0" applyFont="1" applyFill="1" applyBorder="1" applyAlignment="1" applyProtection="1">
      <alignment vertical="center" wrapText="1"/>
      <protection locked="0"/>
    </xf>
    <xf numFmtId="0" fontId="11" fillId="4" borderId="22" xfId="0" applyFont="1" applyFill="1" applyBorder="1" applyAlignment="1" applyProtection="1">
      <alignment vertical="center" wrapText="1"/>
      <protection locked="0"/>
    </xf>
    <xf numFmtId="0" fontId="11" fillId="4" borderId="0" xfId="0" applyFont="1" applyFill="1" applyBorder="1" applyAlignment="1">
      <alignment horizontal="left" vertical="center" wrapText="1"/>
    </xf>
    <xf numFmtId="0" fontId="42" fillId="4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4" borderId="0" xfId="0" applyNumberFormat="1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left" vertical="center"/>
    </xf>
    <xf numFmtId="0" fontId="11" fillId="4" borderId="0" xfId="0" applyFont="1" applyFill="1" applyBorder="1" applyAlignment="1">
      <alignment horizontal="left" vertical="center"/>
    </xf>
    <xf numFmtId="14" fontId="2" fillId="2" borderId="29" xfId="3" applyNumberFormat="1" applyFont="1" applyFill="1" applyBorder="1" applyAlignment="1">
      <alignment horizontal="center" vertical="center"/>
    </xf>
    <xf numFmtId="14" fontId="2" fillId="2" borderId="30" xfId="3" applyNumberFormat="1" applyFont="1" applyFill="1" applyBorder="1" applyAlignment="1">
      <alignment horizontal="center" vertical="center"/>
    </xf>
    <xf numFmtId="0" fontId="38" fillId="2" borderId="0" xfId="0" applyFont="1" applyFill="1" applyAlignment="1">
      <alignment horizontal="center" vertical="center"/>
    </xf>
  </cellXfs>
  <cellStyles count="8">
    <cellStyle name="Lien hypertexte" xfId="4" builtinId="8"/>
    <cellStyle name="Milliers" xfId="1" builtinId="3"/>
    <cellStyle name="Milliers 2" xfId="6"/>
    <cellStyle name="Monétaire" xfId="2" builtinId="4"/>
    <cellStyle name="Monétaire 2" xfId="7"/>
    <cellStyle name="Normal" xfId="0" builtinId="0"/>
    <cellStyle name="Normal 2 2" xfId="5"/>
    <cellStyle name="Pourcentage" xfId="3" builtinId="5"/>
  </cellStyles>
  <dxfs count="1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7" formatCode="_(* #,##0_);_(* \(#,##0\);_(* &quot;-&quot;??_);_(@_)"/>
      <fill>
        <patternFill patternType="solid">
          <fgColor indexed="64"/>
          <bgColor rgb="FFFFFD5D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4" formatCode="_(&quot;€&quot;* #,##0.00_);_(&quot;€&quot;* \(#,##0.00\);_(&quot;€&quot;* &quot;-&quot;??_);_(@_)"/>
      <fill>
        <patternFill patternType="solid">
          <fgColor indexed="64"/>
          <bgColor rgb="FFFFFD5D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4" formatCode="_(&quot;€&quot;* #,##0.00_);_(&quot;€&quot;* \(#,##0.00\);_(&quot;€&quot;* &quot;-&quot;??_);_(@_)"/>
      <fill>
        <patternFill patternType="solid">
          <fgColor indexed="64"/>
          <bgColor rgb="FFFFFD5D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70" formatCode="00000"/>
      <fill>
        <patternFill patternType="solid">
          <fgColor indexed="64"/>
          <bgColor rgb="FFFFFD5D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70" formatCode="00000"/>
      <fill>
        <patternFill patternType="solid">
          <fgColor indexed="64"/>
          <bgColor rgb="FFFFFD5D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70" formatCode="00000"/>
      <fill>
        <patternFill patternType="solid">
          <fgColor indexed="64"/>
          <bgColor rgb="FFFFFD5D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70" formatCode="00000"/>
      <fill>
        <patternFill patternType="solid">
          <fgColor indexed="64"/>
          <bgColor rgb="FFFFFD5D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83" formatCode="00000\ 00\ 000"/>
      <fill>
        <patternFill patternType="solid">
          <fgColor indexed="64"/>
          <bgColor rgb="FFFFFD5D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70" formatCode="00000"/>
      <fill>
        <patternFill patternType="solid">
          <fgColor indexed="64"/>
          <bgColor rgb="FFFFFD5D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70" formatCode="00000"/>
      <fill>
        <patternFill patternType="solid">
          <fgColor indexed="64"/>
          <bgColor rgb="FFFFFD5D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30" formatCode="@"/>
      <fill>
        <patternFill patternType="solid">
          <fgColor indexed="64"/>
          <bgColor rgb="FFFFFD5D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82" formatCode="00,000,000,000,000"/>
      <fill>
        <patternFill patternType="solid">
          <fgColor indexed="64"/>
          <bgColor rgb="FFFFFD5D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82" formatCode="00,000,000,000,000"/>
      <fill>
        <patternFill patternType="solid">
          <fgColor indexed="64"/>
          <bgColor rgb="FFFFFD5D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70" formatCode="00000"/>
      <fill>
        <patternFill patternType="solid">
          <fgColor indexed="64"/>
          <bgColor rgb="FFFFFD5D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70" formatCode="00000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70" formatCode="00000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70" formatCode="00000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6" formatCode="_-* #,##0.00\ [$€-40C]_-;\-* #,##0.00\ [$€-40C]_-;_-* &quot;-&quot;??\ [$€-40C]_-;_-@_-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4" formatCode="_(&quot;€&quot;* #,##0.00_);_(&quot;€&quot;* \(#,##0.00\);_(&quot;€&quot;* &quot;-&quot;??_);_(@_)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0" formatCode="General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0" formatCode="General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0" formatCode="General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0" formatCode="General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6" formatCode="_-* #,##0.00\ [$€-40C]_-;\-* #,##0.00\ [$€-40C]_-;_-* &quot;-&quot;??\ [$€-40C]_-;_-@_-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4" formatCode="_(&quot;€&quot;* #,##0.00_);_(&quot;€&quot;* \(#,##0.00\);_(&quot;€&quot;* &quot;-&quot;??_);_(@_)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85" formatCode="m/d/yyyy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0" formatCode="General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4" formatCode="_(&quot;€&quot;* #,##0.00_);_(&quot;€&quot;* \(#,##0.00\);_(&quot;€&quot;* &quot;-&quot;??_);_(@_)"/>
      <fill>
        <patternFill patternType="solid">
          <fgColor indexed="64"/>
          <bgColor rgb="FFFFFD5D"/>
        </patternFill>
      </fill>
      <alignment horizontal="right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4" formatCode="_(&quot;€&quot;* #,##0.00_);_(&quot;€&quot;* \(#,##0.00\);_(&quot;€&quot;* &quot;-&quot;??_);_(@_)"/>
      <fill>
        <patternFill patternType="solid">
          <fgColor indexed="64"/>
          <bgColor rgb="FFFFFD5D"/>
        </patternFill>
      </fill>
      <alignment horizontal="right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" formatCode="0"/>
      <fill>
        <patternFill patternType="solid">
          <fgColor indexed="64"/>
          <bgColor rgb="FFFFFD5D"/>
        </patternFill>
      </fill>
      <alignment horizontal="right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4" formatCode="_(&quot;€&quot;* #,##0.00_);_(&quot;€&quot;* \(#,##0.00\);_(&quot;€&quot;* &quot;-&quot;??_);_(@_)"/>
      <fill>
        <patternFill patternType="solid">
          <fgColor indexed="64"/>
          <bgColor rgb="FFFFFD5D"/>
        </patternFill>
      </fill>
      <alignment horizontal="right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85" formatCode="m/d/yyyy"/>
      <fill>
        <patternFill patternType="solid">
          <fgColor indexed="64"/>
          <bgColor rgb="FFFFFD5D"/>
        </patternFill>
      </fill>
      <alignment horizontal="right" vertical="center" textRotation="0" wrapText="1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85" formatCode="m/d/yyyy"/>
      <fill>
        <patternFill patternType="solid">
          <fgColor indexed="64"/>
          <bgColor rgb="FFFFFD5D"/>
        </patternFill>
      </fill>
      <alignment horizontal="right" vertical="center" textRotation="0" wrapText="1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border diagonalUp="0" diagonalDown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strike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70" formatCode="00000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</dxf>
    <dxf>
      <border>
        <bottom style="hair">
          <color rgb="FF3366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D5D"/>
        <name val="Calibri"/>
        <family val="2"/>
        <scheme val="minor"/>
      </font>
      <numFmt numFmtId="170" formatCode="00000"/>
      <fill>
        <patternFill patternType="solid">
          <fgColor indexed="64"/>
          <bgColor rgb="FF00206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/>
        <bottom/>
      </border>
    </dxf>
    <dxf>
      <font>
        <b val="0"/>
        <i val="0"/>
        <color rgb="FF9C0006"/>
      </font>
      <fill>
        <patternFill>
          <bgColor theme="5" tint="0.59996337778862885"/>
        </patternFill>
      </fill>
    </dxf>
    <dxf>
      <font>
        <b/>
        <i/>
        <color rgb="FF3E725D"/>
      </font>
      <fill>
        <patternFill>
          <fgColor auto="1"/>
          <bgColor rgb="FF97E9B2"/>
        </patternFill>
      </fill>
    </dxf>
    <dxf>
      <font>
        <color theme="3"/>
      </font>
      <fill>
        <patternFill>
          <bgColor theme="4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2060"/>
      </font>
      <fill>
        <patternFill>
          <bgColor rgb="FF99CCFF"/>
        </patternFill>
      </fill>
    </dxf>
    <dxf>
      <font>
        <color rgb="FF7030A0"/>
      </font>
      <fill>
        <patternFill>
          <bgColor rgb="FFE2C5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E4C9FF"/>
        </patternFill>
      </fill>
    </dxf>
    <dxf>
      <font>
        <color rgb="FF002060"/>
      </font>
      <fill>
        <patternFill>
          <bgColor rgb="FFB7DB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FF66"/>
      </font>
      <fill>
        <patternFill patternType="solid">
          <bgColor rgb="FF002060"/>
        </patternFill>
      </fill>
    </dxf>
    <dxf>
      <font>
        <color theme="0"/>
      </font>
      <fill>
        <patternFill patternType="solid">
          <bgColor rgb="FF7030A0"/>
        </patternFill>
      </fill>
    </dxf>
    <dxf>
      <font>
        <color auto="1"/>
      </font>
      <fill>
        <patternFill patternType="solid">
          <bgColor rgb="FFFF6699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663300"/>
        </patternFill>
      </fill>
    </dxf>
    <dxf>
      <font>
        <color rgb="FF663300"/>
      </font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fill>
        <patternFill patternType="solid">
          <fgColor indexed="64"/>
          <bgColor rgb="FFFFFD5D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numFmt numFmtId="184" formatCode="000,000,000"/>
      <fill>
        <patternFill patternType="solid">
          <fgColor indexed="64"/>
          <bgColor rgb="FFFFFD5D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numFmt numFmtId="184" formatCode="000,000,000"/>
      <fill>
        <patternFill patternType="solid">
          <fgColor indexed="64"/>
          <bgColor rgb="FFFFFD5D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fill>
        <patternFill patternType="solid">
          <fgColor indexed="64"/>
          <bgColor rgb="FFFFFD5D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fill>
        <patternFill patternType="solid">
          <fgColor indexed="64"/>
          <bgColor rgb="FFFFFD5D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fill>
        <patternFill patternType="solid">
          <fgColor indexed="64"/>
          <bgColor rgb="FFFFFD5D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fill>
        <patternFill patternType="solid">
          <fgColor indexed="64"/>
          <bgColor rgb="FFFFFD5D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fill>
        <patternFill patternType="solid">
          <fgColor indexed="64"/>
          <bgColor rgb="FFFFFD5D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numFmt numFmtId="171" formatCode="0#&quot; &quot;##&quot; &quot;##&quot; &quot;##&quot; &quot;##"/>
      <fill>
        <patternFill patternType="solid">
          <fgColor indexed="64"/>
          <bgColor rgb="FFFFFD5D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fill>
        <patternFill patternType="solid">
          <fgColor indexed="64"/>
          <bgColor rgb="FFFFFD5D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numFmt numFmtId="170" formatCode="00000"/>
      <fill>
        <patternFill patternType="solid">
          <fgColor indexed="64"/>
          <bgColor rgb="FFFFFD5D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fill>
        <patternFill patternType="solid">
          <fgColor indexed="64"/>
          <bgColor rgb="FFFFFD5D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fill>
        <patternFill patternType="solid">
          <fgColor indexed="64"/>
          <bgColor rgb="FFFFFD5D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border outline="0">
        <top style="thin">
          <color rgb="FFFFFF66"/>
        </top>
      </border>
    </dxf>
    <dxf>
      <font>
        <strike val="0"/>
        <outline val="0"/>
        <shadow val="0"/>
        <vertAlign val="baseline"/>
        <color rgb="FF002060"/>
      </font>
      <numFmt numFmtId="0" formatCode="General"/>
      <fill>
        <patternFill patternType="solid">
          <fgColor indexed="64"/>
          <bgColor rgb="FFFFFD5D"/>
        </patternFill>
      </fill>
    </dxf>
    <dxf>
      <border outline="0">
        <bottom style="thin">
          <color rgb="FFFFFF6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D5D"/>
        <name val="BastardusSans"/>
        <scheme val="none"/>
      </font>
      <numFmt numFmtId="0" formatCode="General"/>
      <fill>
        <patternFill patternType="solid">
          <fgColor indexed="64"/>
          <bgColor rgb="FF00206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66"/>
        </left>
        <right style="thin">
          <color rgb="FFFFFF66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0" formatCode="General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7" formatCode="_(* #,##0_);_(* \(#,##0\);_(* &quot;-&quot;??_);_(@_)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7" formatCode="_(* #,##0_);_(* \(#,##0\);_(* &quot;-&quot;??_);_(@_)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7" formatCode="_(* #,##0_);_(* \(#,##0\);_(* &quot;-&quot;??_);_(@_)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7" formatCode="_(* #,##0_);_(* \(#,##0\);_(* &quot;-&quot;??_);_(@_)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8" formatCode="0.000\ \k\g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7" formatCode="_(* #,##0_);_(* \(#,##0\);_(* &quot;-&quot;??_);_(@_)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6" formatCode="_-* #,##0.00\ [$€-40C]_-;\-* #,##0.00\ [$€-40C]_-;_-* &quot;-&quot;??\ [$€-40C]_-;_-@_-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4" formatCode="_(&quot;€&quot;* #,##0.00_);_(&quot;€&quot;* \(#,##0.00\);_(&quot;€&quot;* &quot;-&quot;??_);_(@_)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fill>
        <patternFill patternType="solid">
          <fgColor indexed="64"/>
          <bgColor rgb="FFFFFD5D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border outline="0">
        <top style="thin">
          <color rgb="FFFFFF66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7" formatCode="_(* #,##0_);_(* \(#,##0\);_(* &quot;-&quot;??_);_(@_)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</dxf>
    <dxf>
      <border outline="0">
        <bottom style="thin">
          <color rgb="FFFFFF6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D5D"/>
        <name val="Calibri"/>
        <family val="2"/>
        <scheme val="minor"/>
      </font>
      <numFmt numFmtId="167" formatCode="_(* #,##0_);_(* \(#,##0\);_(* &quot;-&quot;??_);_(@_)"/>
      <fill>
        <patternFill patternType="solid">
          <fgColor indexed="64"/>
          <bgColor rgb="FF00206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66"/>
        </left>
        <right style="thin">
          <color rgb="FFFFFF66"/>
        </right>
        <top/>
        <bottom/>
      </border>
    </dxf>
    <dxf>
      <font>
        <b val="0"/>
        <i/>
        <color theme="3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b val="0"/>
        <i/>
        <color theme="3"/>
      </font>
      <fill>
        <patternFill>
          <bgColor rgb="FFFFC000"/>
        </patternFill>
      </fill>
    </dxf>
    <dxf>
      <font>
        <b val="0"/>
        <i/>
        <color theme="3"/>
      </font>
      <fill>
        <patternFill>
          <bgColor rgb="FF33CC33"/>
        </patternFill>
      </fill>
    </dxf>
  </dxfs>
  <tableStyles count="0" defaultTableStyle="TableStyleMedium2" defaultPivotStyle="PivotStyleLight16"/>
  <colors>
    <mruColors>
      <color rgb="FFFFFD5D"/>
      <color rgb="FF2E6A68"/>
      <color rgb="FFD3FD0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GBox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9.emf"/><Relationship Id="rId1" Type="http://schemas.openxmlformats.org/officeDocument/2006/relationships/image" Target="../media/image10.emf"/><Relationship Id="rId4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0</xdr:row>
          <xdr:rowOff>9525</xdr:rowOff>
        </xdr:from>
        <xdr:to>
          <xdr:col>14</xdr:col>
          <xdr:colOff>2419350</xdr:colOff>
          <xdr:row>1</xdr:row>
          <xdr:rowOff>0</xdr:rowOff>
        </xdr:to>
        <xdr:sp macro="" textlink="">
          <xdr:nvSpPr>
            <xdr:cNvPr id="8194" name="CmdEquipements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0</xdr:row>
          <xdr:rowOff>0</xdr:rowOff>
        </xdr:from>
        <xdr:to>
          <xdr:col>17</xdr:col>
          <xdr:colOff>19050</xdr:colOff>
          <xdr:row>0</xdr:row>
          <xdr:rowOff>400050</xdr:rowOff>
        </xdr:to>
        <xdr:sp macro="" textlink="">
          <xdr:nvSpPr>
            <xdr:cNvPr id="8197" name="CmdMain_Oeuvre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0</xdr:row>
          <xdr:rowOff>0</xdr:rowOff>
        </xdr:from>
        <xdr:to>
          <xdr:col>19</xdr:col>
          <xdr:colOff>19050</xdr:colOff>
          <xdr:row>0</xdr:row>
          <xdr:rowOff>400050</xdr:rowOff>
        </xdr:to>
        <xdr:sp macro="" textlink="">
          <xdr:nvSpPr>
            <xdr:cNvPr id="8198" name="CmdChoix_Produit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0</xdr:row>
          <xdr:rowOff>9525</xdr:rowOff>
        </xdr:from>
        <xdr:to>
          <xdr:col>18</xdr:col>
          <xdr:colOff>0</xdr:colOff>
          <xdr:row>1</xdr:row>
          <xdr:rowOff>19050</xdr:rowOff>
        </xdr:to>
        <xdr:sp macro="" textlink="">
          <xdr:nvSpPr>
            <xdr:cNvPr id="5121" name="CmdB_Gestion_Client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0</xdr:row>
          <xdr:rowOff>9525</xdr:rowOff>
        </xdr:from>
        <xdr:to>
          <xdr:col>20</xdr:col>
          <xdr:colOff>9525</xdr:colOff>
          <xdr:row>1</xdr:row>
          <xdr:rowOff>19050</xdr:rowOff>
        </xdr:to>
        <xdr:sp macro="" textlink="">
          <xdr:nvSpPr>
            <xdr:cNvPr id="5122" name="CmdB_Secteur_Activite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0</xdr:row>
          <xdr:rowOff>9525</xdr:rowOff>
        </xdr:from>
        <xdr:to>
          <xdr:col>22</xdr:col>
          <xdr:colOff>733425</xdr:colOff>
          <xdr:row>1</xdr:row>
          <xdr:rowOff>19050</xdr:rowOff>
        </xdr:to>
        <xdr:sp macro="" textlink="">
          <xdr:nvSpPr>
            <xdr:cNvPr id="5123" name="CmdB_Accueil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628650</xdr:colOff>
          <xdr:row>46</xdr:row>
          <xdr:rowOff>104775</xdr:rowOff>
        </xdr:from>
        <xdr:to>
          <xdr:col>10</xdr:col>
          <xdr:colOff>276225</xdr:colOff>
          <xdr:row>54</xdr:row>
          <xdr:rowOff>104775</xdr:rowOff>
        </xdr:to>
        <xdr:sp macro="" textlink="">
          <xdr:nvSpPr>
            <xdr:cNvPr id="3073" name="Group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Colisage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3</xdr:row>
      <xdr:rowOff>0</xdr:rowOff>
    </xdr:from>
    <xdr:ext cx="1028700" cy="371476"/>
    <xdr:sp macro="" textlink="">
      <xdr:nvSpPr>
        <xdr:cNvPr id="2" name="ZoneTexte 1"/>
        <xdr:cNvSpPr txBox="1"/>
      </xdr:nvSpPr>
      <xdr:spPr>
        <a:xfrm>
          <a:off x="9906000" y="819150"/>
          <a:ext cx="1028700" cy="371476"/>
        </a:xfrm>
        <a:prstGeom prst="rect">
          <a:avLst/>
        </a:prstGeom>
        <a:noFill/>
        <a:ln>
          <a:noFil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 prst="slope"/>
        </a:sp3d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fr-FR" sz="12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762000" cy="371476"/>
    <xdr:sp macro="" textlink="">
      <xdr:nvSpPr>
        <xdr:cNvPr id="3" name="ZoneTexte 2"/>
        <xdr:cNvSpPr txBox="1"/>
      </xdr:nvSpPr>
      <xdr:spPr>
        <a:xfrm>
          <a:off x="8620125" y="819150"/>
          <a:ext cx="762000" cy="371476"/>
        </a:xfrm>
        <a:prstGeom prst="rect">
          <a:avLst/>
        </a:prstGeom>
        <a:noFill/>
        <a:ln>
          <a:noFil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 prst="slope"/>
        </a:sp3d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fr-FR" sz="12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1266825</xdr:colOff>
          <xdr:row>1</xdr:row>
          <xdr:rowOff>9525</xdr:rowOff>
        </xdr:from>
        <xdr:to>
          <xdr:col>2</xdr:col>
          <xdr:colOff>257175</xdr:colOff>
          <xdr:row>3</xdr:row>
          <xdr:rowOff>9525</xdr:rowOff>
        </xdr:to>
        <xdr:sp macro="" textlink="">
          <xdr:nvSpPr>
            <xdr:cNvPr id="13313" name="CmdB_Accueil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238125</xdr:colOff>
          <xdr:row>1</xdr:row>
          <xdr:rowOff>9525</xdr:rowOff>
        </xdr:from>
        <xdr:to>
          <xdr:col>3</xdr:col>
          <xdr:colOff>647700</xdr:colOff>
          <xdr:row>3</xdr:row>
          <xdr:rowOff>9525</xdr:rowOff>
        </xdr:to>
        <xdr:sp macro="" textlink="">
          <xdr:nvSpPr>
            <xdr:cNvPr id="13314" name="CmdB_Paiement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638175</xdr:colOff>
          <xdr:row>1</xdr:row>
          <xdr:rowOff>9525</xdr:rowOff>
        </xdr:from>
        <xdr:to>
          <xdr:col>4</xdr:col>
          <xdr:colOff>1038225</xdr:colOff>
          <xdr:row>3</xdr:row>
          <xdr:rowOff>9525</xdr:rowOff>
        </xdr:to>
        <xdr:sp macro="" textlink="">
          <xdr:nvSpPr>
            <xdr:cNvPr id="13315" name="CmdB_Quitter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1</xdr:row>
          <xdr:rowOff>57150</xdr:rowOff>
        </xdr:from>
        <xdr:to>
          <xdr:col>0</xdr:col>
          <xdr:colOff>1114425</xdr:colOff>
          <xdr:row>3</xdr:row>
          <xdr:rowOff>0</xdr:rowOff>
        </xdr:to>
        <xdr:sp macro="" textlink="">
          <xdr:nvSpPr>
            <xdr:cNvPr id="13316" name="CheckBox1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E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S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id="1" name="TableauProduit" displayName="TableauProduit" ref="A1:M28" totalsRowShown="0" headerRowDxfId="105" dataDxfId="103" headerRowBorderDxfId="104" tableBorderDxfId="102" headerRowCellStyle="Milliers" dataCellStyle="Milliers">
  <autoFilter ref="A1:M2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name="EQUIPEMENT" dataDxfId="101"/>
    <tableColumn id="2" name="DESIGNATION" dataDxfId="100"/>
    <tableColumn id="3" name="REFERENCE" dataDxfId="99"/>
    <tableColumn id="4" name="Prix HT" dataDxfId="98" dataCellStyle="Monétaire"/>
    <tableColumn id="5" name="Coeff revente" dataDxfId="97" dataCellStyle="Pourcentage"/>
    <tableColumn id="6" name="Prix de Vente HT" dataDxfId="96" dataCellStyle="Monétaire">
      <calculatedColumnFormula>IF(AND(D2="",E2=""),"",D2*E2+D2)</calculatedColumnFormula>
    </tableColumn>
    <tableColumn id="7" name="QUANTITE" dataDxfId="95" dataCellStyle="Milliers"/>
    <tableColumn id="8" name="POIDS" dataDxfId="94"/>
    <tableColumn id="9" name="SEUIL" dataDxfId="93" dataCellStyle="Milliers"/>
    <tableColumn id="10" name="ENTREE" dataDxfId="92" dataCellStyle="Milliers"/>
    <tableColumn id="11" name="SORTIE" dataDxfId="91" dataCellStyle="Milliers"/>
    <tableColumn id="12" name="STOCK" dataDxfId="90" dataCellStyle="Milliers">
      <calculatedColumnFormula>IF(AND(G2="",J2="",K2=""),"",SUM(G2+J2-K2))</calculatedColumnFormula>
    </tableColumn>
    <tableColumn id="13" name="ETAT" dataDxfId="89">
      <calculatedColumnFormula>IF(L2="","",IF(L2&gt;=I2,"OK",IF(L2&gt;0,"à commander",IF(L2&gt;=0,"Rupture","ERREUR"))))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" name="TableauClients" displayName="TableauClients" ref="A1:M26" totalsRowShown="0" headerRowDxfId="88" dataDxfId="86" headerRowBorderDxfId="87" tableBorderDxfId="85">
  <autoFilter ref="A1:M2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name="Nom" dataDxfId="84"/>
    <tableColumn id="2" name="Adresse" dataDxfId="83"/>
    <tableColumn id="3" name="Code postal" dataDxfId="82"/>
    <tableColumn id="4" name="Ville " dataDxfId="81"/>
    <tableColumn id="5" name="Téléphone" dataDxfId="80"/>
    <tableColumn id="6" name="Adresse e-mail" dataDxfId="79" dataCellStyle="Lien hypertexte"/>
    <tableColumn id="7" name="N° TVA" dataDxfId="78"/>
    <tableColumn id="8" name="Code Client" dataDxfId="77"/>
    <tableColumn id="9" name="Contact Principal" dataDxfId="76"/>
    <tableColumn id="10" name="Fax" dataDxfId="75"/>
    <tableColumn id="11" name="Numéro SIREN" dataDxfId="74"/>
    <tableColumn id="12" name="Numéro SIRET" dataDxfId="73"/>
    <tableColumn id="13" name="Secteur d'activité" dataDxfId="72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2" name="SUIVI_DES_FACTURES" displayName="SUIVI_DES_FACTURES" ref="A4:AM22" totalsRowShown="0" headerRowDxfId="42" dataDxfId="40" headerRowBorderDxfId="41" tableBorderDxfId="39" headerRowCellStyle="Milliers">
  <autoFilter ref="A4:AM2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</autoFilter>
  <tableColumns count="39">
    <tableColumn id="1" name="Raison sociale" dataDxfId="38"/>
    <tableColumn id="2" name="N° facture" dataDxfId="37"/>
    <tableColumn id="3" name="Date facture" dataDxfId="36"/>
    <tableColumn id="4" name="Date d'échéance" dataDxfId="35">
      <calculatedColumnFormula>IF(SUIVI_DES_FACTURES[[#This Row],[Date facture]]="","",EOMONTH(SUIVI_DES_FACTURES[[#This Row],[Date facture]]+30,0))</calculatedColumnFormula>
    </tableColumn>
    <tableColumn id="5" name="Montant TTC" dataDxfId="34" dataCellStyle="Pourcentage"/>
    <tableColumn id="6" name="Nbre de Jours en dépassement" dataDxfId="33">
      <calculatedColumnFormula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calculatedColumnFormula>
    </tableColumn>
    <tableColumn id="7" name="Majoration" dataDxfId="32" dataCellStyle="Pourcentage">
      <calculatedColumnFormula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calculatedColumnFormula>
    </tableColumn>
    <tableColumn id="8" name="Solde restant dû" dataDxfId="31" dataCellStyle="Pourcentage">
      <calculatedColumnFormula>IF(SUIVI_DES_FACTURES[[#This Row],[Date facture]]="","",ROUNDDOWN(SUIVI_DES_FACTURES[[#This Row],[Montant TTC]]+SUIVI_DES_FACTURES[[#This Row],[Majoration]],2))</calculatedColumnFormula>
    </tableColumn>
    <tableColumn id="9" name="▼  Réglée  ▼" dataDxfId="30">
      <calculatedColumnFormula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 ))</calculatedColumnFormula>
    </tableColumn>
    <tableColumn id="10" name="Date du Règlement" dataDxfId="29"/>
    <tableColumn id="11" name="Montant Total Payé" dataDxfId="28" dataCellStyle="Monétaire">
      <calculatedColumnFormula>IF(AND(SUIVI_DES_FACTURES[[#This Row],[Paiement Comptant]]="",SUIVI_DES_FACTURES[[#This Row],[Paiement Différé]]=""),"",(SUIVI_DES_FACTURES[[#This Row],[Paiement Comptant]]+SUIVI_DES_FACTURES[[#This Row],[Paiement Différé]]))</calculatedColumnFormula>
    </tableColumn>
    <tableColumn id="12" name="Majoration Payée" dataDxfId="27">
      <calculatedColumnFormula>IFERROR(IF(SUIVI_DES_FACTURES[[#This Row],[▼  Réglée  ▼]]="Validée",SUIVI_DES_FACTURES[[#This Row],[Montant Total Payé]]-SUIVI_DES_FACTURES[[#This Row],[Montant TTC]],""),"")</calculatedColumnFormula>
    </tableColumn>
    <tableColumn id="13" name="Première relance " dataDxfId="26" dataCellStyle="Milliers">
      <calculatedColumnFormula>IF(SUIVI_DES_FACTURES[[#This Row],[▼  Réglée  ▼]]= "Validée","",IF(SUIVI_DES_FACTURES[[#This Row],[Raison sociale]]&lt;&gt;"",IF(TODAY()&gt;SUIVI_DES_FACTURES[[#This Row],[Date d''échéance]]+15,"Relance1",""),""))</calculatedColumnFormula>
    </tableColumn>
    <tableColumn id="14" name="Deuxième relance " dataDxfId="25">
      <calculatedColumnFormula>IF(SUIVI_DES_FACTURES[[#This Row],[▼  Réglée  ▼]]="Validée","",IF(SUIVI_DES_FACTURES[[#This Row],[Raison sociale]]&lt;&gt;"",IF(TODAY()&gt;SUIVI_DES_FACTURES[[#This Row],[Date d''échéance]]+45,"Relance2",""),""))</calculatedColumnFormula>
    </tableColumn>
    <tableColumn id="15" name="Troisième relance " dataDxfId="24">
      <calculatedColumnFormula>IF(SUIVI_DES_FACTURES[[#This Row],[▼  Réglée  ▼]]="Validée","",IF(SUIVI_DES_FACTURES[[#This Row],[Raison sociale]]&lt;&gt;"",IF(TODAY()&gt;SUIVI_DES_FACTURES[[#This Row],[Date d''échéance]]+75,"Relance3",""),""))</calculatedColumnFormula>
    </tableColumn>
    <tableColumn id="16" name="Observations" dataDxfId="23">
      <calculatedColumnFormula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calculatedColumnFormula>
    </tableColumn>
    <tableColumn id="17" name="TVA 5,5" dataDxfId="22" dataCellStyle="Monétaire"/>
    <tableColumn id="18" name="TVA 7" dataDxfId="21" dataCellStyle="Monétaire"/>
    <tableColumn id="19" name="TVA 10" dataDxfId="20" dataCellStyle="Monétaire"/>
    <tableColumn id="20" name="TVA 20" dataDxfId="19" dataCellStyle="Monétaire"/>
    <tableColumn id="21" name="HT" dataDxfId="18" dataCellStyle="Monétaire">
      <calculatedColumnFormula>IF(SUIVI_DES_FACTURES[[#This Row],[Date facture]]="","",ROUNDDOWN(-SUM(-SUIVI_DES_FACTURES[[#This Row],[Montant TTC]],(SUIVI_DES_FACTURES[[#This Row],[TVA 5,5]:[TVA 20]])),2))</calculatedColumnFormula>
    </tableColumn>
    <tableColumn id="22" name="Adresse" dataDxfId="17">
      <calculatedColumnFormula>IF(SUIVI_DES_FACTURES[[#This Row],[Raison sociale]]="","",VLOOKUP(SUIVI_DES_FACTURES[[#This Row],[Raison sociale]],CLIENTS_PLAGE_CLIENTS,2,FALSE))</calculatedColumnFormula>
    </tableColumn>
    <tableColumn id="23" name="CP" dataDxfId="16" dataCellStyle="Milliers">
      <calculatedColumnFormula>IF(SUIVI_DES_FACTURES[[#This Row],[Raison sociale]]="","",VLOOKUP(SUIVI_DES_FACTURES[[#This Row],[Raison sociale]],CLIENTS_PLAGE_CLIENTS,3,FALSE))</calculatedColumnFormula>
    </tableColumn>
    <tableColumn id="24" name="VILLE" dataDxfId="15" dataCellStyle="Milliers">
      <calculatedColumnFormula>IF(SUIVI_DES_FACTURES[[#This Row],[Raison sociale]]="","",VLOOKUP(SUIVI_DES_FACTURES[[#This Row],[Raison sociale]],CLIENTS_PLAGE_CLIENTS,4,FALSE))</calculatedColumnFormula>
    </tableColumn>
    <tableColumn id="25" name="MODE DE PAIEMENT" dataDxfId="14" dataCellStyle="Milliers"/>
    <tableColumn id="26" name="TITULAIRE DU COMPTE" dataDxfId="13" dataCellStyle="Milliers"/>
    <tableColumn id="27" name="N° DE CHEQUE / DOMICILIATION" dataDxfId="12" dataCellStyle="Milliers"/>
    <tableColumn id="28" name="TRANSACTION" dataDxfId="11" dataCellStyle="Milliers"/>
    <tableColumn id="29" name="LIBELLE / ADRESSE MAIL" dataDxfId="10" dataCellStyle="Milliers"/>
    <tableColumn id="30" name="CODE BANQUE" dataDxfId="9" dataCellStyle="Milliers"/>
    <tableColumn id="31" name="CODE GUICHET" dataDxfId="8" dataCellStyle="Milliers"/>
    <tableColumn id="32" name="NUMERO DE COMPTE" dataDxfId="7" dataCellStyle="Milliers"/>
    <tableColumn id="33" name="CLE RIB" dataDxfId="6" dataCellStyle="Milliers"/>
    <tableColumn id="34" name="CODE BIC/SWIFT" dataDxfId="5" dataCellStyle="Milliers"/>
    <tableColumn id="35" name="CODE IBAN" dataDxfId="4" dataCellStyle="Milliers"/>
    <tableColumn id="36" name="CHECKBOX" dataDxfId="3" dataCellStyle="Milliers">
      <calculatedColumnFormula>IF(SUIVI_DES_FACTURES[[#This Row],[Paiement Comptant]]&lt;&gt;0,"NON","OUI")</calculatedColumnFormula>
    </tableColumn>
    <tableColumn id="37" name="Paiement Comptant" dataDxfId="2" dataCellStyle="Milliers"/>
    <tableColumn id="38" name="Paiement Différé" dataDxfId="1" dataCellStyle="Milliers"/>
    <tableColumn id="39" name="CALCUL" dataDxfId="0" dataCellStyle="Milliers">
      <calculatedColumnFormula>IF(AJ5="","",IF(AJ5="OUI"=TRUE,ROWS($A$5:AI5),""))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emf"/><Relationship Id="rId3" Type="http://schemas.openxmlformats.org/officeDocument/2006/relationships/control" Target="../activeX/activeX4.xml"/><Relationship Id="rId7" Type="http://schemas.openxmlformats.org/officeDocument/2006/relationships/control" Target="../activeX/activeX6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5.emf"/><Relationship Id="rId5" Type="http://schemas.openxmlformats.org/officeDocument/2006/relationships/control" Target="../activeX/activeX5.xml"/><Relationship Id="rId4" Type="http://schemas.openxmlformats.org/officeDocument/2006/relationships/image" Target="../media/image4.emf"/><Relationship Id="rId9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9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8.emf"/><Relationship Id="rId12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8.xml"/><Relationship Id="rId11" Type="http://schemas.openxmlformats.org/officeDocument/2006/relationships/image" Target="../media/image10.emf"/><Relationship Id="rId5" Type="http://schemas.openxmlformats.org/officeDocument/2006/relationships/image" Target="../media/image7.emf"/><Relationship Id="rId10" Type="http://schemas.openxmlformats.org/officeDocument/2006/relationships/control" Target="../activeX/activeX10.xml"/><Relationship Id="rId4" Type="http://schemas.openxmlformats.org/officeDocument/2006/relationships/control" Target="../activeX/activeX7.xml"/><Relationship Id="rId9" Type="http://schemas.openxmlformats.org/officeDocument/2006/relationships/image" Target="../media/image9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02">
    <tabColor theme="3"/>
  </sheetPr>
  <dimension ref="A1:BZ43"/>
  <sheetViews>
    <sheetView showRowColHeaders="0" tabSelected="1" topLeftCell="A16" workbookViewId="0">
      <selection activeCell="E30" sqref="E30"/>
    </sheetView>
  </sheetViews>
  <sheetFormatPr baseColWidth="10" defaultRowHeight="15" x14ac:dyDescent="0.25"/>
  <cols>
    <col min="1" max="1" width="27.140625" style="165" bestFit="1" customWidth="1"/>
    <col min="2" max="2" width="74.7109375" style="219" customWidth="1"/>
    <col min="3" max="3" width="22.7109375" style="219" bestFit="1" customWidth="1"/>
    <col min="4" max="4" width="10.42578125" style="220" bestFit="1" customWidth="1"/>
    <col min="5" max="5" width="8.5703125" style="132" customWidth="1"/>
    <col min="6" max="6" width="18.7109375" style="221" customWidth="1"/>
    <col min="7" max="7" width="11.42578125" style="222" customWidth="1"/>
    <col min="8" max="8" width="9.7109375" style="223" customWidth="1"/>
    <col min="9" max="9" width="8.85546875" style="222" customWidth="1"/>
    <col min="10" max="10" width="10.5703125" style="222" customWidth="1"/>
    <col min="11" max="11" width="10.140625" style="222" customWidth="1"/>
    <col min="12" max="12" width="9.7109375" style="222" customWidth="1"/>
    <col min="13" max="13" width="13.140625" style="110" customWidth="1"/>
    <col min="14" max="14" width="2.85546875" style="110" customWidth="1"/>
    <col min="15" max="15" width="36.42578125" style="164" customWidth="1"/>
    <col min="16" max="16" width="2.85546875" style="164" customWidth="1"/>
    <col min="17" max="17" width="22.7109375" style="110" bestFit="1" customWidth="1"/>
    <col min="18" max="18" width="2.85546875" style="110" customWidth="1"/>
    <col min="19" max="19" width="23.5703125" style="110" customWidth="1"/>
    <col min="20" max="20" width="2.85546875" style="110" customWidth="1"/>
    <col min="21" max="21" width="27.85546875" style="110" customWidth="1"/>
    <col min="22" max="22" width="22.5703125" style="110" customWidth="1"/>
    <col min="23" max="16384" width="11.42578125" style="110"/>
  </cols>
  <sheetData>
    <row r="1" spans="1:78" s="161" customFormat="1" ht="32.25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1" t="s">
        <v>12</v>
      </c>
      <c r="N1" s="164"/>
      <c r="O1" s="140" t="s">
        <v>0</v>
      </c>
      <c r="Q1" s="140" t="s">
        <v>109</v>
      </c>
      <c r="S1" s="141"/>
      <c r="U1" s="140" t="s">
        <v>788</v>
      </c>
      <c r="V1" s="7">
        <f>SUM(U2:U8)+SUM(U22:U27)</f>
        <v>28461.648000000001</v>
      </c>
      <c r="BZ1" s="162"/>
    </row>
    <row r="2" spans="1:78" x14ac:dyDescent="0.25">
      <c r="A2" s="8" t="s">
        <v>13</v>
      </c>
      <c r="B2" s="207" t="s">
        <v>14</v>
      </c>
      <c r="C2" s="207" t="s">
        <v>15</v>
      </c>
      <c r="D2" s="208">
        <v>15</v>
      </c>
      <c r="E2" s="209">
        <v>0.2</v>
      </c>
      <c r="F2" s="210">
        <f t="shared" ref="F2:F28" si="0">IF(AND(D2="",E2=""),"",D2*E2+D2)</f>
        <v>18</v>
      </c>
      <c r="G2" s="211">
        <v>15</v>
      </c>
      <c r="H2" s="212">
        <v>8.1</v>
      </c>
      <c r="I2" s="211">
        <v>10</v>
      </c>
      <c r="J2" s="211">
        <v>0</v>
      </c>
      <c r="K2" s="211">
        <v>0</v>
      </c>
      <c r="L2" s="211">
        <f t="shared" ref="L2:L26" si="1">IF(AND(G2="",J2="",K2=""),"",SUM(G2+J2-K2))</f>
        <v>15</v>
      </c>
      <c r="M2" s="207" t="str">
        <f t="shared" ref="M2:M26" si="2">IF(L2="","",IF(L2&gt;=I2,"OK",IF(L2&gt;0,"à commander",IF(L2&gt;=0,"Rupture","ERREUR"))))</f>
        <v>OK</v>
      </c>
      <c r="N2" s="164"/>
      <c r="O2" s="8" t="s">
        <v>13</v>
      </c>
      <c r="P2" s="163"/>
      <c r="Q2" s="207" t="s">
        <v>16</v>
      </c>
      <c r="S2" s="206"/>
      <c r="U2" s="213">
        <f>SUM(L2*F2)</f>
        <v>270</v>
      </c>
    </row>
    <row r="3" spans="1:78" x14ac:dyDescent="0.25">
      <c r="A3" s="9" t="s">
        <v>13</v>
      </c>
      <c r="B3" s="93" t="s">
        <v>17</v>
      </c>
      <c r="C3" s="93" t="s">
        <v>18</v>
      </c>
      <c r="D3" s="214">
        <v>25</v>
      </c>
      <c r="E3" s="215">
        <v>0.2</v>
      </c>
      <c r="F3" s="216">
        <f t="shared" si="0"/>
        <v>30</v>
      </c>
      <c r="G3" s="217">
        <v>10</v>
      </c>
      <c r="H3" s="218">
        <v>7.9</v>
      </c>
      <c r="I3" s="217">
        <v>10</v>
      </c>
      <c r="J3" s="217">
        <v>0</v>
      </c>
      <c r="K3" s="217">
        <v>0</v>
      </c>
      <c r="L3" s="217">
        <f t="shared" si="1"/>
        <v>10</v>
      </c>
      <c r="M3" s="93" t="str">
        <f t="shared" si="2"/>
        <v>OK</v>
      </c>
      <c r="N3" s="164"/>
      <c r="O3" s="9" t="s">
        <v>13</v>
      </c>
      <c r="P3" s="163"/>
      <c r="Q3" s="93" t="s">
        <v>20</v>
      </c>
      <c r="S3" s="206"/>
      <c r="U3" s="213">
        <f t="shared" ref="U3:U27" si="3">SUM(L3*F3)</f>
        <v>300</v>
      </c>
    </row>
    <row r="4" spans="1:78" x14ac:dyDescent="0.25">
      <c r="A4" s="9" t="s">
        <v>13</v>
      </c>
      <c r="B4" s="93" t="s">
        <v>21</v>
      </c>
      <c r="C4" s="93" t="s">
        <v>22</v>
      </c>
      <c r="D4" s="214">
        <v>35</v>
      </c>
      <c r="E4" s="215">
        <v>0.2</v>
      </c>
      <c r="F4" s="216">
        <f t="shared" si="0"/>
        <v>42</v>
      </c>
      <c r="G4" s="217">
        <v>5</v>
      </c>
      <c r="H4" s="218">
        <v>7.7</v>
      </c>
      <c r="I4" s="217">
        <v>10</v>
      </c>
      <c r="J4" s="217">
        <v>0</v>
      </c>
      <c r="K4" s="217">
        <v>0</v>
      </c>
      <c r="L4" s="217">
        <f t="shared" si="1"/>
        <v>5</v>
      </c>
      <c r="M4" s="93" t="str">
        <f t="shared" si="2"/>
        <v>à commander</v>
      </c>
      <c r="N4" s="164"/>
      <c r="O4" s="9" t="s">
        <v>19</v>
      </c>
      <c r="P4" s="163"/>
      <c r="Q4" s="93" t="s">
        <v>24</v>
      </c>
      <c r="S4" s="206"/>
      <c r="U4" s="213">
        <f t="shared" si="3"/>
        <v>210</v>
      </c>
    </row>
    <row r="5" spans="1:78" x14ac:dyDescent="0.25">
      <c r="A5" s="9" t="s">
        <v>19</v>
      </c>
      <c r="B5" s="93" t="s">
        <v>25</v>
      </c>
      <c r="C5" s="93" t="s">
        <v>26</v>
      </c>
      <c r="D5" s="214">
        <v>2.41</v>
      </c>
      <c r="E5" s="215">
        <v>0.2</v>
      </c>
      <c r="F5" s="216">
        <f t="shared" si="0"/>
        <v>2.8920000000000003</v>
      </c>
      <c r="G5" s="217">
        <v>1000</v>
      </c>
      <c r="H5" s="218">
        <v>3.524</v>
      </c>
      <c r="I5" s="217">
        <v>10</v>
      </c>
      <c r="J5" s="217">
        <v>0</v>
      </c>
      <c r="K5" s="217">
        <v>1001</v>
      </c>
      <c r="L5" s="217">
        <f t="shared" si="1"/>
        <v>-1</v>
      </c>
      <c r="M5" s="93" t="str">
        <f t="shared" si="2"/>
        <v>ERREUR</v>
      </c>
      <c r="N5" s="164"/>
      <c r="O5" s="9" t="s">
        <v>23</v>
      </c>
      <c r="P5" s="163"/>
      <c r="Q5" s="93" t="s">
        <v>28</v>
      </c>
      <c r="S5" s="206"/>
      <c r="U5" s="213">
        <f t="shared" si="3"/>
        <v>-2.8920000000000003</v>
      </c>
    </row>
    <row r="6" spans="1:78" x14ac:dyDescent="0.25">
      <c r="A6" s="9" t="s">
        <v>23</v>
      </c>
      <c r="B6" s="93" t="s">
        <v>29</v>
      </c>
      <c r="C6" s="93" t="s">
        <v>30</v>
      </c>
      <c r="D6" s="214">
        <v>5.4</v>
      </c>
      <c r="E6" s="215">
        <v>0.2</v>
      </c>
      <c r="F6" s="216">
        <f t="shared" si="0"/>
        <v>6.48</v>
      </c>
      <c r="G6" s="217">
        <v>1000</v>
      </c>
      <c r="H6" s="218">
        <v>5.12</v>
      </c>
      <c r="I6" s="217">
        <v>10</v>
      </c>
      <c r="J6" s="217">
        <v>0</v>
      </c>
      <c r="K6" s="217">
        <v>10</v>
      </c>
      <c r="L6" s="217">
        <f t="shared" si="1"/>
        <v>990</v>
      </c>
      <c r="M6" s="93" t="str">
        <f t="shared" si="2"/>
        <v>OK</v>
      </c>
      <c r="N6" s="164"/>
      <c r="O6" s="9" t="s">
        <v>27</v>
      </c>
      <c r="P6" s="163"/>
      <c r="Q6" s="93" t="s">
        <v>32</v>
      </c>
      <c r="S6" s="206"/>
      <c r="U6" s="213">
        <f t="shared" si="3"/>
        <v>6415.2000000000007</v>
      </c>
    </row>
    <row r="7" spans="1:78" x14ac:dyDescent="0.25">
      <c r="A7" s="9" t="s">
        <v>27</v>
      </c>
      <c r="B7" s="93" t="s">
        <v>33</v>
      </c>
      <c r="C7" s="93" t="s">
        <v>34</v>
      </c>
      <c r="D7" s="214">
        <v>1</v>
      </c>
      <c r="E7" s="215">
        <v>0.2</v>
      </c>
      <c r="F7" s="216">
        <f t="shared" si="0"/>
        <v>1.2</v>
      </c>
      <c r="G7" s="217">
        <v>1000</v>
      </c>
      <c r="H7" s="218">
        <v>1.05</v>
      </c>
      <c r="I7" s="217">
        <v>10</v>
      </c>
      <c r="J7" s="217">
        <v>1</v>
      </c>
      <c r="K7" s="217">
        <v>3</v>
      </c>
      <c r="L7" s="217">
        <f t="shared" si="1"/>
        <v>998</v>
      </c>
      <c r="M7" s="93" t="str">
        <f t="shared" si="2"/>
        <v>OK</v>
      </c>
      <c r="N7" s="164"/>
      <c r="O7" s="9" t="s">
        <v>31</v>
      </c>
      <c r="P7" s="163"/>
      <c r="Q7" s="93" t="s">
        <v>36</v>
      </c>
      <c r="S7" s="206"/>
      <c r="U7" s="213">
        <f t="shared" si="3"/>
        <v>1197.5999999999999</v>
      </c>
    </row>
    <row r="8" spans="1:78" x14ac:dyDescent="0.25">
      <c r="A8" s="9" t="s">
        <v>31</v>
      </c>
      <c r="B8" s="93" t="s">
        <v>37</v>
      </c>
      <c r="C8" s="93" t="s">
        <v>38</v>
      </c>
      <c r="D8" s="214">
        <v>2.57</v>
      </c>
      <c r="E8" s="215">
        <v>0.2</v>
      </c>
      <c r="F8" s="216">
        <f t="shared" si="0"/>
        <v>3.0839999999999996</v>
      </c>
      <c r="G8" s="217">
        <v>1000</v>
      </c>
      <c r="H8" s="218">
        <v>1.8620000000000001</v>
      </c>
      <c r="I8" s="217">
        <v>10</v>
      </c>
      <c r="J8" s="217">
        <v>0</v>
      </c>
      <c r="K8" s="217">
        <v>0</v>
      </c>
      <c r="L8" s="217">
        <f t="shared" si="1"/>
        <v>1000</v>
      </c>
      <c r="M8" s="93" t="str">
        <f t="shared" si="2"/>
        <v>OK</v>
      </c>
      <c r="N8" s="164"/>
      <c r="O8" s="9" t="s">
        <v>35</v>
      </c>
      <c r="P8" s="163"/>
      <c r="Q8" s="93" t="s">
        <v>40</v>
      </c>
      <c r="S8" s="206"/>
      <c r="U8" s="213">
        <f t="shared" si="3"/>
        <v>3083.9999999999995</v>
      </c>
    </row>
    <row r="9" spans="1:78" x14ac:dyDescent="0.25">
      <c r="A9" s="9" t="s">
        <v>35</v>
      </c>
      <c r="B9" s="93" t="s">
        <v>41</v>
      </c>
      <c r="C9" s="93" t="s">
        <v>16</v>
      </c>
      <c r="D9" s="214">
        <v>11.67</v>
      </c>
      <c r="E9" s="215">
        <v>0.05</v>
      </c>
      <c r="F9" s="216">
        <f t="shared" si="0"/>
        <v>12.253500000000001</v>
      </c>
      <c r="G9" s="217">
        <v>99999</v>
      </c>
      <c r="H9" s="218">
        <v>0</v>
      </c>
      <c r="I9" s="217">
        <v>0</v>
      </c>
      <c r="J9" s="217">
        <v>0</v>
      </c>
      <c r="K9" s="217"/>
      <c r="L9" s="217">
        <f t="shared" si="1"/>
        <v>99999</v>
      </c>
      <c r="M9" s="93" t="str">
        <f t="shared" si="2"/>
        <v>OK</v>
      </c>
      <c r="N9" s="164"/>
      <c r="O9" s="9" t="s">
        <v>39</v>
      </c>
      <c r="P9" s="163"/>
      <c r="Q9" s="93" t="s">
        <v>43</v>
      </c>
      <c r="S9" s="206"/>
      <c r="U9" s="213">
        <f t="shared" si="3"/>
        <v>1225337.7465000001</v>
      </c>
    </row>
    <row r="10" spans="1:78" x14ac:dyDescent="0.25">
      <c r="A10" s="9" t="s">
        <v>35</v>
      </c>
      <c r="B10" s="93" t="s">
        <v>44</v>
      </c>
      <c r="C10" s="93" t="s">
        <v>20</v>
      </c>
      <c r="D10" s="214">
        <v>11.17</v>
      </c>
      <c r="E10" s="215">
        <v>0.05</v>
      </c>
      <c r="F10" s="216">
        <f t="shared" si="0"/>
        <v>11.7285</v>
      </c>
      <c r="G10" s="217">
        <v>99999</v>
      </c>
      <c r="H10" s="218">
        <v>0</v>
      </c>
      <c r="I10" s="217">
        <v>0</v>
      </c>
      <c r="J10" s="217">
        <v>0</v>
      </c>
      <c r="K10" s="217">
        <v>0</v>
      </c>
      <c r="L10" s="217">
        <f t="shared" si="1"/>
        <v>99999</v>
      </c>
      <c r="M10" s="93" t="str">
        <f t="shared" si="2"/>
        <v>OK</v>
      </c>
      <c r="N10" s="164"/>
      <c r="O10" s="9" t="s">
        <v>42</v>
      </c>
      <c r="P10" s="163"/>
      <c r="Q10" s="93" t="s">
        <v>46</v>
      </c>
      <c r="S10" s="206"/>
      <c r="U10" s="213">
        <f t="shared" si="3"/>
        <v>1172838.2715</v>
      </c>
    </row>
    <row r="11" spans="1:78" x14ac:dyDescent="0.25">
      <c r="A11" s="9" t="s">
        <v>35</v>
      </c>
      <c r="B11" s="93" t="s">
        <v>47</v>
      </c>
      <c r="C11" s="93" t="s">
        <v>24</v>
      </c>
      <c r="D11" s="214">
        <v>45.83</v>
      </c>
      <c r="E11" s="215">
        <v>0.05</v>
      </c>
      <c r="F11" s="216">
        <f t="shared" si="0"/>
        <v>48.121499999999997</v>
      </c>
      <c r="G11" s="217">
        <v>99999</v>
      </c>
      <c r="H11" s="218">
        <v>0</v>
      </c>
      <c r="I11" s="217">
        <v>0</v>
      </c>
      <c r="J11" s="217">
        <v>0</v>
      </c>
      <c r="K11" s="217">
        <v>0</v>
      </c>
      <c r="L11" s="217">
        <f t="shared" si="1"/>
        <v>99999</v>
      </c>
      <c r="M11" s="93" t="str">
        <f t="shared" si="2"/>
        <v>OK</v>
      </c>
      <c r="N11" s="164"/>
      <c r="O11" s="9" t="s">
        <v>45</v>
      </c>
      <c r="P11" s="163"/>
      <c r="Q11" s="93" t="s">
        <v>49</v>
      </c>
      <c r="S11" s="206"/>
      <c r="U11" s="213">
        <f t="shared" si="3"/>
        <v>4812101.8784999996</v>
      </c>
    </row>
    <row r="12" spans="1:78" x14ac:dyDescent="0.25">
      <c r="A12" s="9" t="s">
        <v>39</v>
      </c>
      <c r="B12" s="93" t="s">
        <v>50</v>
      </c>
      <c r="C12" s="93" t="s">
        <v>28</v>
      </c>
      <c r="D12" s="214">
        <v>45.83</v>
      </c>
      <c r="E12" s="215">
        <v>0.05</v>
      </c>
      <c r="F12" s="216">
        <f t="shared" si="0"/>
        <v>48.121499999999997</v>
      </c>
      <c r="G12" s="217">
        <v>99999</v>
      </c>
      <c r="H12" s="218">
        <v>0</v>
      </c>
      <c r="I12" s="217">
        <v>0</v>
      </c>
      <c r="J12" s="217">
        <v>0</v>
      </c>
      <c r="K12" s="217">
        <v>0</v>
      </c>
      <c r="L12" s="217">
        <f t="shared" si="1"/>
        <v>99999</v>
      </c>
      <c r="M12" s="93" t="str">
        <f t="shared" si="2"/>
        <v>OK</v>
      </c>
      <c r="N12" s="164"/>
      <c r="O12" s="9" t="s">
        <v>48</v>
      </c>
      <c r="P12" s="163"/>
      <c r="Q12" s="93" t="s">
        <v>52</v>
      </c>
      <c r="S12" s="206"/>
      <c r="U12" s="213">
        <f t="shared" si="3"/>
        <v>4812101.8784999996</v>
      </c>
    </row>
    <row r="13" spans="1:78" x14ac:dyDescent="0.25">
      <c r="A13" s="9" t="s">
        <v>39</v>
      </c>
      <c r="B13" s="93" t="s">
        <v>53</v>
      </c>
      <c r="C13" s="93" t="s">
        <v>32</v>
      </c>
      <c r="D13" s="214">
        <v>210</v>
      </c>
      <c r="E13" s="215">
        <v>0.05</v>
      </c>
      <c r="F13" s="216">
        <f t="shared" si="0"/>
        <v>220.5</v>
      </c>
      <c r="G13" s="217">
        <v>99999</v>
      </c>
      <c r="H13" s="218">
        <v>0</v>
      </c>
      <c r="I13" s="217">
        <v>0</v>
      </c>
      <c r="J13" s="217">
        <v>0</v>
      </c>
      <c r="K13" s="217">
        <v>0</v>
      </c>
      <c r="L13" s="217">
        <f t="shared" si="1"/>
        <v>99999</v>
      </c>
      <c r="M13" s="93" t="str">
        <f t="shared" si="2"/>
        <v>OK</v>
      </c>
      <c r="N13" s="164"/>
      <c r="O13" s="9" t="s">
        <v>51</v>
      </c>
      <c r="P13" s="163"/>
      <c r="Q13" s="93" t="s">
        <v>55</v>
      </c>
      <c r="S13" s="206"/>
      <c r="U13" s="213">
        <f t="shared" si="3"/>
        <v>22049779.5</v>
      </c>
    </row>
    <row r="14" spans="1:78" x14ac:dyDescent="0.25">
      <c r="A14" s="9" t="s">
        <v>39</v>
      </c>
      <c r="B14" s="93" t="s">
        <v>56</v>
      </c>
      <c r="C14" s="93" t="s">
        <v>36</v>
      </c>
      <c r="D14" s="214">
        <v>301.67</v>
      </c>
      <c r="E14" s="215">
        <v>0.05</v>
      </c>
      <c r="F14" s="216">
        <f t="shared" si="0"/>
        <v>316.75350000000003</v>
      </c>
      <c r="G14" s="217">
        <v>99999</v>
      </c>
      <c r="H14" s="218">
        <v>0</v>
      </c>
      <c r="I14" s="217">
        <v>0</v>
      </c>
      <c r="J14" s="217">
        <v>0</v>
      </c>
      <c r="K14" s="217">
        <v>0</v>
      </c>
      <c r="L14" s="217">
        <f t="shared" si="1"/>
        <v>99999</v>
      </c>
      <c r="M14" s="93" t="str">
        <f t="shared" si="2"/>
        <v>OK</v>
      </c>
      <c r="N14" s="164"/>
      <c r="O14" s="9" t="s">
        <v>54</v>
      </c>
      <c r="P14" s="163"/>
      <c r="Q14" s="93" t="s">
        <v>57</v>
      </c>
      <c r="S14" s="206"/>
      <c r="U14" s="213">
        <f t="shared" si="3"/>
        <v>31675033.246500004</v>
      </c>
    </row>
    <row r="15" spans="1:78" x14ac:dyDescent="0.25">
      <c r="A15" s="9" t="s">
        <v>42</v>
      </c>
      <c r="B15" s="93" t="s">
        <v>58</v>
      </c>
      <c r="C15" s="93" t="s">
        <v>40</v>
      </c>
      <c r="D15" s="214">
        <v>32.5</v>
      </c>
      <c r="E15" s="215">
        <v>0.05</v>
      </c>
      <c r="F15" s="216">
        <f t="shared" si="0"/>
        <v>34.125</v>
      </c>
      <c r="G15" s="217">
        <v>99999</v>
      </c>
      <c r="H15" s="218">
        <v>0</v>
      </c>
      <c r="I15" s="217">
        <v>0</v>
      </c>
      <c r="J15" s="217">
        <v>0</v>
      </c>
      <c r="K15" s="217">
        <v>0</v>
      </c>
      <c r="L15" s="217">
        <f t="shared" si="1"/>
        <v>99999</v>
      </c>
      <c r="M15" s="93" t="str">
        <f t="shared" si="2"/>
        <v>OK</v>
      </c>
      <c r="N15" s="164"/>
      <c r="O15" s="9" t="s">
        <v>75</v>
      </c>
      <c r="P15" s="163"/>
      <c r="Q15" s="93"/>
      <c r="U15" s="213">
        <f t="shared" si="3"/>
        <v>3412465.875</v>
      </c>
    </row>
    <row r="16" spans="1:78" x14ac:dyDescent="0.25">
      <c r="A16" s="9" t="s">
        <v>42</v>
      </c>
      <c r="B16" s="93" t="s">
        <v>59</v>
      </c>
      <c r="C16" s="93" t="s">
        <v>43</v>
      </c>
      <c r="D16" s="214">
        <v>36.67</v>
      </c>
      <c r="E16" s="215">
        <v>0.05</v>
      </c>
      <c r="F16" s="216">
        <f t="shared" si="0"/>
        <v>38.503500000000003</v>
      </c>
      <c r="G16" s="217">
        <v>99999</v>
      </c>
      <c r="H16" s="218">
        <v>0</v>
      </c>
      <c r="I16" s="217">
        <v>0</v>
      </c>
      <c r="J16" s="217">
        <v>0</v>
      </c>
      <c r="K16" s="217">
        <v>0</v>
      </c>
      <c r="L16" s="217">
        <f t="shared" si="1"/>
        <v>99999</v>
      </c>
      <c r="M16" s="93" t="str">
        <f t="shared" si="2"/>
        <v>OK</v>
      </c>
      <c r="N16" s="164"/>
      <c r="O16" s="9"/>
      <c r="P16" s="163"/>
      <c r="Q16" s="93"/>
      <c r="U16" s="213">
        <f t="shared" si="3"/>
        <v>3850311.4965000004</v>
      </c>
    </row>
    <row r="17" spans="1:21" x14ac:dyDescent="0.25">
      <c r="A17" s="9" t="s">
        <v>45</v>
      </c>
      <c r="B17" s="93" t="s">
        <v>60</v>
      </c>
      <c r="C17" s="93" t="s">
        <v>46</v>
      </c>
      <c r="D17" s="214">
        <v>68.75</v>
      </c>
      <c r="E17" s="215">
        <v>0.05</v>
      </c>
      <c r="F17" s="216">
        <f t="shared" si="0"/>
        <v>72.1875</v>
      </c>
      <c r="G17" s="217">
        <v>99999</v>
      </c>
      <c r="H17" s="218">
        <v>0</v>
      </c>
      <c r="I17" s="217">
        <v>0</v>
      </c>
      <c r="J17" s="217">
        <v>0</v>
      </c>
      <c r="K17" s="217">
        <v>0</v>
      </c>
      <c r="L17" s="217">
        <f t="shared" si="1"/>
        <v>99999</v>
      </c>
      <c r="M17" s="93" t="str">
        <f t="shared" si="2"/>
        <v>OK</v>
      </c>
      <c r="N17" s="164"/>
      <c r="O17" s="9"/>
      <c r="P17" s="163"/>
      <c r="Q17" s="93"/>
      <c r="U17" s="213">
        <f t="shared" si="3"/>
        <v>7218677.8125</v>
      </c>
    </row>
    <row r="18" spans="1:21" x14ac:dyDescent="0.25">
      <c r="A18" s="9" t="s">
        <v>45</v>
      </c>
      <c r="B18" s="93" t="s">
        <v>61</v>
      </c>
      <c r="C18" s="93" t="s">
        <v>49</v>
      </c>
      <c r="D18" s="214">
        <v>72.5</v>
      </c>
      <c r="E18" s="215">
        <v>0.05</v>
      </c>
      <c r="F18" s="216">
        <f t="shared" si="0"/>
        <v>76.125</v>
      </c>
      <c r="G18" s="217">
        <v>99999</v>
      </c>
      <c r="H18" s="218">
        <v>0</v>
      </c>
      <c r="I18" s="217">
        <v>0</v>
      </c>
      <c r="J18" s="217">
        <v>0</v>
      </c>
      <c r="K18" s="217">
        <v>0</v>
      </c>
      <c r="L18" s="217">
        <f t="shared" si="1"/>
        <v>99999</v>
      </c>
      <c r="M18" s="93" t="str">
        <f t="shared" si="2"/>
        <v>OK</v>
      </c>
      <c r="N18" s="164"/>
      <c r="O18" s="9"/>
      <c r="P18" s="163"/>
      <c r="Q18" s="93"/>
      <c r="U18" s="213">
        <f t="shared" si="3"/>
        <v>7612423.875</v>
      </c>
    </row>
    <row r="19" spans="1:21" x14ac:dyDescent="0.25">
      <c r="A19" s="9" t="s">
        <v>48</v>
      </c>
      <c r="B19" s="93" t="s">
        <v>62</v>
      </c>
      <c r="C19" s="93" t="s">
        <v>52</v>
      </c>
      <c r="D19" s="214">
        <v>81.67</v>
      </c>
      <c r="E19" s="215">
        <v>0.05</v>
      </c>
      <c r="F19" s="216">
        <f t="shared" si="0"/>
        <v>85.753500000000003</v>
      </c>
      <c r="G19" s="217">
        <v>99999</v>
      </c>
      <c r="H19" s="218">
        <v>0</v>
      </c>
      <c r="I19" s="217">
        <v>0</v>
      </c>
      <c r="J19" s="217">
        <v>0</v>
      </c>
      <c r="K19" s="217">
        <v>0</v>
      </c>
      <c r="L19" s="217">
        <f t="shared" si="1"/>
        <v>99999</v>
      </c>
      <c r="M19" s="93" t="str">
        <f t="shared" si="2"/>
        <v>OK</v>
      </c>
      <c r="N19" s="164"/>
      <c r="O19" s="9"/>
      <c r="P19" s="163"/>
      <c r="Q19" s="93"/>
      <c r="U19" s="213">
        <f t="shared" si="3"/>
        <v>8575264.2465000004</v>
      </c>
    </row>
    <row r="20" spans="1:21" x14ac:dyDescent="0.25">
      <c r="A20" s="9" t="s">
        <v>48</v>
      </c>
      <c r="B20" s="93" t="s">
        <v>63</v>
      </c>
      <c r="C20" s="93" t="s">
        <v>55</v>
      </c>
      <c r="D20" s="214">
        <v>109.17</v>
      </c>
      <c r="E20" s="215">
        <v>0.05</v>
      </c>
      <c r="F20" s="216">
        <f t="shared" si="0"/>
        <v>114.6285</v>
      </c>
      <c r="G20" s="217">
        <v>99999</v>
      </c>
      <c r="H20" s="218">
        <v>0</v>
      </c>
      <c r="I20" s="217">
        <v>0</v>
      </c>
      <c r="J20" s="217">
        <v>0</v>
      </c>
      <c r="K20" s="217">
        <v>0</v>
      </c>
      <c r="L20" s="217">
        <f t="shared" si="1"/>
        <v>99999</v>
      </c>
      <c r="M20" s="93" t="str">
        <f t="shared" si="2"/>
        <v>OK</v>
      </c>
      <c r="N20" s="164"/>
      <c r="O20" s="9"/>
      <c r="P20" s="163"/>
      <c r="Q20" s="93"/>
      <c r="U20" s="213">
        <f t="shared" si="3"/>
        <v>11462735.3715</v>
      </c>
    </row>
    <row r="21" spans="1:21" x14ac:dyDescent="0.25">
      <c r="A21" s="9" t="s">
        <v>48</v>
      </c>
      <c r="B21" s="93" t="s">
        <v>64</v>
      </c>
      <c r="C21" s="93" t="s">
        <v>57</v>
      </c>
      <c r="D21" s="214">
        <v>155</v>
      </c>
      <c r="E21" s="215">
        <v>0.05</v>
      </c>
      <c r="F21" s="216">
        <f t="shared" si="0"/>
        <v>162.75</v>
      </c>
      <c r="G21" s="217">
        <v>99999</v>
      </c>
      <c r="H21" s="218">
        <v>0</v>
      </c>
      <c r="I21" s="217">
        <v>0</v>
      </c>
      <c r="J21" s="217">
        <v>0</v>
      </c>
      <c r="K21" s="217">
        <v>0</v>
      </c>
      <c r="L21" s="217">
        <f t="shared" si="1"/>
        <v>99999</v>
      </c>
      <c r="M21" s="93" t="str">
        <f t="shared" si="2"/>
        <v>OK</v>
      </c>
      <c r="N21" s="164"/>
      <c r="O21" s="9"/>
      <c r="P21" s="163"/>
      <c r="Q21" s="93"/>
      <c r="U21" s="213">
        <f t="shared" si="3"/>
        <v>16274837.25</v>
      </c>
    </row>
    <row r="22" spans="1:21" x14ac:dyDescent="0.25">
      <c r="A22" s="9" t="s">
        <v>51</v>
      </c>
      <c r="B22" s="93" t="s">
        <v>65</v>
      </c>
      <c r="C22" s="93" t="s">
        <v>66</v>
      </c>
      <c r="D22" s="214">
        <v>710.62</v>
      </c>
      <c r="E22" s="215">
        <v>0.2</v>
      </c>
      <c r="F22" s="216">
        <f t="shared" si="0"/>
        <v>852.74400000000003</v>
      </c>
      <c r="G22" s="217">
        <v>5</v>
      </c>
      <c r="H22" s="218">
        <v>2.75</v>
      </c>
      <c r="I22" s="217">
        <v>5</v>
      </c>
      <c r="J22" s="217">
        <v>0</v>
      </c>
      <c r="K22" s="217">
        <v>0</v>
      </c>
      <c r="L22" s="217">
        <f t="shared" si="1"/>
        <v>5</v>
      </c>
      <c r="M22" s="93" t="str">
        <f t="shared" si="2"/>
        <v>OK</v>
      </c>
      <c r="N22" s="164"/>
      <c r="O22" s="9"/>
      <c r="P22" s="163"/>
      <c r="Q22" s="93"/>
      <c r="U22" s="213">
        <f t="shared" si="3"/>
        <v>4263.72</v>
      </c>
    </row>
    <row r="23" spans="1:21" x14ac:dyDescent="0.25">
      <c r="A23" s="9" t="s">
        <v>51</v>
      </c>
      <c r="B23" s="93" t="s">
        <v>67</v>
      </c>
      <c r="C23" s="93" t="s">
        <v>68</v>
      </c>
      <c r="D23" s="214">
        <v>741.67</v>
      </c>
      <c r="E23" s="215">
        <v>0.2</v>
      </c>
      <c r="F23" s="216">
        <f t="shared" si="0"/>
        <v>890.00399999999991</v>
      </c>
      <c r="G23" s="217">
        <v>5</v>
      </c>
      <c r="H23" s="218">
        <v>2.75</v>
      </c>
      <c r="I23" s="217">
        <v>5</v>
      </c>
      <c r="J23" s="217">
        <v>0</v>
      </c>
      <c r="K23" s="217">
        <v>0</v>
      </c>
      <c r="L23" s="217">
        <f t="shared" si="1"/>
        <v>5</v>
      </c>
      <c r="M23" s="93" t="str">
        <f t="shared" si="2"/>
        <v>OK</v>
      </c>
      <c r="N23" s="164"/>
      <c r="O23" s="9"/>
      <c r="P23" s="163"/>
      <c r="Q23" s="93"/>
      <c r="U23" s="213">
        <f t="shared" si="3"/>
        <v>4450.0199999999995</v>
      </c>
    </row>
    <row r="24" spans="1:21" x14ac:dyDescent="0.25">
      <c r="A24" s="9" t="s">
        <v>54</v>
      </c>
      <c r="B24" s="93" t="s">
        <v>69</v>
      </c>
      <c r="C24" s="93" t="s">
        <v>70</v>
      </c>
      <c r="D24" s="214">
        <v>695</v>
      </c>
      <c r="E24" s="215">
        <v>0.2</v>
      </c>
      <c r="F24" s="216">
        <f t="shared" si="0"/>
        <v>834</v>
      </c>
      <c r="G24" s="217">
        <v>5</v>
      </c>
      <c r="H24" s="218">
        <v>2.75</v>
      </c>
      <c r="I24" s="217">
        <v>5</v>
      </c>
      <c r="J24" s="217">
        <v>0</v>
      </c>
      <c r="K24" s="217">
        <v>0</v>
      </c>
      <c r="L24" s="217">
        <f t="shared" si="1"/>
        <v>5</v>
      </c>
      <c r="M24" s="93" t="str">
        <f t="shared" si="2"/>
        <v>OK</v>
      </c>
      <c r="N24" s="164"/>
      <c r="O24" s="9"/>
      <c r="P24" s="163"/>
      <c r="Q24" s="93"/>
      <c r="U24" s="213">
        <f t="shared" si="3"/>
        <v>4170</v>
      </c>
    </row>
    <row r="25" spans="1:21" x14ac:dyDescent="0.25">
      <c r="A25" s="9" t="s">
        <v>54</v>
      </c>
      <c r="B25" s="93" t="s">
        <v>71</v>
      </c>
      <c r="C25" s="93" t="s">
        <v>72</v>
      </c>
      <c r="D25" s="214">
        <v>342</v>
      </c>
      <c r="E25" s="215">
        <v>0.2</v>
      </c>
      <c r="F25" s="216">
        <f t="shared" si="0"/>
        <v>410.4</v>
      </c>
      <c r="G25" s="217">
        <v>5</v>
      </c>
      <c r="H25" s="218">
        <v>2.75</v>
      </c>
      <c r="I25" s="217">
        <v>5</v>
      </c>
      <c r="J25" s="217">
        <v>0</v>
      </c>
      <c r="K25" s="217">
        <v>0</v>
      </c>
      <c r="L25" s="217">
        <f t="shared" si="1"/>
        <v>5</v>
      </c>
      <c r="M25" s="93" t="str">
        <f t="shared" si="2"/>
        <v>OK</v>
      </c>
      <c r="N25" s="164"/>
      <c r="O25" s="9"/>
      <c r="P25" s="163"/>
      <c r="Q25" s="93"/>
      <c r="U25" s="213">
        <f t="shared" si="3"/>
        <v>2052</v>
      </c>
    </row>
    <row r="26" spans="1:21" x14ac:dyDescent="0.25">
      <c r="A26" s="9" t="s">
        <v>54</v>
      </c>
      <c r="B26" s="93" t="s">
        <v>73</v>
      </c>
      <c r="C26" s="93" t="s">
        <v>74</v>
      </c>
      <c r="D26" s="214">
        <v>342</v>
      </c>
      <c r="E26" s="215">
        <v>0.2</v>
      </c>
      <c r="F26" s="216">
        <f t="shared" si="0"/>
        <v>410.4</v>
      </c>
      <c r="G26" s="217">
        <v>5</v>
      </c>
      <c r="H26" s="218">
        <v>2.75</v>
      </c>
      <c r="I26" s="217">
        <v>5</v>
      </c>
      <c r="J26" s="217">
        <v>0</v>
      </c>
      <c r="K26" s="217">
        <v>0</v>
      </c>
      <c r="L26" s="217">
        <f t="shared" si="1"/>
        <v>5</v>
      </c>
      <c r="M26" s="93" t="str">
        <f t="shared" si="2"/>
        <v>OK</v>
      </c>
      <c r="N26" s="164"/>
      <c r="O26" s="9"/>
      <c r="P26" s="163"/>
      <c r="Q26" s="93"/>
      <c r="U26" s="213">
        <f t="shared" si="3"/>
        <v>2052</v>
      </c>
    </row>
    <row r="27" spans="1:21" x14ac:dyDescent="0.25">
      <c r="A27" s="9" t="s">
        <v>75</v>
      </c>
      <c r="B27" s="93" t="s">
        <v>76</v>
      </c>
      <c r="C27" s="93" t="s">
        <v>77</v>
      </c>
      <c r="D27" s="214">
        <v>264</v>
      </c>
      <c r="E27" s="215">
        <v>0.2</v>
      </c>
      <c r="F27" s="216">
        <f t="shared" si="0"/>
        <v>316.8</v>
      </c>
      <c r="G27" s="217">
        <v>0</v>
      </c>
      <c r="H27" s="218">
        <v>0</v>
      </c>
      <c r="I27" s="217">
        <v>0</v>
      </c>
      <c r="J27" s="217">
        <v>0</v>
      </c>
      <c r="K27" s="217">
        <v>0</v>
      </c>
      <c r="L27" s="217">
        <f t="shared" ref="L27:L28" si="4">IF(AND(G27="",J27="",K27=""),"",SUM(G27+J27-K27))</f>
        <v>0</v>
      </c>
      <c r="M27" s="93" t="str">
        <f t="shared" ref="M27:M28" si="5">IF(L27="","",IF(L27&gt;=I27,"OK",IF(L27&gt;0,"à commander",IF(L27&gt;=0,"Rupture","ERREUR"))))</f>
        <v>OK</v>
      </c>
      <c r="N27" s="164"/>
      <c r="O27" s="9"/>
      <c r="U27" s="213">
        <f t="shared" si="3"/>
        <v>0</v>
      </c>
    </row>
    <row r="28" spans="1:21" x14ac:dyDescent="0.25">
      <c r="A28" s="263" t="s">
        <v>31</v>
      </c>
      <c r="B28" s="264" t="s">
        <v>789</v>
      </c>
      <c r="C28" s="264" t="s">
        <v>790</v>
      </c>
      <c r="D28" s="265">
        <v>10.5</v>
      </c>
      <c r="E28" s="266">
        <v>0.2</v>
      </c>
      <c r="F28" s="267">
        <f t="shared" si="0"/>
        <v>12.6</v>
      </c>
      <c r="G28" s="268">
        <v>50</v>
      </c>
      <c r="H28" s="269">
        <v>12.8</v>
      </c>
      <c r="I28" s="268">
        <v>0</v>
      </c>
      <c r="J28" s="268">
        <v>0</v>
      </c>
      <c r="K28" s="268">
        <v>0</v>
      </c>
      <c r="L28" s="217">
        <f t="shared" si="4"/>
        <v>50</v>
      </c>
      <c r="M28" s="93" t="str">
        <f t="shared" si="5"/>
        <v>OK</v>
      </c>
      <c r="N28" s="164"/>
    </row>
    <row r="29" spans="1:21" x14ac:dyDescent="0.25">
      <c r="A29" s="164"/>
      <c r="B29" s="164"/>
      <c r="C29" s="164"/>
      <c r="D29" s="164"/>
      <c r="E29" s="164"/>
      <c r="F29" s="164"/>
      <c r="G29" s="164"/>
      <c r="H29" s="164"/>
      <c r="I29" s="164"/>
      <c r="J29" s="164"/>
      <c r="K29" s="164"/>
      <c r="L29" s="164"/>
      <c r="M29" s="164"/>
      <c r="N29" s="164"/>
    </row>
    <row r="30" spans="1:21" x14ac:dyDescent="0.25">
      <c r="A30" s="164"/>
      <c r="B30" s="164"/>
      <c r="C30" s="164"/>
      <c r="D30" s="164"/>
      <c r="E30" s="164"/>
      <c r="F30" s="164"/>
      <c r="G30" s="164"/>
      <c r="H30" s="164"/>
      <c r="I30" s="164"/>
      <c r="J30" s="164"/>
      <c r="K30" s="164"/>
      <c r="L30" s="164"/>
      <c r="M30" s="164"/>
      <c r="N30" s="164"/>
    </row>
    <row r="31" spans="1:21" x14ac:dyDescent="0.25">
      <c r="M31" s="110" t="str">
        <f t="shared" ref="M31:M43" si="6">IF(L31="","",IF(L31&gt;=I31,"OK",IF(L31&gt;0,"à commander",IF(L31&gt;=0,"Rupture","ERREUR"))))</f>
        <v/>
      </c>
    </row>
    <row r="32" spans="1:21" x14ac:dyDescent="0.25">
      <c r="M32" s="110" t="str">
        <f t="shared" si="6"/>
        <v/>
      </c>
    </row>
    <row r="33" spans="13:13" x14ac:dyDescent="0.25">
      <c r="M33" s="110" t="str">
        <f t="shared" si="6"/>
        <v/>
      </c>
    </row>
    <row r="34" spans="13:13" x14ac:dyDescent="0.25">
      <c r="M34" s="110" t="str">
        <f t="shared" si="6"/>
        <v/>
      </c>
    </row>
    <row r="35" spans="13:13" x14ac:dyDescent="0.25">
      <c r="M35" s="110" t="str">
        <f t="shared" si="6"/>
        <v/>
      </c>
    </row>
    <row r="36" spans="13:13" x14ac:dyDescent="0.25">
      <c r="M36" s="110" t="str">
        <f t="shared" si="6"/>
        <v/>
      </c>
    </row>
    <row r="37" spans="13:13" x14ac:dyDescent="0.25">
      <c r="M37" s="110" t="str">
        <f t="shared" si="6"/>
        <v/>
      </c>
    </row>
    <row r="38" spans="13:13" x14ac:dyDescent="0.25">
      <c r="M38" s="110" t="str">
        <f t="shared" si="6"/>
        <v/>
      </c>
    </row>
    <row r="39" spans="13:13" x14ac:dyDescent="0.25">
      <c r="M39" s="110" t="str">
        <f t="shared" si="6"/>
        <v/>
      </c>
    </row>
    <row r="40" spans="13:13" x14ac:dyDescent="0.25">
      <c r="M40" s="110" t="str">
        <f t="shared" si="6"/>
        <v/>
      </c>
    </row>
    <row r="41" spans="13:13" x14ac:dyDescent="0.25">
      <c r="M41" s="110" t="str">
        <f t="shared" si="6"/>
        <v/>
      </c>
    </row>
    <row r="42" spans="13:13" x14ac:dyDescent="0.25">
      <c r="M42" s="110" t="str">
        <f t="shared" si="6"/>
        <v/>
      </c>
    </row>
    <row r="43" spans="13:13" x14ac:dyDescent="0.25">
      <c r="M43" s="110" t="str">
        <f t="shared" si="6"/>
        <v/>
      </c>
    </row>
  </sheetData>
  <conditionalFormatting sqref="M31:N1048576 M1:M28">
    <cfRule type="cellIs" dxfId="109" priority="3" operator="equal">
      <formula>"OK"</formula>
    </cfRule>
    <cfRule type="cellIs" dxfId="108" priority="4" operator="equal">
      <formula>"à commander"</formula>
    </cfRule>
  </conditionalFormatting>
  <conditionalFormatting sqref="M31:M1048576 M1:M28">
    <cfRule type="cellIs" dxfId="107" priority="1" operator="equal">
      <formula>"ERREUR"</formula>
    </cfRule>
    <cfRule type="cellIs" dxfId="106" priority="2" operator="equal">
      <formula>"Rupture"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4" r:id="rId3" name="CmdEquipements">
          <controlPr defaultSize="0" autoFill="0" autoLine="0" r:id="rId4">
            <anchor moveWithCells="1">
              <from>
                <xdr:col>14</xdr:col>
                <xdr:colOff>9525</xdr:colOff>
                <xdr:row>0</xdr:row>
                <xdr:rowOff>9525</xdr:rowOff>
              </from>
              <to>
                <xdr:col>14</xdr:col>
                <xdr:colOff>2419350</xdr:colOff>
                <xdr:row>1</xdr:row>
                <xdr:rowOff>0</xdr:rowOff>
              </to>
            </anchor>
          </controlPr>
        </control>
      </mc:Choice>
      <mc:Fallback>
        <control shapeId="8194" r:id="rId3" name="CmdEquipements"/>
      </mc:Fallback>
    </mc:AlternateContent>
    <mc:AlternateContent xmlns:mc="http://schemas.openxmlformats.org/markup-compatibility/2006">
      <mc:Choice Requires="x14">
        <control shapeId="8197" r:id="rId5" name="CmdMain_Oeuvre">
          <controlPr defaultSize="0" autoFill="0" autoLine="0" autoPict="0" r:id="rId6">
            <anchor moveWithCells="1">
              <from>
                <xdr:col>16</xdr:col>
                <xdr:colOff>0</xdr:colOff>
                <xdr:row>0</xdr:row>
                <xdr:rowOff>0</xdr:rowOff>
              </from>
              <to>
                <xdr:col>17</xdr:col>
                <xdr:colOff>19050</xdr:colOff>
                <xdr:row>0</xdr:row>
                <xdr:rowOff>400050</xdr:rowOff>
              </to>
            </anchor>
          </controlPr>
        </control>
      </mc:Choice>
      <mc:Fallback>
        <control shapeId="8197" r:id="rId5" name="CmdMain_Oeuvre"/>
      </mc:Fallback>
    </mc:AlternateContent>
    <mc:AlternateContent xmlns:mc="http://schemas.openxmlformats.org/markup-compatibility/2006">
      <mc:Choice Requires="x14">
        <control shapeId="8198" r:id="rId7" name="CmdChoix_Produit">
          <controlPr defaultSize="0" autoFill="0" autoLine="0" autoPict="0" r:id="rId8">
            <anchor moveWithCells="1">
              <from>
                <xdr:col>18</xdr:col>
                <xdr:colOff>0</xdr:colOff>
                <xdr:row>0</xdr:row>
                <xdr:rowOff>0</xdr:rowOff>
              </from>
              <to>
                <xdr:col>19</xdr:col>
                <xdr:colOff>19050</xdr:colOff>
                <xdr:row>0</xdr:row>
                <xdr:rowOff>400050</xdr:rowOff>
              </to>
            </anchor>
          </controlPr>
        </control>
      </mc:Choice>
      <mc:Fallback>
        <control shapeId="8198" r:id="rId7" name="CmdChoix_Produit"/>
      </mc:Fallback>
    </mc:AlternateContent>
  </controls>
  <tableParts count="1"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03">
    <tabColor theme="3"/>
  </sheetPr>
  <dimension ref="A1:BZ27"/>
  <sheetViews>
    <sheetView workbookViewId="0">
      <pane xSplit="1" ySplit="1" topLeftCell="L20" activePane="bottomRight" state="frozen"/>
      <selection activeCell="M29" sqref="M29"/>
      <selection pane="topRight" activeCell="M29" sqref="M29"/>
      <selection pane="bottomLeft" activeCell="M29" sqref="M29"/>
      <selection pane="bottomRight" activeCell="M32" sqref="M32"/>
    </sheetView>
  </sheetViews>
  <sheetFormatPr baseColWidth="10" defaultRowHeight="12.75" x14ac:dyDescent="0.25"/>
  <cols>
    <col min="1" max="1" width="31.28515625" style="154" bestFit="1" customWidth="1"/>
    <col min="2" max="2" width="31" style="154" bestFit="1" customWidth="1"/>
    <col min="3" max="3" width="9.28515625" style="155" customWidth="1"/>
    <col min="4" max="4" width="26.5703125" style="156" bestFit="1" customWidth="1"/>
    <col min="5" max="5" width="12.7109375" style="157" bestFit="1" customWidth="1"/>
    <col min="6" max="6" width="37.42578125" style="154" bestFit="1" customWidth="1"/>
    <col min="7" max="7" width="13.85546875" style="154" customWidth="1"/>
    <col min="8" max="8" width="9" style="154" customWidth="1"/>
    <col min="9" max="9" width="24.5703125" style="154" bestFit="1" customWidth="1"/>
    <col min="10" max="10" width="12.7109375" style="154" bestFit="1" customWidth="1"/>
    <col min="11" max="11" width="11.5703125" style="158" customWidth="1"/>
    <col min="12" max="12" width="16.85546875" style="159" bestFit="1" customWidth="1"/>
    <col min="13" max="13" width="19.42578125" style="160" customWidth="1"/>
    <col min="14" max="14" width="1.42578125" style="154" customWidth="1"/>
    <col min="15" max="18" width="5.5703125" style="154" customWidth="1"/>
    <col min="19" max="19" width="1.42578125" style="154" customWidth="1"/>
    <col min="20" max="20" width="22" style="154" customWidth="1"/>
    <col min="21" max="21" width="1.42578125" style="154" customWidth="1"/>
    <col min="22" max="16384" width="11.42578125" style="154"/>
  </cols>
  <sheetData>
    <row r="1" spans="1:78" s="152" customFormat="1" ht="30.75" customHeight="1" x14ac:dyDescent="0.25">
      <c r="A1" s="75" t="s">
        <v>86</v>
      </c>
      <c r="B1" s="75" t="s">
        <v>87</v>
      </c>
      <c r="C1" s="75" t="s">
        <v>183</v>
      </c>
      <c r="D1" s="75" t="s">
        <v>184</v>
      </c>
      <c r="E1" s="75" t="s">
        <v>90</v>
      </c>
      <c r="F1" s="75" t="s">
        <v>89</v>
      </c>
      <c r="G1" s="75" t="s">
        <v>185</v>
      </c>
      <c r="H1" s="75" t="s">
        <v>186</v>
      </c>
      <c r="I1" s="75" t="s">
        <v>187</v>
      </c>
      <c r="J1" s="75" t="s">
        <v>91</v>
      </c>
      <c r="K1" s="75" t="s">
        <v>188</v>
      </c>
      <c r="L1" s="76" t="s">
        <v>189</v>
      </c>
      <c r="M1" s="76" t="s">
        <v>190</v>
      </c>
      <c r="N1" s="151"/>
      <c r="T1" s="96" t="s">
        <v>190</v>
      </c>
      <c r="BZ1" s="153"/>
    </row>
    <row r="2" spans="1:78" ht="15" x14ac:dyDescent="0.25">
      <c r="A2" s="77" t="s">
        <v>688</v>
      </c>
      <c r="B2" s="77" t="s">
        <v>713</v>
      </c>
      <c r="C2" s="78">
        <v>92210</v>
      </c>
      <c r="D2" s="79" t="s">
        <v>191</v>
      </c>
      <c r="E2" s="80" t="s">
        <v>192</v>
      </c>
      <c r="F2" s="142" t="s">
        <v>763</v>
      </c>
      <c r="G2" s="77" t="s">
        <v>193</v>
      </c>
      <c r="H2" s="77">
        <v>70101138</v>
      </c>
      <c r="I2" s="77" t="s">
        <v>738</v>
      </c>
      <c r="J2" s="81" t="s">
        <v>194</v>
      </c>
      <c r="K2" s="82">
        <v>344772538</v>
      </c>
      <c r="L2" s="82">
        <v>34477253800072</v>
      </c>
      <c r="M2" s="83" t="s">
        <v>195</v>
      </c>
      <c r="T2" s="84" t="s">
        <v>195</v>
      </c>
    </row>
    <row r="3" spans="1:78" ht="15" x14ac:dyDescent="0.25">
      <c r="A3" s="85" t="s">
        <v>689</v>
      </c>
      <c r="B3" s="85" t="s">
        <v>714</v>
      </c>
      <c r="C3" s="86">
        <v>75017</v>
      </c>
      <c r="D3" s="87" t="s">
        <v>196</v>
      </c>
      <c r="E3" s="88" t="s">
        <v>197</v>
      </c>
      <c r="F3" s="143" t="s">
        <v>764</v>
      </c>
      <c r="G3" s="85" t="s">
        <v>198</v>
      </c>
      <c r="H3" s="85">
        <v>70101094</v>
      </c>
      <c r="I3" s="85" t="s">
        <v>739</v>
      </c>
      <c r="J3" s="89" t="s">
        <v>197</v>
      </c>
      <c r="K3" s="90">
        <v>524986361</v>
      </c>
      <c r="L3" s="90">
        <v>52498636100011</v>
      </c>
      <c r="M3" s="85" t="s">
        <v>199</v>
      </c>
      <c r="T3" s="91" t="s">
        <v>199</v>
      </c>
    </row>
    <row r="4" spans="1:78" ht="15" x14ac:dyDescent="0.25">
      <c r="A4" s="85" t="s">
        <v>690</v>
      </c>
      <c r="B4" s="85" t="s">
        <v>715</v>
      </c>
      <c r="C4" s="86">
        <v>44105</v>
      </c>
      <c r="D4" s="87" t="s">
        <v>200</v>
      </c>
      <c r="E4" s="88" t="s">
        <v>201</v>
      </c>
      <c r="F4" s="143" t="s">
        <v>765</v>
      </c>
      <c r="G4" s="85" t="s">
        <v>202</v>
      </c>
      <c r="H4" s="85">
        <v>70101131</v>
      </c>
      <c r="I4" s="85" t="s">
        <v>740</v>
      </c>
      <c r="J4" s="89" t="s">
        <v>203</v>
      </c>
      <c r="K4" s="90">
        <v>333722155</v>
      </c>
      <c r="L4" s="90">
        <v>33372215500020</v>
      </c>
      <c r="M4" s="85" t="s">
        <v>204</v>
      </c>
      <c r="T4" s="92" t="s">
        <v>204</v>
      </c>
    </row>
    <row r="5" spans="1:78" ht="15" x14ac:dyDescent="0.25">
      <c r="A5" s="85" t="s">
        <v>691</v>
      </c>
      <c r="B5" s="85" t="s">
        <v>716</v>
      </c>
      <c r="C5" s="86">
        <v>92100</v>
      </c>
      <c r="D5" s="87" t="s">
        <v>205</v>
      </c>
      <c r="E5" s="88" t="s">
        <v>206</v>
      </c>
      <c r="F5" s="143" t="s">
        <v>766</v>
      </c>
      <c r="G5" s="85" t="s">
        <v>207</v>
      </c>
      <c r="H5" s="85">
        <v>70101139</v>
      </c>
      <c r="I5" s="85" t="s">
        <v>741</v>
      </c>
      <c r="J5" s="89" t="s">
        <v>208</v>
      </c>
      <c r="K5" s="90">
        <v>422273409</v>
      </c>
      <c r="L5" s="90">
        <v>42227340900025</v>
      </c>
      <c r="M5" s="85" t="s">
        <v>209</v>
      </c>
      <c r="T5" s="92" t="s">
        <v>209</v>
      </c>
    </row>
    <row r="6" spans="1:78" ht="15" x14ac:dyDescent="0.25">
      <c r="A6" s="85" t="s">
        <v>692</v>
      </c>
      <c r="B6" s="85" t="s">
        <v>717</v>
      </c>
      <c r="C6" s="86">
        <v>39800</v>
      </c>
      <c r="D6" s="87" t="s">
        <v>210</v>
      </c>
      <c r="E6" s="88" t="s">
        <v>211</v>
      </c>
      <c r="F6" s="143" t="s">
        <v>767</v>
      </c>
      <c r="G6" s="85" t="s">
        <v>212</v>
      </c>
      <c r="H6" s="85">
        <v>70101028</v>
      </c>
      <c r="I6" s="85" t="s">
        <v>742</v>
      </c>
      <c r="J6" s="89" t="s">
        <v>213</v>
      </c>
      <c r="K6" s="90"/>
      <c r="L6" s="90">
        <v>40906540600038</v>
      </c>
      <c r="M6" s="85" t="s">
        <v>214</v>
      </c>
      <c r="T6" s="92" t="s">
        <v>214</v>
      </c>
    </row>
    <row r="7" spans="1:78" ht="15" x14ac:dyDescent="0.25">
      <c r="A7" s="85" t="s">
        <v>693</v>
      </c>
      <c r="B7" s="85" t="s">
        <v>718</v>
      </c>
      <c r="C7" s="86">
        <v>67720</v>
      </c>
      <c r="D7" s="87" t="s">
        <v>215</v>
      </c>
      <c r="E7" s="88" t="s">
        <v>216</v>
      </c>
      <c r="F7" s="143" t="s">
        <v>768</v>
      </c>
      <c r="G7" s="85" t="s">
        <v>217</v>
      </c>
      <c r="H7" s="85">
        <v>70101027</v>
      </c>
      <c r="I7" s="85" t="s">
        <v>743</v>
      </c>
      <c r="J7" s="89" t="s">
        <v>218</v>
      </c>
      <c r="K7" s="90">
        <v>316466937</v>
      </c>
      <c r="L7" s="90">
        <v>31646693700067</v>
      </c>
      <c r="M7" s="85" t="s">
        <v>219</v>
      </c>
      <c r="T7" s="92" t="s">
        <v>219</v>
      </c>
    </row>
    <row r="8" spans="1:78" ht="15" x14ac:dyDescent="0.25">
      <c r="A8" s="85" t="s">
        <v>694</v>
      </c>
      <c r="B8" s="85" t="s">
        <v>719</v>
      </c>
      <c r="C8" s="86">
        <v>59000</v>
      </c>
      <c r="D8" s="87" t="s">
        <v>220</v>
      </c>
      <c r="E8" s="88" t="s">
        <v>221</v>
      </c>
      <c r="F8" s="143" t="s">
        <v>769</v>
      </c>
      <c r="G8" s="85" t="s">
        <v>222</v>
      </c>
      <c r="H8" s="85">
        <v>70101133</v>
      </c>
      <c r="I8" s="85" t="s">
        <v>744</v>
      </c>
      <c r="J8" s="89" t="s">
        <v>223</v>
      </c>
      <c r="K8" s="90">
        <v>327327037</v>
      </c>
      <c r="L8" s="90">
        <v>32732703700054</v>
      </c>
      <c r="M8" s="85" t="s">
        <v>224</v>
      </c>
      <c r="T8" s="91" t="s">
        <v>224</v>
      </c>
    </row>
    <row r="9" spans="1:78" ht="15" x14ac:dyDescent="0.25">
      <c r="A9" s="85" t="s">
        <v>695</v>
      </c>
      <c r="B9" s="85" t="s">
        <v>720</v>
      </c>
      <c r="C9" s="86">
        <v>71000</v>
      </c>
      <c r="D9" s="87" t="s">
        <v>225</v>
      </c>
      <c r="E9" s="88" t="s">
        <v>226</v>
      </c>
      <c r="F9" s="143" t="s">
        <v>770</v>
      </c>
      <c r="G9" s="85" t="s">
        <v>227</v>
      </c>
      <c r="H9" s="85">
        <v>70101023</v>
      </c>
      <c r="I9" s="85" t="s">
        <v>745</v>
      </c>
      <c r="J9" s="89" t="s">
        <v>228</v>
      </c>
      <c r="K9" s="90">
        <v>411434384</v>
      </c>
      <c r="L9" s="90">
        <v>41143438400037</v>
      </c>
      <c r="M9" s="85" t="s">
        <v>229</v>
      </c>
      <c r="T9" s="92" t="s">
        <v>229</v>
      </c>
    </row>
    <row r="10" spans="1:78" ht="15" x14ac:dyDescent="0.25">
      <c r="A10" s="85" t="s">
        <v>696</v>
      </c>
      <c r="B10" s="85" t="s">
        <v>721</v>
      </c>
      <c r="C10" s="86">
        <v>92059</v>
      </c>
      <c r="D10" s="87" t="s">
        <v>230</v>
      </c>
      <c r="E10" s="88" t="s">
        <v>231</v>
      </c>
      <c r="F10" s="143" t="s">
        <v>771</v>
      </c>
      <c r="G10" s="85" t="s">
        <v>232</v>
      </c>
      <c r="H10" s="85">
        <v>70101135</v>
      </c>
      <c r="I10" s="85" t="s">
        <v>746</v>
      </c>
      <c r="J10" s="89" t="s">
        <v>231</v>
      </c>
      <c r="K10" s="90">
        <v>854800745</v>
      </c>
      <c r="L10" s="90">
        <v>85480074501125</v>
      </c>
      <c r="M10" s="85" t="s">
        <v>233</v>
      </c>
      <c r="T10" s="91" t="s">
        <v>233</v>
      </c>
    </row>
    <row r="11" spans="1:78" ht="15" x14ac:dyDescent="0.25">
      <c r="A11" s="85" t="s">
        <v>697</v>
      </c>
      <c r="B11" s="85" t="s">
        <v>722</v>
      </c>
      <c r="C11" s="86">
        <v>36330</v>
      </c>
      <c r="D11" s="87" t="s">
        <v>234</v>
      </c>
      <c r="E11" s="88" t="s">
        <v>235</v>
      </c>
      <c r="F11" s="143" t="s">
        <v>772</v>
      </c>
      <c r="G11" s="85" t="s">
        <v>236</v>
      </c>
      <c r="H11" s="85">
        <v>70102002</v>
      </c>
      <c r="I11" s="85" t="s">
        <v>747</v>
      </c>
      <c r="J11" s="89" t="s">
        <v>237</v>
      </c>
      <c r="K11" s="90">
        <v>434403689</v>
      </c>
      <c r="L11" s="90">
        <v>43440368900012</v>
      </c>
      <c r="M11" s="85" t="s">
        <v>238</v>
      </c>
      <c r="T11" s="92" t="s">
        <v>238</v>
      </c>
    </row>
    <row r="12" spans="1:78" ht="15" x14ac:dyDescent="0.25">
      <c r="A12" s="85" t="s">
        <v>698</v>
      </c>
      <c r="B12" s="85" t="s">
        <v>723</v>
      </c>
      <c r="C12" s="86">
        <v>69120</v>
      </c>
      <c r="D12" s="87" t="s">
        <v>239</v>
      </c>
      <c r="E12" s="88" t="s">
        <v>240</v>
      </c>
      <c r="F12" s="143" t="s">
        <v>773</v>
      </c>
      <c r="G12" s="85" t="s">
        <v>241</v>
      </c>
      <c r="H12" s="85">
        <v>70102193</v>
      </c>
      <c r="I12" s="85" t="s">
        <v>748</v>
      </c>
      <c r="J12" s="89" t="s">
        <v>242</v>
      </c>
      <c r="K12" s="90">
        <v>450707047</v>
      </c>
      <c r="L12" s="90">
        <v>45070704700038</v>
      </c>
      <c r="M12" s="85" t="s">
        <v>243</v>
      </c>
      <c r="T12" s="92" t="s">
        <v>243</v>
      </c>
    </row>
    <row r="13" spans="1:78" ht="15" x14ac:dyDescent="0.25">
      <c r="A13" s="85" t="s">
        <v>699</v>
      </c>
      <c r="B13" s="85" t="s">
        <v>724</v>
      </c>
      <c r="C13" s="86">
        <v>56000</v>
      </c>
      <c r="D13" s="87" t="s">
        <v>244</v>
      </c>
      <c r="E13" s="88" t="s">
        <v>245</v>
      </c>
      <c r="F13" s="143" t="s">
        <v>774</v>
      </c>
      <c r="G13" s="85" t="s">
        <v>246</v>
      </c>
      <c r="H13" s="85">
        <v>70102028</v>
      </c>
      <c r="I13" s="85" t="s">
        <v>749</v>
      </c>
      <c r="J13" s="89" t="s">
        <v>247</v>
      </c>
      <c r="K13" s="90">
        <v>514020197</v>
      </c>
      <c r="L13" s="90">
        <v>51402019700018</v>
      </c>
      <c r="M13" s="85" t="s">
        <v>248</v>
      </c>
      <c r="T13" s="92" t="s">
        <v>248</v>
      </c>
    </row>
    <row r="14" spans="1:78" ht="15" x14ac:dyDescent="0.25">
      <c r="A14" s="85" t="s">
        <v>700</v>
      </c>
      <c r="B14" s="85" t="s">
        <v>725</v>
      </c>
      <c r="C14" s="86">
        <v>88026</v>
      </c>
      <c r="D14" s="87" t="s">
        <v>249</v>
      </c>
      <c r="E14" s="88" t="s">
        <v>250</v>
      </c>
      <c r="F14" s="143" t="s">
        <v>775</v>
      </c>
      <c r="G14" s="85" t="s">
        <v>251</v>
      </c>
      <c r="H14" s="85">
        <v>70102131</v>
      </c>
      <c r="I14" s="85" t="s">
        <v>750</v>
      </c>
      <c r="J14" s="89" t="s">
        <v>252</v>
      </c>
      <c r="K14" s="90">
        <v>398149187</v>
      </c>
      <c r="L14" s="90">
        <v>39814918700021</v>
      </c>
      <c r="M14" s="85" t="s">
        <v>253</v>
      </c>
      <c r="T14" s="92" t="s">
        <v>253</v>
      </c>
    </row>
    <row r="15" spans="1:78" ht="15" x14ac:dyDescent="0.25">
      <c r="A15" s="85" t="s">
        <v>701</v>
      </c>
      <c r="B15" s="85" t="s">
        <v>726</v>
      </c>
      <c r="C15" s="86">
        <v>69760</v>
      </c>
      <c r="D15" s="87" t="s">
        <v>254</v>
      </c>
      <c r="E15" s="88" t="s">
        <v>255</v>
      </c>
      <c r="F15" s="143" t="s">
        <v>776</v>
      </c>
      <c r="G15" s="85" t="s">
        <v>256</v>
      </c>
      <c r="H15" s="85">
        <v>70102130</v>
      </c>
      <c r="I15" s="85" t="s">
        <v>751</v>
      </c>
      <c r="J15" s="89" t="s">
        <v>257</v>
      </c>
      <c r="K15" s="90">
        <v>316807015</v>
      </c>
      <c r="L15" s="90">
        <v>31680701500706</v>
      </c>
      <c r="M15" s="85" t="s">
        <v>258</v>
      </c>
      <c r="T15" s="91" t="s">
        <v>258</v>
      </c>
    </row>
    <row r="16" spans="1:78" ht="15" x14ac:dyDescent="0.25">
      <c r="A16" s="85" t="s">
        <v>702</v>
      </c>
      <c r="B16" s="85" t="s">
        <v>727</v>
      </c>
      <c r="C16" s="86">
        <v>95102</v>
      </c>
      <c r="D16" s="87" t="s">
        <v>259</v>
      </c>
      <c r="E16" s="88" t="s">
        <v>260</v>
      </c>
      <c r="F16" s="143" t="s">
        <v>777</v>
      </c>
      <c r="G16" s="85" t="s">
        <v>261</v>
      </c>
      <c r="H16" s="85">
        <v>70102007</v>
      </c>
      <c r="I16" s="85" t="s">
        <v>752</v>
      </c>
      <c r="J16" s="89" t="s">
        <v>262</v>
      </c>
      <c r="K16" s="90">
        <v>421253899</v>
      </c>
      <c r="L16" s="90">
        <v>42125389900015</v>
      </c>
      <c r="M16" s="85" t="s">
        <v>263</v>
      </c>
      <c r="T16" s="92" t="s">
        <v>263</v>
      </c>
    </row>
    <row r="17" spans="1:20" ht="15" x14ac:dyDescent="0.25">
      <c r="A17" s="85" t="s">
        <v>703</v>
      </c>
      <c r="B17" s="85" t="s">
        <v>728</v>
      </c>
      <c r="C17" s="86">
        <v>49290</v>
      </c>
      <c r="D17" s="87" t="s">
        <v>264</v>
      </c>
      <c r="E17" s="88" t="s">
        <v>265</v>
      </c>
      <c r="F17" s="143" t="s">
        <v>778</v>
      </c>
      <c r="G17" s="85" t="s">
        <v>266</v>
      </c>
      <c r="H17" s="85">
        <v>70103047</v>
      </c>
      <c r="I17" s="85" t="s">
        <v>753</v>
      </c>
      <c r="J17" s="89" t="s">
        <v>267</v>
      </c>
      <c r="K17" s="90">
        <v>440068666</v>
      </c>
      <c r="L17" s="90">
        <v>44006866600013</v>
      </c>
      <c r="M17" s="85" t="s">
        <v>268</v>
      </c>
      <c r="T17" s="93" t="s">
        <v>268</v>
      </c>
    </row>
    <row r="18" spans="1:20" ht="15" x14ac:dyDescent="0.25">
      <c r="A18" s="85" t="s">
        <v>704</v>
      </c>
      <c r="B18" s="85" t="s">
        <v>729</v>
      </c>
      <c r="C18" s="86">
        <v>13810</v>
      </c>
      <c r="D18" s="87" t="s">
        <v>269</v>
      </c>
      <c r="E18" s="88" t="s">
        <v>270</v>
      </c>
      <c r="F18" s="143" t="s">
        <v>779</v>
      </c>
      <c r="G18" s="85" t="s">
        <v>271</v>
      </c>
      <c r="H18" s="85">
        <v>70103038</v>
      </c>
      <c r="I18" s="85" t="s">
        <v>754</v>
      </c>
      <c r="J18" s="89" t="s">
        <v>272</v>
      </c>
      <c r="K18" s="90">
        <v>773801204</v>
      </c>
      <c r="L18" s="90">
        <v>77380120400068</v>
      </c>
      <c r="M18" s="85" t="s">
        <v>273</v>
      </c>
      <c r="T18" s="92" t="s">
        <v>273</v>
      </c>
    </row>
    <row r="19" spans="1:20" ht="15" x14ac:dyDescent="0.25">
      <c r="A19" s="85" t="s">
        <v>705</v>
      </c>
      <c r="B19" s="85" t="s">
        <v>730</v>
      </c>
      <c r="C19" s="86">
        <v>59780</v>
      </c>
      <c r="D19" s="94" t="s">
        <v>274</v>
      </c>
      <c r="E19" s="88" t="s">
        <v>275</v>
      </c>
      <c r="F19" s="143" t="s">
        <v>780</v>
      </c>
      <c r="G19" s="85" t="s">
        <v>276</v>
      </c>
      <c r="H19" s="85">
        <v>70103045</v>
      </c>
      <c r="I19" s="85" t="s">
        <v>755</v>
      </c>
      <c r="J19" s="89" t="s">
        <v>277</v>
      </c>
      <c r="K19" s="90">
        <v>301420469</v>
      </c>
      <c r="L19" s="90">
        <v>30142046900035</v>
      </c>
      <c r="M19" s="85" t="s">
        <v>278</v>
      </c>
      <c r="T19" s="92" t="s">
        <v>278</v>
      </c>
    </row>
    <row r="20" spans="1:20" ht="15" x14ac:dyDescent="0.25">
      <c r="A20" s="85" t="s">
        <v>706</v>
      </c>
      <c r="B20" s="85" t="s">
        <v>731</v>
      </c>
      <c r="C20" s="86">
        <v>93013</v>
      </c>
      <c r="D20" s="87" t="s">
        <v>279</v>
      </c>
      <c r="E20" s="88" t="s">
        <v>280</v>
      </c>
      <c r="F20" s="143" t="s">
        <v>781</v>
      </c>
      <c r="G20" s="85" t="s">
        <v>281</v>
      </c>
      <c r="H20" s="85">
        <v>70104002</v>
      </c>
      <c r="I20" s="85" t="s">
        <v>756</v>
      </c>
      <c r="J20" s="89" t="s">
        <v>282</v>
      </c>
      <c r="K20" s="90">
        <v>572141885</v>
      </c>
      <c r="L20" s="90">
        <v>57214188502180</v>
      </c>
      <c r="M20" s="95" t="s">
        <v>233</v>
      </c>
      <c r="T20" s="92"/>
    </row>
    <row r="21" spans="1:20" ht="15" x14ac:dyDescent="0.25">
      <c r="A21" s="85" t="s">
        <v>707</v>
      </c>
      <c r="B21" s="85" t="s">
        <v>732</v>
      </c>
      <c r="C21" s="86">
        <v>91350</v>
      </c>
      <c r="D21" s="87" t="s">
        <v>283</v>
      </c>
      <c r="E21" s="88" t="s">
        <v>284</v>
      </c>
      <c r="F21" s="143" t="s">
        <v>782</v>
      </c>
      <c r="G21" s="85" t="s">
        <v>285</v>
      </c>
      <c r="H21" s="85">
        <v>70103040</v>
      </c>
      <c r="I21" s="85" t="s">
        <v>757</v>
      </c>
      <c r="J21" s="89" t="s">
        <v>286</v>
      </c>
      <c r="K21" s="90">
        <v>433123452</v>
      </c>
      <c r="L21" s="90">
        <v>43312345200016</v>
      </c>
      <c r="M21" s="85" t="s">
        <v>233</v>
      </c>
      <c r="T21" s="92"/>
    </row>
    <row r="22" spans="1:20" ht="15" x14ac:dyDescent="0.25">
      <c r="A22" s="85" t="s">
        <v>708</v>
      </c>
      <c r="B22" s="85" t="s">
        <v>733</v>
      </c>
      <c r="C22" s="86">
        <v>91355</v>
      </c>
      <c r="D22" s="87" t="s">
        <v>287</v>
      </c>
      <c r="E22" s="88" t="s">
        <v>288</v>
      </c>
      <c r="F22" s="143" t="s">
        <v>783</v>
      </c>
      <c r="G22" s="85" t="s">
        <v>289</v>
      </c>
      <c r="H22" s="85">
        <v>70103020</v>
      </c>
      <c r="I22" s="85" t="s">
        <v>758</v>
      </c>
      <c r="J22" s="89" t="s">
        <v>290</v>
      </c>
      <c r="K22" s="90">
        <v>424460889</v>
      </c>
      <c r="L22" s="90">
        <v>42446088900019</v>
      </c>
      <c r="M22" s="85" t="s">
        <v>233</v>
      </c>
      <c r="T22" s="92"/>
    </row>
    <row r="23" spans="1:20" ht="15" x14ac:dyDescent="0.25">
      <c r="A23" s="85" t="s">
        <v>709</v>
      </c>
      <c r="B23" s="85" t="s">
        <v>734</v>
      </c>
      <c r="C23" s="86">
        <v>92330</v>
      </c>
      <c r="D23" s="87" t="s">
        <v>291</v>
      </c>
      <c r="E23" s="88" t="s">
        <v>292</v>
      </c>
      <c r="F23" s="143" t="s">
        <v>784</v>
      </c>
      <c r="G23" s="85" t="s">
        <v>293</v>
      </c>
      <c r="H23" s="85">
        <v>70103037</v>
      </c>
      <c r="I23" s="85" t="s">
        <v>759</v>
      </c>
      <c r="J23" s="89" t="s">
        <v>294</v>
      </c>
      <c r="K23" s="90">
        <v>515053056</v>
      </c>
      <c r="L23" s="90">
        <v>51505305600021</v>
      </c>
      <c r="M23" s="85" t="s">
        <v>268</v>
      </c>
      <c r="T23" s="92"/>
    </row>
    <row r="24" spans="1:20" ht="15" x14ac:dyDescent="0.25">
      <c r="A24" s="85" t="s">
        <v>710</v>
      </c>
      <c r="B24" s="85" t="s">
        <v>735</v>
      </c>
      <c r="C24" s="86">
        <v>75015</v>
      </c>
      <c r="D24" s="87" t="s">
        <v>295</v>
      </c>
      <c r="E24" s="88" t="s">
        <v>296</v>
      </c>
      <c r="F24" s="143" t="s">
        <v>785</v>
      </c>
      <c r="G24" s="85" t="s">
        <v>297</v>
      </c>
      <c r="H24" s="85">
        <v>70118061</v>
      </c>
      <c r="I24" s="85" t="s">
        <v>760</v>
      </c>
      <c r="J24" s="89" t="s">
        <v>298</v>
      </c>
      <c r="K24" s="90">
        <v>443681903</v>
      </c>
      <c r="L24" s="90">
        <v>44368190300052</v>
      </c>
      <c r="M24" s="85" t="s">
        <v>233</v>
      </c>
      <c r="T24" s="92"/>
    </row>
    <row r="25" spans="1:20" ht="15" x14ac:dyDescent="0.25">
      <c r="A25" s="85" t="s">
        <v>711</v>
      </c>
      <c r="B25" s="85" t="s">
        <v>736</v>
      </c>
      <c r="C25" s="86">
        <v>55130</v>
      </c>
      <c r="D25" s="87" t="s">
        <v>299</v>
      </c>
      <c r="E25" s="88" t="s">
        <v>300</v>
      </c>
      <c r="F25" s="143" t="s">
        <v>786</v>
      </c>
      <c r="G25" s="85" t="s">
        <v>301</v>
      </c>
      <c r="H25" s="85">
        <v>70103004</v>
      </c>
      <c r="I25" s="85" t="s">
        <v>761</v>
      </c>
      <c r="J25" s="89" t="s">
        <v>302</v>
      </c>
      <c r="K25" s="90">
        <v>486120116</v>
      </c>
      <c r="L25" s="90">
        <v>48612011600018</v>
      </c>
      <c r="M25" s="85" t="s">
        <v>233</v>
      </c>
      <c r="T25" s="92"/>
    </row>
    <row r="26" spans="1:20" ht="15" x14ac:dyDescent="0.25">
      <c r="A26" s="85" t="s">
        <v>712</v>
      </c>
      <c r="B26" s="85" t="s">
        <v>737</v>
      </c>
      <c r="C26" s="86">
        <v>79200</v>
      </c>
      <c r="D26" s="87" t="s">
        <v>303</v>
      </c>
      <c r="E26" s="88" t="s">
        <v>304</v>
      </c>
      <c r="F26" s="143" t="s">
        <v>787</v>
      </c>
      <c r="G26" s="85" t="s">
        <v>305</v>
      </c>
      <c r="H26" s="85">
        <v>70103039</v>
      </c>
      <c r="I26" s="85" t="s">
        <v>762</v>
      </c>
      <c r="J26" s="89" t="s">
        <v>306</v>
      </c>
      <c r="K26" s="90">
        <v>337604482</v>
      </c>
      <c r="L26" s="90">
        <v>33760448200014</v>
      </c>
      <c r="M26" s="85" t="s">
        <v>233</v>
      </c>
      <c r="T26" s="92"/>
    </row>
    <row r="27" spans="1:20" x14ac:dyDescent="0.25">
      <c r="C27" s="154"/>
      <c r="D27" s="154"/>
      <c r="E27" s="154"/>
      <c r="K27" s="154"/>
      <c r="L27" s="154"/>
      <c r="M27" s="15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CmdB_Gestion_Client">
          <controlPr defaultSize="0" autoFill="0" autoLine="0" r:id="rId4">
            <anchor moveWithCells="1">
              <from>
                <xdr:col>14</xdr:col>
                <xdr:colOff>9525</xdr:colOff>
                <xdr:row>0</xdr:row>
                <xdr:rowOff>9525</xdr:rowOff>
              </from>
              <to>
                <xdr:col>18</xdr:col>
                <xdr:colOff>0</xdr:colOff>
                <xdr:row>1</xdr:row>
                <xdr:rowOff>19050</xdr:rowOff>
              </to>
            </anchor>
          </controlPr>
        </control>
      </mc:Choice>
      <mc:Fallback>
        <control shapeId="5121" r:id="rId3" name="CmdB_Gestion_Client"/>
      </mc:Fallback>
    </mc:AlternateContent>
    <mc:AlternateContent xmlns:mc="http://schemas.openxmlformats.org/markup-compatibility/2006">
      <mc:Choice Requires="x14">
        <control shapeId="5122" r:id="rId5" name="CmdB_Secteur_Activite">
          <controlPr defaultSize="0" autoFill="0" autoLine="0" r:id="rId6">
            <anchor moveWithCells="1">
              <from>
                <xdr:col>19</xdr:col>
                <xdr:colOff>0</xdr:colOff>
                <xdr:row>0</xdr:row>
                <xdr:rowOff>9525</xdr:rowOff>
              </from>
              <to>
                <xdr:col>20</xdr:col>
                <xdr:colOff>9525</xdr:colOff>
                <xdr:row>1</xdr:row>
                <xdr:rowOff>19050</xdr:rowOff>
              </to>
            </anchor>
          </controlPr>
        </control>
      </mc:Choice>
      <mc:Fallback>
        <control shapeId="5122" r:id="rId5" name="CmdB_Secteur_Activite"/>
      </mc:Fallback>
    </mc:AlternateContent>
    <mc:AlternateContent xmlns:mc="http://schemas.openxmlformats.org/markup-compatibility/2006">
      <mc:Choice Requires="x14">
        <control shapeId="5123" r:id="rId7" name="CmdB_Accueil">
          <controlPr defaultSize="0" autoFill="0" autoLine="0" r:id="rId8">
            <anchor moveWithCells="1">
              <from>
                <xdr:col>21</xdr:col>
                <xdr:colOff>19050</xdr:colOff>
                <xdr:row>0</xdr:row>
                <xdr:rowOff>9525</xdr:rowOff>
              </from>
              <to>
                <xdr:col>22</xdr:col>
                <xdr:colOff>733425</xdr:colOff>
                <xdr:row>1</xdr:row>
                <xdr:rowOff>19050</xdr:rowOff>
              </to>
            </anchor>
          </controlPr>
        </control>
      </mc:Choice>
      <mc:Fallback>
        <control shapeId="5123" r:id="rId7" name="CmdB_Accueil"/>
      </mc:Fallback>
    </mc:AlternateContent>
  </controls>
  <tableParts count="1"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05">
    <tabColor theme="3"/>
  </sheetPr>
  <dimension ref="B1:BX79"/>
  <sheetViews>
    <sheetView showRowColHeaders="0" topLeftCell="A10" zoomScaleNormal="100" zoomScalePageLayoutView="70" workbookViewId="0">
      <selection activeCell="R12" sqref="R12"/>
    </sheetView>
  </sheetViews>
  <sheetFormatPr baseColWidth="10" defaultRowHeight="16.5" x14ac:dyDescent="0.25"/>
  <cols>
    <col min="1" max="1" width="1.5703125" style="252" customWidth="1"/>
    <col min="2" max="2" width="1.85546875" style="252" customWidth="1"/>
    <col min="3" max="3" width="13.42578125" style="252" customWidth="1"/>
    <col min="4" max="4" width="20.85546875" style="252" customWidth="1"/>
    <col min="5" max="5" width="16.140625" style="252" customWidth="1"/>
    <col min="6" max="6" width="20.85546875" style="252" customWidth="1"/>
    <col min="7" max="7" width="28.5703125" style="252" customWidth="1"/>
    <col min="8" max="8" width="13.28515625" style="252" customWidth="1"/>
    <col min="9" max="9" width="10.5703125" style="252" customWidth="1"/>
    <col min="10" max="10" width="16.5703125" style="252" customWidth="1"/>
    <col min="11" max="11" width="15.5703125" style="252" customWidth="1"/>
    <col min="12" max="12" width="13.7109375" style="252" customWidth="1"/>
    <col min="13" max="13" width="15" style="252" customWidth="1"/>
    <col min="14" max="14" width="17.85546875" style="252" customWidth="1"/>
    <col min="15" max="15" width="2.7109375" style="252" customWidth="1"/>
    <col min="16" max="16" width="11.42578125" style="252"/>
    <col min="17" max="17" width="0.7109375" style="252" customWidth="1"/>
    <col min="18" max="18" width="19" style="252" customWidth="1"/>
    <col min="19" max="19" width="0.7109375" style="252" customWidth="1"/>
    <col min="20" max="16384" width="11.42578125" style="252"/>
  </cols>
  <sheetData>
    <row r="1" spans="3:76" ht="18" thickBot="1" x14ac:dyDescent="0.3">
      <c r="C1" s="282" t="s">
        <v>78</v>
      </c>
      <c r="D1" s="283"/>
      <c r="E1" s="283"/>
      <c r="F1" s="283"/>
      <c r="G1" s="284"/>
      <c r="H1" s="10"/>
      <c r="I1" s="10"/>
      <c r="J1" s="10"/>
      <c r="K1" s="11"/>
      <c r="L1" s="11"/>
      <c r="M1" s="11"/>
      <c r="N1" s="11"/>
      <c r="P1" s="184" t="str">
        <f ca="1">INDEX(FACT,COUNTA(FACT))</f>
        <v>FACT-18</v>
      </c>
      <c r="Q1" s="184"/>
      <c r="R1" s="205" t="s">
        <v>79</v>
      </c>
      <c r="BX1" s="235"/>
    </row>
    <row r="2" spans="3:76" ht="18" thickBot="1" x14ac:dyDescent="0.3">
      <c r="C2" s="282"/>
      <c r="D2" s="283"/>
      <c r="E2" s="283"/>
      <c r="F2" s="283"/>
      <c r="G2" s="284"/>
      <c r="H2" s="12"/>
      <c r="I2" s="12"/>
      <c r="J2" s="10"/>
      <c r="K2" s="11"/>
      <c r="L2" s="273" t="s">
        <v>82</v>
      </c>
      <c r="M2" s="274"/>
      <c r="N2" s="274"/>
      <c r="P2" s="184"/>
      <c r="Q2" s="184"/>
      <c r="R2" s="179" t="s">
        <v>80</v>
      </c>
    </row>
    <row r="3" spans="3:76" ht="17.25" x14ac:dyDescent="0.25">
      <c r="C3" s="282"/>
      <c r="D3" s="283"/>
      <c r="E3" s="283"/>
      <c r="F3" s="283"/>
      <c r="G3" s="284"/>
      <c r="H3" s="10"/>
      <c r="I3" s="10"/>
      <c r="J3" s="10"/>
      <c r="K3" s="11"/>
      <c r="L3" s="275" t="s">
        <v>83</v>
      </c>
      <c r="M3" s="276"/>
      <c r="N3" s="13" t="str">
        <f ca="1">INDEX(FACT,COUNTA(FACT))</f>
        <v>FACT-18</v>
      </c>
    </row>
    <row r="4" spans="3:76" ht="18" thickBot="1" x14ac:dyDescent="0.3">
      <c r="C4" s="282"/>
      <c r="D4" s="283"/>
      <c r="E4" s="283"/>
      <c r="F4" s="283"/>
      <c r="G4" s="284"/>
      <c r="H4" s="10"/>
      <c r="I4" s="10"/>
      <c r="J4" s="10"/>
      <c r="K4" s="11"/>
      <c r="L4" s="277" t="s">
        <v>84</v>
      </c>
      <c r="M4" s="278"/>
      <c r="N4" s="14" t="s">
        <v>81</v>
      </c>
    </row>
    <row r="5" spans="3:76" ht="17.25" x14ac:dyDescent="0.25">
      <c r="C5" s="285"/>
      <c r="D5" s="286"/>
      <c r="E5" s="286"/>
      <c r="F5" s="286"/>
      <c r="G5" s="287"/>
      <c r="H5" s="10"/>
      <c r="I5" s="10"/>
      <c r="J5" s="10"/>
      <c r="K5" s="11"/>
      <c r="L5" s="11"/>
      <c r="M5" s="11"/>
      <c r="N5" s="11"/>
    </row>
    <row r="6" spans="3:76" ht="17.25" x14ac:dyDescent="0.25">
      <c r="C6" s="10"/>
      <c r="D6" s="10"/>
      <c r="E6" s="10"/>
      <c r="F6" s="10"/>
      <c r="G6" s="148"/>
      <c r="H6" s="10"/>
      <c r="I6" s="10"/>
      <c r="J6" s="10"/>
      <c r="K6" s="11"/>
      <c r="L6" s="11"/>
      <c r="M6" s="11"/>
      <c r="N6" s="11"/>
    </row>
    <row r="7" spans="3:76" ht="17.25" x14ac:dyDescent="0.25">
      <c r="C7" s="279"/>
      <c r="D7" s="279"/>
      <c r="E7" s="280"/>
      <c r="F7" s="280"/>
      <c r="G7" s="148"/>
      <c r="H7" s="10"/>
      <c r="I7" s="279" t="s">
        <v>85</v>
      </c>
      <c r="J7" s="279"/>
      <c r="K7" s="281"/>
      <c r="L7" s="281"/>
      <c r="M7" s="281"/>
      <c r="N7" s="10"/>
    </row>
    <row r="8" spans="3:76" ht="17.25" x14ac:dyDescent="0.25">
      <c r="C8" s="270" t="s">
        <v>86</v>
      </c>
      <c r="D8" s="270"/>
      <c r="E8" s="10" t="s">
        <v>316</v>
      </c>
      <c r="F8" s="10"/>
      <c r="G8" s="148"/>
      <c r="H8" s="10"/>
      <c r="I8" s="270" t="s">
        <v>86</v>
      </c>
      <c r="J8" s="270"/>
      <c r="K8" s="271" t="s">
        <v>690</v>
      </c>
      <c r="L8" s="271"/>
      <c r="M8" s="271"/>
      <c r="N8" s="271"/>
    </row>
    <row r="9" spans="3:76" ht="27" customHeight="1" x14ac:dyDescent="0.25">
      <c r="C9" s="270" t="s">
        <v>87</v>
      </c>
      <c r="D9" s="270"/>
      <c r="E9" s="10" t="s">
        <v>317</v>
      </c>
      <c r="F9" s="10"/>
      <c r="G9" s="148"/>
      <c r="H9" s="10"/>
      <c r="I9" s="270" t="s">
        <v>87</v>
      </c>
      <c r="J9" s="270"/>
      <c r="K9" s="272" t="str">
        <f ca="1">IFERROR(T(VLOOKUP($K$8,CLIENTS_PLAGE_CLIENTS,2,FALSE)),"")</f>
        <v>Adresse 3</v>
      </c>
      <c r="L9" s="272"/>
      <c r="M9" s="272"/>
      <c r="N9" s="272"/>
    </row>
    <row r="10" spans="3:76" ht="17.25" x14ac:dyDescent="0.25">
      <c r="C10" s="270"/>
      <c r="D10" s="270"/>
      <c r="E10" s="10"/>
      <c r="F10" s="10"/>
      <c r="G10" s="148"/>
      <c r="H10" s="10"/>
      <c r="I10" s="270"/>
      <c r="J10" s="270"/>
      <c r="K10" s="272"/>
      <c r="L10" s="272"/>
      <c r="M10" s="272"/>
      <c r="N10" s="10"/>
    </row>
    <row r="11" spans="3:76" ht="15" customHeight="1" x14ac:dyDescent="0.25">
      <c r="C11" s="270" t="s">
        <v>307</v>
      </c>
      <c r="D11" s="270"/>
      <c r="E11" s="15" t="s">
        <v>318</v>
      </c>
      <c r="F11" s="10"/>
      <c r="G11" s="148"/>
      <c r="H11" s="10"/>
      <c r="I11" s="270" t="s">
        <v>88</v>
      </c>
      <c r="J11" s="270"/>
      <c r="K11" s="16">
        <f ca="1">IFERROR((VLOOKUP($K$8,CLIENTS_PLAGE_CLIENTS,3,FALSE)),"")</f>
        <v>44105</v>
      </c>
      <c r="L11" s="16" t="str">
        <f ca="1">IFERROR(T(VLOOKUP($K$8,CLIENTS_PLAGE_CLIENTS,4,FALSE)),"")</f>
        <v>NANTES CEDEX 4</v>
      </c>
      <c r="M11" s="16"/>
      <c r="N11" s="16"/>
    </row>
    <row r="12" spans="3:76" ht="29.25" customHeight="1" x14ac:dyDescent="0.25">
      <c r="C12" s="270" t="s">
        <v>308</v>
      </c>
      <c r="D12" s="270"/>
      <c r="E12" s="17" t="s">
        <v>319</v>
      </c>
      <c r="F12" s="17"/>
      <c r="G12" s="17"/>
      <c r="H12" s="10"/>
      <c r="I12" s="270" t="s">
        <v>89</v>
      </c>
      <c r="J12" s="270"/>
      <c r="K12" s="272" t="str">
        <f ca="1">IFERROR(T(VLOOKUP($K$8,CLIENTS_PLAGE_CLIENTS,6,FALSE)),"")</f>
        <v>Contact 3Nom 3@gmail.com</v>
      </c>
      <c r="L12" s="272"/>
      <c r="M12" s="272"/>
      <c r="N12" s="272"/>
    </row>
    <row r="13" spans="3:76" ht="17.25" customHeight="1" x14ac:dyDescent="0.25">
      <c r="C13" s="270" t="s">
        <v>90</v>
      </c>
      <c r="D13" s="270"/>
      <c r="E13" s="288" t="s">
        <v>320</v>
      </c>
      <c r="F13" s="288"/>
      <c r="G13" s="148"/>
      <c r="H13" s="10"/>
      <c r="I13" s="270" t="s">
        <v>90</v>
      </c>
      <c r="J13" s="270"/>
      <c r="K13" s="289" t="str">
        <f ca="1">IFERROR((VLOOKUP($K$8,CLIENTS_PLAGE_CLIENTS,5,FALSE)),"")</f>
        <v>02 40 46 41 42</v>
      </c>
      <c r="L13" s="289"/>
      <c r="M13" s="289"/>
      <c r="N13" s="10"/>
    </row>
    <row r="14" spans="3:76" ht="17.25" customHeight="1" x14ac:dyDescent="0.25">
      <c r="C14" s="270" t="s">
        <v>91</v>
      </c>
      <c r="D14" s="270"/>
      <c r="E14" s="288" t="s">
        <v>321</v>
      </c>
      <c r="F14" s="288" t="s">
        <v>322</v>
      </c>
      <c r="G14" s="148"/>
      <c r="H14" s="10"/>
      <c r="I14" s="270" t="s">
        <v>91</v>
      </c>
      <c r="J14" s="270"/>
      <c r="K14" s="289" t="str">
        <f ca="1">IFERROR(T(VLOOKUP($K$8,CLIENTS_PLAGE_CLIENTS,10,FALSE)),"")</f>
        <v>02 40 46 17 76</v>
      </c>
      <c r="L14" s="289"/>
      <c r="M14" s="289"/>
      <c r="N14" s="10"/>
    </row>
    <row r="15" spans="3:76" ht="17.25" customHeight="1" x14ac:dyDescent="0.25">
      <c r="C15" s="270" t="s">
        <v>92</v>
      </c>
      <c r="D15" s="270"/>
      <c r="E15" s="288" t="s">
        <v>323</v>
      </c>
      <c r="F15" s="288"/>
      <c r="G15" s="148"/>
      <c r="H15" s="10"/>
      <c r="I15" s="270" t="s">
        <v>93</v>
      </c>
      <c r="J15" s="270"/>
      <c r="K15" s="272" t="str">
        <f ca="1">IFERROR(T(VLOOKUP($K$8,CLIENTS_PLAGE_CLIENTS,7,FALSE)),"")</f>
        <v>FR86 333 722 155</v>
      </c>
      <c r="L15" s="272"/>
      <c r="M15" s="272"/>
      <c r="N15" s="11"/>
    </row>
    <row r="16" spans="3:76" ht="17.25" customHeight="1" x14ac:dyDescent="0.25">
      <c r="C16" s="18"/>
      <c r="D16" s="18"/>
      <c r="E16" s="19"/>
      <c r="F16" s="11"/>
      <c r="G16" s="20"/>
      <c r="H16" s="290" t="s">
        <v>94</v>
      </c>
      <c r="I16" s="290"/>
      <c r="J16" s="290"/>
      <c r="K16" s="272" t="str">
        <f ca="1">IFERROR(T(VLOOKUP($K$8,CLIENTS_PLAGE_CLIENTS,13,FALSE)),"")</f>
        <v>AUTOMOBILE</v>
      </c>
      <c r="L16" s="272"/>
      <c r="M16" s="272"/>
      <c r="N16" s="11"/>
    </row>
    <row r="17" spans="3:18" ht="17.25" customHeight="1" x14ac:dyDescent="0.25">
      <c r="C17" s="18"/>
      <c r="D17" s="18"/>
      <c r="E17" s="19"/>
      <c r="F17" s="11"/>
      <c r="G17" s="20"/>
      <c r="H17" s="11"/>
      <c r="I17" s="270" t="s">
        <v>95</v>
      </c>
      <c r="J17" s="270"/>
      <c r="K17" s="272" t="str">
        <f ca="1">IFERROR(T(VLOOKUP($K$8,CLIENTS_PLAGE_CLIENTS,9,FALSE)),"")</f>
        <v>Contact 3</v>
      </c>
      <c r="L17" s="272"/>
      <c r="M17" s="272"/>
      <c r="N17" s="11"/>
    </row>
    <row r="18" spans="3:18" ht="17.25" x14ac:dyDescent="0.25">
      <c r="C18" s="18"/>
      <c r="D18" s="18"/>
      <c r="E18" s="19"/>
      <c r="F18" s="11"/>
      <c r="G18" s="20"/>
      <c r="H18" s="11"/>
      <c r="I18" s="270"/>
      <c r="J18" s="270"/>
      <c r="K18" s="272"/>
      <c r="L18" s="272"/>
      <c r="M18" s="272"/>
      <c r="N18" s="11"/>
    </row>
    <row r="19" spans="3:18" ht="17.25" x14ac:dyDescent="0.25">
      <c r="C19" s="21"/>
      <c r="D19" s="21"/>
      <c r="E19" s="11"/>
      <c r="F19" s="149" t="s">
        <v>121</v>
      </c>
      <c r="G19" s="22">
        <f>N4+H19</f>
        <v>42385</v>
      </c>
      <c r="H19" s="23">
        <v>30</v>
      </c>
      <c r="I19" s="270" t="s">
        <v>96</v>
      </c>
      <c r="J19" s="270"/>
      <c r="K19" s="295">
        <f ca="1">IFERROR((VLOOKUP($K$8,CLIENTS_PLAGE_CLIENTS,12,FALSE)),"")</f>
        <v>33372215500020</v>
      </c>
      <c r="L19" s="295"/>
      <c r="M19" s="295"/>
      <c r="N19" s="11"/>
    </row>
    <row r="20" spans="3:18" x14ac:dyDescent="0.25">
      <c r="C20" s="11"/>
      <c r="D20" s="24"/>
      <c r="E20" s="24"/>
      <c r="F20" s="24"/>
      <c r="G20" s="25"/>
      <c r="H20" s="24"/>
      <c r="I20" s="24"/>
      <c r="J20" s="11"/>
      <c r="K20" s="11"/>
      <c r="L20" s="11"/>
      <c r="M20" s="24"/>
      <c r="N20" s="11"/>
    </row>
    <row r="21" spans="3:18" ht="15" customHeight="1" x14ac:dyDescent="0.25">
      <c r="C21" s="298" t="s">
        <v>84</v>
      </c>
      <c r="D21" s="299" t="s">
        <v>98</v>
      </c>
      <c r="E21" s="300"/>
      <c r="F21" s="301"/>
      <c r="G21" s="305" t="s">
        <v>101</v>
      </c>
      <c r="H21" s="291" t="s">
        <v>102</v>
      </c>
      <c r="I21" s="291" t="s">
        <v>103</v>
      </c>
      <c r="J21" s="291" t="s">
        <v>104</v>
      </c>
      <c r="K21" s="291" t="s">
        <v>105</v>
      </c>
      <c r="L21" s="291" t="s">
        <v>106</v>
      </c>
      <c r="M21" s="291" t="s">
        <v>107</v>
      </c>
      <c r="N21" s="296" t="s">
        <v>108</v>
      </c>
      <c r="P21" s="292" t="s">
        <v>97</v>
      </c>
      <c r="Q21" s="293"/>
      <c r="R21" s="294"/>
    </row>
    <row r="22" spans="3:18" ht="28.5" customHeight="1" x14ac:dyDescent="0.25">
      <c r="C22" s="298"/>
      <c r="D22" s="302"/>
      <c r="E22" s="303"/>
      <c r="F22" s="304"/>
      <c r="G22" s="305"/>
      <c r="H22" s="291"/>
      <c r="I22" s="291"/>
      <c r="J22" s="291"/>
      <c r="K22" s="291"/>
      <c r="L22" s="291"/>
      <c r="M22" s="291"/>
      <c r="N22" s="296"/>
      <c r="P22" s="180" t="s">
        <v>99</v>
      </c>
      <c r="Q22" s="181"/>
      <c r="R22" s="182" t="s">
        <v>100</v>
      </c>
    </row>
    <row r="23" spans="3:18" ht="34.5" customHeight="1" x14ac:dyDescent="0.25">
      <c r="C23" s="26" t="str">
        <f>IF(D23="","",$N$4)</f>
        <v>17/12/2015</v>
      </c>
      <c r="D23" s="297" t="s">
        <v>21</v>
      </c>
      <c r="E23" s="297"/>
      <c r="F23" s="297"/>
      <c r="G23" s="27" t="str">
        <f ca="1">IFERROR(T(VLOOKUP(D23,BDD_LISTE,2,FALSE)),"")</f>
        <v>HUIL-MOT-30001</v>
      </c>
      <c r="H23" s="28">
        <v>25</v>
      </c>
      <c r="I23" s="29">
        <v>0.2</v>
      </c>
      <c r="J23" s="30">
        <f t="shared" ref="J23:J36" ca="1" si="0">IFERROR((VLOOKUP(D23,BDD_LISTE,3,FALSE)),"")</f>
        <v>35</v>
      </c>
      <c r="K23" s="31">
        <f ca="1">IF(OR(J23=0,H23=0,J23="",H23=""),"",J23*(1+I23))</f>
        <v>42</v>
      </c>
      <c r="L23" s="31">
        <f ca="1">IF(OR(J23=0,H23=0,J23="",H23=""),"",J23*H23)</f>
        <v>875</v>
      </c>
      <c r="M23" s="31">
        <f t="shared" ref="M23:M36" ca="1" si="1">IF(OR(J23=0,H23=0,J23="",H23=""),"",(J23*I23)*H23)</f>
        <v>175</v>
      </c>
      <c r="N23" s="32">
        <f t="shared" ref="N23:N36" ca="1" si="2">IF(OR(J23=0,H23=0,J23="",H23=""),"",K23*H23)</f>
        <v>1050</v>
      </c>
      <c r="P23" s="191">
        <f t="shared" ref="P23:P36" ca="1" si="3">IFERROR((VLOOKUP(D23,BDD_LISTE,7,FALSE)),"")</f>
        <v>7.7</v>
      </c>
      <c r="Q23" s="192"/>
      <c r="R23" s="193">
        <f ca="1">IF(OR(P23=0,,H23=""),"",H23*P23)</f>
        <v>192.5</v>
      </c>
    </row>
    <row r="24" spans="3:18" ht="34.5" customHeight="1" x14ac:dyDescent="0.25">
      <c r="C24" s="26" t="str">
        <f t="shared" ref="C24:C36" si="4">IF(D24="","",$N$4)</f>
        <v>17/12/2015</v>
      </c>
      <c r="D24" s="297" t="s">
        <v>21</v>
      </c>
      <c r="E24" s="297"/>
      <c r="F24" s="297"/>
      <c r="G24" s="27" t="str">
        <f t="shared" ref="G24:G36" ca="1" si="5">IFERROR(T(VLOOKUP(D24,BDD_LISTE,2,FALSE)),"")</f>
        <v>HUIL-MOT-30001</v>
      </c>
      <c r="H24" s="28">
        <v>7</v>
      </c>
      <c r="I24" s="29">
        <v>0.2</v>
      </c>
      <c r="J24" s="30">
        <f t="shared" ca="1" si="0"/>
        <v>35</v>
      </c>
      <c r="K24" s="31">
        <f ca="1">IF(OR(J24=0,H24=0,J24="",H24=""),"",J24*(1+I24))</f>
        <v>42</v>
      </c>
      <c r="L24" s="31">
        <f t="shared" ref="L24:L36" ca="1" si="6">IF(OR(J24=0,H24=0,J24="",H24=""),"",J24*H24)</f>
        <v>245</v>
      </c>
      <c r="M24" s="31">
        <f t="shared" ca="1" si="1"/>
        <v>49</v>
      </c>
      <c r="N24" s="32">
        <f t="shared" ca="1" si="2"/>
        <v>294</v>
      </c>
      <c r="P24" s="194">
        <f t="shared" ca="1" si="3"/>
        <v>7.7</v>
      </c>
      <c r="Q24" s="195"/>
      <c r="R24" s="196">
        <f ca="1">IF(OR(P24=0,,H24=""),"",H24*P24)</f>
        <v>53.9</v>
      </c>
    </row>
    <row r="25" spans="3:18" ht="34.5" customHeight="1" x14ac:dyDescent="0.25">
      <c r="C25" s="26" t="str">
        <f t="shared" si="4"/>
        <v>17/12/2015</v>
      </c>
      <c r="D25" s="297" t="s">
        <v>33</v>
      </c>
      <c r="E25" s="297"/>
      <c r="F25" s="297"/>
      <c r="G25" s="27" t="str">
        <f t="shared" ca="1" si="5"/>
        <v>BOIS-JSF-1056</v>
      </c>
      <c r="H25" s="28">
        <v>20</v>
      </c>
      <c r="I25" s="29">
        <v>5.5E-2</v>
      </c>
      <c r="J25" s="30">
        <f t="shared" ca="1" si="0"/>
        <v>1</v>
      </c>
      <c r="K25" s="31">
        <f ca="1">IF(OR(J25=0,H25=0,J25="",H25=""),"",J25*(1+I25))</f>
        <v>1.0549999999999999</v>
      </c>
      <c r="L25" s="31">
        <f t="shared" ca="1" si="6"/>
        <v>20</v>
      </c>
      <c r="M25" s="31">
        <f t="shared" ca="1" si="1"/>
        <v>1.1000000000000001</v>
      </c>
      <c r="N25" s="32">
        <f t="shared" ca="1" si="2"/>
        <v>21.099999999999998</v>
      </c>
      <c r="P25" s="194">
        <f t="shared" ca="1" si="3"/>
        <v>1.05</v>
      </c>
      <c r="Q25" s="195"/>
      <c r="R25" s="196">
        <f ca="1">IF(OR(P25=0,,H25=""),"",H25*P25)</f>
        <v>21</v>
      </c>
    </row>
    <row r="26" spans="3:18" ht="34.5" customHeight="1" x14ac:dyDescent="0.25">
      <c r="C26" s="26" t="str">
        <f t="shared" si="4"/>
        <v>17/12/2015</v>
      </c>
      <c r="D26" s="297" t="s">
        <v>17</v>
      </c>
      <c r="E26" s="297"/>
      <c r="F26" s="297"/>
      <c r="G26" s="27" t="str">
        <f t="shared" ca="1" si="5"/>
        <v>HUIL-MOT-55002</v>
      </c>
      <c r="H26" s="28">
        <v>50</v>
      </c>
      <c r="I26" s="29">
        <v>5.5E-2</v>
      </c>
      <c r="J26" s="30">
        <f t="shared" ca="1" si="0"/>
        <v>25</v>
      </c>
      <c r="K26" s="31">
        <f ca="1">IF(OR(J26=0,H26=0,J26="",H26=""),"",J26*(1+I26))</f>
        <v>26.375</v>
      </c>
      <c r="L26" s="31">
        <f t="shared" ca="1" si="6"/>
        <v>1250</v>
      </c>
      <c r="M26" s="31">
        <f t="shared" ca="1" si="1"/>
        <v>68.75</v>
      </c>
      <c r="N26" s="32">
        <f t="shared" ca="1" si="2"/>
        <v>1318.75</v>
      </c>
      <c r="P26" s="194">
        <f t="shared" ca="1" si="3"/>
        <v>7.9</v>
      </c>
      <c r="Q26" s="195"/>
      <c r="R26" s="196">
        <f ca="1">IF(OR(P26=0,,H26=""),"",H26*P26)</f>
        <v>395</v>
      </c>
    </row>
    <row r="27" spans="3:18" ht="34.5" customHeight="1" x14ac:dyDescent="0.25">
      <c r="C27" s="26" t="str">
        <f t="shared" si="4"/>
        <v>17/12/2015</v>
      </c>
      <c r="D27" s="297" t="s">
        <v>37</v>
      </c>
      <c r="E27" s="297"/>
      <c r="F27" s="297"/>
      <c r="G27" s="27" t="str">
        <f t="shared" ca="1" si="5"/>
        <v>BOIS-JSF-1057</v>
      </c>
      <c r="H27" s="28">
        <v>100</v>
      </c>
      <c r="I27" s="29">
        <v>5.5E-2</v>
      </c>
      <c r="J27" s="30">
        <f t="shared" ca="1" si="0"/>
        <v>2.57</v>
      </c>
      <c r="K27" s="31">
        <f ca="1">IF(OR(J27=0,H27=0,J27="",H27=""),"",J27*(1+I27))</f>
        <v>2.7113499999999995</v>
      </c>
      <c r="L27" s="31">
        <f t="shared" ca="1" si="6"/>
        <v>257</v>
      </c>
      <c r="M27" s="31">
        <f t="shared" ca="1" si="1"/>
        <v>14.135</v>
      </c>
      <c r="N27" s="32">
        <f t="shared" ca="1" si="2"/>
        <v>271.13499999999993</v>
      </c>
      <c r="P27" s="194">
        <f t="shared" ca="1" si="3"/>
        <v>1.8620000000000001</v>
      </c>
      <c r="Q27" s="195"/>
      <c r="R27" s="196">
        <f ca="1">IF(OR(P27=0,,H27=""),"",H27*P27)</f>
        <v>186.20000000000002</v>
      </c>
    </row>
    <row r="28" spans="3:18" ht="34.5" customHeight="1" x14ac:dyDescent="0.25">
      <c r="C28" s="26" t="str">
        <f t="shared" si="4"/>
        <v/>
      </c>
      <c r="D28" s="297"/>
      <c r="E28" s="297"/>
      <c r="F28" s="297"/>
      <c r="G28" s="27" t="str">
        <f t="shared" ca="1" si="5"/>
        <v/>
      </c>
      <c r="H28" s="28"/>
      <c r="I28" s="29"/>
      <c r="J28" s="30" t="str">
        <f t="shared" ca="1" si="0"/>
        <v/>
      </c>
      <c r="K28" s="31" t="str">
        <f t="shared" ref="K28:K36" ca="1" si="7">IF(OR(J28=0,H28=0,J28="",H28=""),"",J28*(1+I28))</f>
        <v/>
      </c>
      <c r="L28" s="31" t="str">
        <f t="shared" ca="1" si="6"/>
        <v/>
      </c>
      <c r="M28" s="31" t="str">
        <f t="shared" ca="1" si="1"/>
        <v/>
      </c>
      <c r="N28" s="32" t="str">
        <f t="shared" ca="1" si="2"/>
        <v/>
      </c>
      <c r="P28" s="194" t="str">
        <f t="shared" ca="1" si="3"/>
        <v/>
      </c>
      <c r="Q28" s="195"/>
      <c r="R28" s="196" t="str">
        <f t="shared" ref="R28:R36" ca="1" si="8">IF(OR(P28=0,,H28=""),"",H28*P28)</f>
        <v/>
      </c>
    </row>
    <row r="29" spans="3:18" ht="34.5" customHeight="1" x14ac:dyDescent="0.25">
      <c r="C29" s="26" t="str">
        <f t="shared" si="4"/>
        <v/>
      </c>
      <c r="D29" s="297"/>
      <c r="E29" s="297"/>
      <c r="F29" s="297"/>
      <c r="G29" s="27" t="str">
        <f t="shared" ca="1" si="5"/>
        <v/>
      </c>
      <c r="H29" s="28"/>
      <c r="I29" s="29"/>
      <c r="J29" s="30" t="str">
        <f t="shared" ca="1" si="0"/>
        <v/>
      </c>
      <c r="K29" s="31" t="str">
        <f t="shared" ca="1" si="7"/>
        <v/>
      </c>
      <c r="L29" s="31" t="str">
        <f t="shared" ca="1" si="6"/>
        <v/>
      </c>
      <c r="M29" s="31" t="str">
        <f t="shared" ca="1" si="1"/>
        <v/>
      </c>
      <c r="N29" s="32" t="str">
        <f t="shared" ca="1" si="2"/>
        <v/>
      </c>
      <c r="P29" s="194" t="str">
        <f t="shared" ca="1" si="3"/>
        <v/>
      </c>
      <c r="Q29" s="195"/>
      <c r="R29" s="196" t="str">
        <f t="shared" ca="1" si="8"/>
        <v/>
      </c>
    </row>
    <row r="30" spans="3:18" ht="34.5" customHeight="1" x14ac:dyDescent="0.25">
      <c r="C30" s="26" t="str">
        <f t="shared" si="4"/>
        <v/>
      </c>
      <c r="D30" s="297"/>
      <c r="E30" s="297"/>
      <c r="F30" s="297"/>
      <c r="G30" s="27" t="str">
        <f t="shared" ca="1" si="5"/>
        <v/>
      </c>
      <c r="H30" s="28"/>
      <c r="I30" s="29"/>
      <c r="J30" s="30" t="str">
        <f t="shared" ca="1" si="0"/>
        <v/>
      </c>
      <c r="K30" s="31" t="str">
        <f t="shared" ca="1" si="7"/>
        <v/>
      </c>
      <c r="L30" s="31" t="str">
        <f t="shared" ca="1" si="6"/>
        <v/>
      </c>
      <c r="M30" s="31" t="str">
        <f t="shared" ca="1" si="1"/>
        <v/>
      </c>
      <c r="N30" s="32" t="str">
        <f t="shared" ca="1" si="2"/>
        <v/>
      </c>
      <c r="P30" s="194" t="str">
        <f t="shared" ca="1" si="3"/>
        <v/>
      </c>
      <c r="Q30" s="195"/>
      <c r="R30" s="196" t="str">
        <f t="shared" ca="1" si="8"/>
        <v/>
      </c>
    </row>
    <row r="31" spans="3:18" ht="34.5" customHeight="1" x14ac:dyDescent="0.25">
      <c r="C31" s="26" t="str">
        <f t="shared" si="4"/>
        <v/>
      </c>
      <c r="D31" s="297"/>
      <c r="E31" s="297"/>
      <c r="F31" s="297"/>
      <c r="G31" s="27" t="str">
        <f t="shared" ca="1" si="5"/>
        <v/>
      </c>
      <c r="H31" s="28"/>
      <c r="I31" s="29"/>
      <c r="J31" s="30" t="str">
        <f t="shared" ca="1" si="0"/>
        <v/>
      </c>
      <c r="K31" s="31" t="str">
        <f t="shared" ca="1" si="7"/>
        <v/>
      </c>
      <c r="L31" s="31" t="str">
        <f t="shared" ca="1" si="6"/>
        <v/>
      </c>
      <c r="M31" s="31" t="str">
        <f t="shared" ca="1" si="1"/>
        <v/>
      </c>
      <c r="N31" s="32" t="str">
        <f t="shared" ca="1" si="2"/>
        <v/>
      </c>
      <c r="P31" s="194" t="str">
        <f t="shared" ca="1" si="3"/>
        <v/>
      </c>
      <c r="Q31" s="195"/>
      <c r="R31" s="196" t="str">
        <f t="shared" ca="1" si="8"/>
        <v/>
      </c>
    </row>
    <row r="32" spans="3:18" ht="34.5" customHeight="1" x14ac:dyDescent="0.25">
      <c r="C32" s="26" t="str">
        <f t="shared" si="4"/>
        <v/>
      </c>
      <c r="D32" s="297"/>
      <c r="E32" s="297"/>
      <c r="F32" s="297"/>
      <c r="G32" s="27" t="str">
        <f t="shared" ca="1" si="5"/>
        <v/>
      </c>
      <c r="H32" s="28"/>
      <c r="I32" s="29"/>
      <c r="J32" s="30" t="str">
        <f t="shared" ca="1" si="0"/>
        <v/>
      </c>
      <c r="K32" s="31" t="str">
        <f t="shared" ca="1" si="7"/>
        <v/>
      </c>
      <c r="L32" s="31" t="str">
        <f t="shared" ca="1" si="6"/>
        <v/>
      </c>
      <c r="M32" s="31" t="str">
        <f t="shared" ca="1" si="1"/>
        <v/>
      </c>
      <c r="N32" s="32" t="str">
        <f t="shared" ca="1" si="2"/>
        <v/>
      </c>
      <c r="P32" s="194" t="str">
        <f t="shared" ca="1" si="3"/>
        <v/>
      </c>
      <c r="Q32" s="195"/>
      <c r="R32" s="196" t="str">
        <f t="shared" ca="1" si="8"/>
        <v/>
      </c>
    </row>
    <row r="33" spans="3:18" ht="34.5" customHeight="1" x14ac:dyDescent="0.25">
      <c r="C33" s="26" t="str">
        <f t="shared" si="4"/>
        <v/>
      </c>
      <c r="D33" s="297"/>
      <c r="E33" s="297"/>
      <c r="F33" s="297"/>
      <c r="G33" s="27" t="str">
        <f t="shared" ca="1" si="5"/>
        <v/>
      </c>
      <c r="H33" s="28"/>
      <c r="I33" s="29"/>
      <c r="J33" s="30" t="str">
        <f ca="1">IFERROR((VLOOKUP(D33,BDD_LISTE,3,FALSE)),"")</f>
        <v/>
      </c>
      <c r="K33" s="31" t="str">
        <f t="shared" ca="1" si="7"/>
        <v/>
      </c>
      <c r="L33" s="31" t="str">
        <f t="shared" ca="1" si="6"/>
        <v/>
      </c>
      <c r="M33" s="31" t="str">
        <f t="shared" ca="1" si="1"/>
        <v/>
      </c>
      <c r="N33" s="32" t="str">
        <f t="shared" ca="1" si="2"/>
        <v/>
      </c>
      <c r="P33" s="194" t="str">
        <f t="shared" ca="1" si="3"/>
        <v/>
      </c>
      <c r="Q33" s="195"/>
      <c r="R33" s="196" t="str">
        <f t="shared" ca="1" si="8"/>
        <v/>
      </c>
    </row>
    <row r="34" spans="3:18" ht="34.5" customHeight="1" x14ac:dyDescent="0.25">
      <c r="C34" s="26" t="str">
        <f t="shared" si="4"/>
        <v/>
      </c>
      <c r="D34" s="297"/>
      <c r="E34" s="297"/>
      <c r="F34" s="297"/>
      <c r="G34" s="27" t="str">
        <f t="shared" ca="1" si="5"/>
        <v/>
      </c>
      <c r="H34" s="28"/>
      <c r="I34" s="29"/>
      <c r="J34" s="30" t="str">
        <f t="shared" ca="1" si="0"/>
        <v/>
      </c>
      <c r="K34" s="31" t="str">
        <f t="shared" ca="1" si="7"/>
        <v/>
      </c>
      <c r="L34" s="31" t="str">
        <f t="shared" ca="1" si="6"/>
        <v/>
      </c>
      <c r="M34" s="31" t="str">
        <f t="shared" ca="1" si="1"/>
        <v/>
      </c>
      <c r="N34" s="32" t="str">
        <f t="shared" ca="1" si="2"/>
        <v/>
      </c>
      <c r="P34" s="194" t="str">
        <f t="shared" ca="1" si="3"/>
        <v/>
      </c>
      <c r="Q34" s="195"/>
      <c r="R34" s="196" t="str">
        <f t="shared" ca="1" si="8"/>
        <v/>
      </c>
    </row>
    <row r="35" spans="3:18" ht="34.5" customHeight="1" x14ac:dyDescent="0.25">
      <c r="C35" s="26" t="str">
        <f t="shared" si="4"/>
        <v/>
      </c>
      <c r="D35" s="297"/>
      <c r="E35" s="297"/>
      <c r="F35" s="297"/>
      <c r="G35" s="27" t="str">
        <f t="shared" ca="1" si="5"/>
        <v/>
      </c>
      <c r="H35" s="28"/>
      <c r="I35" s="29"/>
      <c r="J35" s="30" t="str">
        <f t="shared" ca="1" si="0"/>
        <v/>
      </c>
      <c r="K35" s="31" t="str">
        <f t="shared" ca="1" si="7"/>
        <v/>
      </c>
      <c r="L35" s="31" t="str">
        <f t="shared" ca="1" si="6"/>
        <v/>
      </c>
      <c r="M35" s="31" t="str">
        <f t="shared" ca="1" si="1"/>
        <v/>
      </c>
      <c r="N35" s="32" t="str">
        <f t="shared" ca="1" si="2"/>
        <v/>
      </c>
      <c r="P35" s="194" t="str">
        <f t="shared" ca="1" si="3"/>
        <v/>
      </c>
      <c r="Q35" s="195"/>
      <c r="R35" s="196" t="str">
        <f t="shared" ca="1" si="8"/>
        <v/>
      </c>
    </row>
    <row r="36" spans="3:18" ht="34.5" customHeight="1" x14ac:dyDescent="0.25">
      <c r="C36" s="26" t="str">
        <f t="shared" si="4"/>
        <v/>
      </c>
      <c r="D36" s="297"/>
      <c r="E36" s="297"/>
      <c r="F36" s="297"/>
      <c r="G36" s="27" t="str">
        <f t="shared" ca="1" si="5"/>
        <v/>
      </c>
      <c r="H36" s="28"/>
      <c r="I36" s="29"/>
      <c r="J36" s="30" t="str">
        <f t="shared" ca="1" si="0"/>
        <v/>
      </c>
      <c r="K36" s="31" t="str">
        <f t="shared" ca="1" si="7"/>
        <v/>
      </c>
      <c r="L36" s="31" t="str">
        <f t="shared" ca="1" si="6"/>
        <v/>
      </c>
      <c r="M36" s="31" t="str">
        <f t="shared" ca="1" si="1"/>
        <v/>
      </c>
      <c r="N36" s="32" t="str">
        <f t="shared" ca="1" si="2"/>
        <v/>
      </c>
      <c r="P36" s="197" t="str">
        <f t="shared" ca="1" si="3"/>
        <v/>
      </c>
      <c r="Q36" s="198"/>
      <c r="R36" s="196" t="str">
        <f t="shared" ca="1" si="8"/>
        <v/>
      </c>
    </row>
    <row r="37" spans="3:18" ht="18.75" customHeight="1" x14ac:dyDescent="0.25">
      <c r="C37" s="307" t="s">
        <v>109</v>
      </c>
      <c r="D37" s="308"/>
      <c r="E37" s="308"/>
      <c r="F37" s="308"/>
      <c r="G37" s="308"/>
      <c r="H37" s="308"/>
      <c r="I37" s="308"/>
      <c r="J37" s="308"/>
      <c r="K37" s="308"/>
      <c r="L37" s="308"/>
      <c r="M37" s="308"/>
      <c r="N37" s="309"/>
      <c r="P37" s="183"/>
      <c r="Q37" s="184"/>
      <c r="R37" s="204">
        <f ca="1">SUM(R23:R36)</f>
        <v>848.6</v>
      </c>
    </row>
    <row r="38" spans="3:18" s="185" customFormat="1" ht="34.5" customHeight="1" x14ac:dyDescent="0.25">
      <c r="C38" s="199" t="s">
        <v>84</v>
      </c>
      <c r="D38" s="310" t="s">
        <v>98</v>
      </c>
      <c r="E38" s="310"/>
      <c r="F38" s="310"/>
      <c r="G38" s="200" t="s">
        <v>101</v>
      </c>
      <c r="H38" s="200" t="s">
        <v>102</v>
      </c>
      <c r="I38" s="201" t="s">
        <v>103</v>
      </c>
      <c r="J38" s="202" t="s">
        <v>104</v>
      </c>
      <c r="K38" s="202" t="s">
        <v>105</v>
      </c>
      <c r="L38" s="200" t="s">
        <v>106</v>
      </c>
      <c r="M38" s="200" t="s">
        <v>107</v>
      </c>
      <c r="N38" s="203" t="s">
        <v>108</v>
      </c>
    </row>
    <row r="39" spans="3:18" ht="27.75" customHeight="1" x14ac:dyDescent="0.25">
      <c r="C39" s="26" t="str">
        <f t="shared" ref="C39:C44" si="9">IF(D39="","",$N$4)</f>
        <v>17/12/2015</v>
      </c>
      <c r="D39" s="311" t="s">
        <v>35</v>
      </c>
      <c r="E39" s="311"/>
      <c r="F39" s="311"/>
      <c r="G39" s="33" t="s">
        <v>20</v>
      </c>
      <c r="H39" s="28">
        <v>0</v>
      </c>
      <c r="I39" s="29"/>
      <c r="J39" s="30">
        <f t="shared" ref="J39:J44" ca="1" si="10">IFERROR((VLOOKUP(G39,BDD_LISTE_REF,2,FALSE)),"")</f>
        <v>11.17</v>
      </c>
      <c r="K39" s="31" t="str">
        <f t="shared" ref="K39:K44" ca="1" si="11">IF(OR(J39=0,H39=0,J39="",H39=""),"",J39*(1+I39))</f>
        <v/>
      </c>
      <c r="L39" s="31" t="str">
        <f t="shared" ref="L39:L44" ca="1" si="12">IF(OR(J39=0,H39=0,J39="",H39=""),"",J39*H39)</f>
        <v/>
      </c>
      <c r="M39" s="31" t="str">
        <f t="shared" ref="M39:M44" ca="1" si="13">IF(OR(J39=0,H39=0,J39="",H39=""),"",(J39*I39)*H39)</f>
        <v/>
      </c>
      <c r="N39" s="32" t="str">
        <f t="shared" ref="N39:N44" ca="1" si="14">IF(OR(J39=0,H39=0,J39="",H39=""),"",K39*H39)</f>
        <v/>
      </c>
      <c r="P39" s="253"/>
    </row>
    <row r="40" spans="3:18" ht="27.75" customHeight="1" x14ac:dyDescent="0.25">
      <c r="C40" s="26" t="str">
        <f t="shared" si="9"/>
        <v>17/12/2015</v>
      </c>
      <c r="D40" s="311" t="s">
        <v>39</v>
      </c>
      <c r="E40" s="311"/>
      <c r="F40" s="311"/>
      <c r="G40" s="33" t="s">
        <v>32</v>
      </c>
      <c r="H40" s="28">
        <v>0</v>
      </c>
      <c r="I40" s="29"/>
      <c r="J40" s="30">
        <f t="shared" ca="1" si="10"/>
        <v>210</v>
      </c>
      <c r="K40" s="31" t="str">
        <f t="shared" ca="1" si="11"/>
        <v/>
      </c>
      <c r="L40" s="31" t="str">
        <f t="shared" ca="1" si="12"/>
        <v/>
      </c>
      <c r="M40" s="31" t="str">
        <f t="shared" ca="1" si="13"/>
        <v/>
      </c>
      <c r="N40" s="32" t="str">
        <f t="shared" ca="1" si="14"/>
        <v/>
      </c>
      <c r="P40" s="253"/>
    </row>
    <row r="41" spans="3:18" ht="27.75" customHeight="1" x14ac:dyDescent="0.25">
      <c r="C41" s="26" t="str">
        <f t="shared" si="9"/>
        <v>17/12/2015</v>
      </c>
      <c r="D41" s="311" t="s">
        <v>42</v>
      </c>
      <c r="E41" s="311"/>
      <c r="F41" s="311"/>
      <c r="G41" s="33" t="s">
        <v>43</v>
      </c>
      <c r="H41" s="28">
        <v>0</v>
      </c>
      <c r="I41" s="29"/>
      <c r="J41" s="30">
        <f t="shared" ca="1" si="10"/>
        <v>36.67</v>
      </c>
      <c r="K41" s="31" t="str">
        <f t="shared" ca="1" si="11"/>
        <v/>
      </c>
      <c r="L41" s="31" t="str">
        <f t="shared" ca="1" si="12"/>
        <v/>
      </c>
      <c r="M41" s="31" t="str">
        <f t="shared" ca="1" si="13"/>
        <v/>
      </c>
      <c r="N41" s="32" t="str">
        <f t="shared" ca="1" si="14"/>
        <v/>
      </c>
      <c r="P41" s="253"/>
    </row>
    <row r="42" spans="3:18" ht="27.75" customHeight="1" x14ac:dyDescent="0.25">
      <c r="C42" s="26" t="str">
        <f t="shared" si="9"/>
        <v>17/12/2015</v>
      </c>
      <c r="D42" s="311" t="s">
        <v>45</v>
      </c>
      <c r="E42" s="311"/>
      <c r="F42" s="311"/>
      <c r="G42" s="33" t="s">
        <v>46</v>
      </c>
      <c r="H42" s="28">
        <v>0</v>
      </c>
      <c r="I42" s="29"/>
      <c r="J42" s="30">
        <f t="shared" ca="1" si="10"/>
        <v>68.75</v>
      </c>
      <c r="K42" s="31" t="str">
        <f t="shared" ca="1" si="11"/>
        <v/>
      </c>
      <c r="L42" s="31" t="str">
        <f t="shared" ca="1" si="12"/>
        <v/>
      </c>
      <c r="M42" s="31" t="str">
        <f t="shared" ca="1" si="13"/>
        <v/>
      </c>
      <c r="N42" s="32" t="str">
        <f t="shared" ca="1" si="14"/>
        <v/>
      </c>
      <c r="P42" s="253"/>
    </row>
    <row r="43" spans="3:18" ht="27.75" customHeight="1" x14ac:dyDescent="0.25">
      <c r="C43" s="26" t="str">
        <f t="shared" si="9"/>
        <v>17/12/2015</v>
      </c>
      <c r="D43" s="311" t="s">
        <v>48</v>
      </c>
      <c r="E43" s="311"/>
      <c r="F43" s="311"/>
      <c r="G43" s="33" t="s">
        <v>52</v>
      </c>
      <c r="H43" s="28">
        <v>0</v>
      </c>
      <c r="I43" s="29"/>
      <c r="J43" s="30">
        <f t="shared" ca="1" si="10"/>
        <v>81.67</v>
      </c>
      <c r="K43" s="31" t="str">
        <f t="shared" ca="1" si="11"/>
        <v/>
      </c>
      <c r="L43" s="31" t="str">
        <f t="shared" ca="1" si="12"/>
        <v/>
      </c>
      <c r="M43" s="31" t="str">
        <f t="shared" ca="1" si="13"/>
        <v/>
      </c>
      <c r="N43" s="32" t="str">
        <f t="shared" ca="1" si="14"/>
        <v/>
      </c>
      <c r="P43" s="253"/>
    </row>
    <row r="44" spans="3:18" ht="27.75" customHeight="1" x14ac:dyDescent="0.25">
      <c r="C44" s="26" t="str">
        <f t="shared" si="9"/>
        <v/>
      </c>
      <c r="D44" s="312"/>
      <c r="E44" s="312"/>
      <c r="F44" s="312"/>
      <c r="G44" s="34"/>
      <c r="H44" s="35"/>
      <c r="I44" s="36"/>
      <c r="J44" s="30" t="str">
        <f t="shared" ca="1" si="10"/>
        <v/>
      </c>
      <c r="K44" s="31" t="str">
        <f t="shared" ca="1" si="11"/>
        <v/>
      </c>
      <c r="L44" s="31" t="str">
        <f t="shared" ca="1" si="12"/>
        <v/>
      </c>
      <c r="M44" s="31" t="str">
        <f t="shared" ca="1" si="13"/>
        <v/>
      </c>
      <c r="N44" s="32" t="str">
        <f t="shared" ca="1" si="14"/>
        <v/>
      </c>
    </row>
    <row r="45" spans="3:18" x14ac:dyDescent="0.25">
      <c r="C45" s="187"/>
      <c r="D45" s="187"/>
      <c r="E45" s="187"/>
      <c r="F45" s="187"/>
      <c r="G45" s="27"/>
      <c r="H45" s="188"/>
      <c r="I45" s="189"/>
      <c r="J45" s="190"/>
      <c r="K45" s="31"/>
      <c r="L45" s="31"/>
      <c r="M45" s="31"/>
      <c r="N45" s="31"/>
    </row>
    <row r="46" spans="3:18" ht="20.25" customHeight="1" x14ac:dyDescent="0.25">
      <c r="C46" s="37"/>
      <c r="D46" s="37"/>
      <c r="E46" s="37"/>
      <c r="F46" s="37"/>
      <c r="G46" s="150"/>
      <c r="H46" s="37"/>
      <c r="I46" s="37"/>
      <c r="J46" s="37"/>
      <c r="K46" s="37"/>
      <c r="L46" s="37"/>
      <c r="M46" s="37"/>
      <c r="N46" s="37"/>
    </row>
    <row r="47" spans="3:18" ht="20.25" customHeight="1" x14ac:dyDescent="0.25">
      <c r="C47" s="38"/>
      <c r="D47" s="254"/>
      <c r="E47" s="37"/>
      <c r="F47" s="37"/>
      <c r="G47" s="150"/>
      <c r="H47" s="37"/>
      <c r="I47" s="37"/>
      <c r="J47" s="37"/>
      <c r="K47" s="37"/>
      <c r="L47" s="37"/>
      <c r="M47" s="39" t="s">
        <v>106</v>
      </c>
      <c r="N47" s="255">
        <f ca="1">SUM(L23:L36)+SUM(L39:L44)</f>
        <v>2647</v>
      </c>
    </row>
    <row r="48" spans="3:18" ht="20.25" customHeight="1" x14ac:dyDescent="0.25">
      <c r="C48" s="313" t="s">
        <v>115</v>
      </c>
      <c r="D48" s="313"/>
      <c r="E48" s="313"/>
      <c r="F48" s="313"/>
      <c r="G48" s="313"/>
      <c r="H48" s="37"/>
      <c r="I48" s="254"/>
      <c r="J48" s="40">
        <f>IF(SUM(H23:H36)=0,"",SUM(H23:H36))</f>
        <v>202</v>
      </c>
      <c r="K48" s="37"/>
      <c r="L48" s="37"/>
      <c r="M48" s="41" t="s">
        <v>113</v>
      </c>
      <c r="N48" s="256">
        <v>0.1</v>
      </c>
    </row>
    <row r="49" spans="3:17" ht="20.25" customHeight="1" x14ac:dyDescent="0.25">
      <c r="C49" s="313"/>
      <c r="D49" s="313"/>
      <c r="E49" s="313"/>
      <c r="F49" s="313"/>
      <c r="G49" s="313"/>
      <c r="H49" s="37"/>
      <c r="I49" s="37"/>
      <c r="J49" s="149" t="str">
        <f>IF(J48="","","Pour")</f>
        <v>Pour</v>
      </c>
      <c r="K49" s="37"/>
      <c r="L49" s="37"/>
      <c r="M49" s="41" t="s">
        <v>114</v>
      </c>
      <c r="N49" s="257">
        <v>50</v>
      </c>
    </row>
    <row r="50" spans="3:17" ht="20.25" customHeight="1" x14ac:dyDescent="0.25">
      <c r="C50" s="37"/>
      <c r="D50" s="37"/>
      <c r="E50" s="150"/>
      <c r="F50" s="150"/>
      <c r="G50" s="150"/>
      <c r="H50" s="37"/>
      <c r="I50" s="37"/>
      <c r="J50" s="42">
        <f ca="1">IF(SUM(R23:R36)=0,"",SUM(R23:R36))</f>
        <v>848.6</v>
      </c>
      <c r="K50" s="37"/>
      <c r="L50" s="37"/>
      <c r="M50" s="41" t="str">
        <f ca="1">IF(N50=0,"","TVA(1)")</f>
        <v>TVA(1)</v>
      </c>
      <c r="N50" s="257">
        <f ca="1">IF($N$47="","",SUMIF($I$23:$I$36,"5,50%",$M$23:$M$36))+IF($N$47="","",SUMIF($I$39:$I$44,"5,50%",$M$39:$M$44))</f>
        <v>83.984999999999999</v>
      </c>
    </row>
    <row r="51" spans="3:17" ht="20.25" customHeight="1" x14ac:dyDescent="0.25">
      <c r="C51" s="37"/>
      <c r="D51" s="37"/>
      <c r="E51" s="43"/>
      <c r="F51" s="43"/>
      <c r="G51" s="43"/>
      <c r="H51" s="37"/>
      <c r="I51" s="37"/>
      <c r="J51" s="149" t="str">
        <f ca="1">IF(J50="","","Soit")</f>
        <v>Soit</v>
      </c>
      <c r="K51" s="37"/>
      <c r="L51" s="37"/>
      <c r="M51" s="41" t="str">
        <f ca="1">IF(N51=0,"","TVA(2)")</f>
        <v/>
      </c>
      <c r="N51" s="257">
        <f ca="1">IF($N$47="","",SUMIF($I$23:$I$36,"7%",$M$23:$M$36))+IF($N$47="","",SUMIF($I$39:$I$44,"7%",$M$39:$M$44))</f>
        <v>0</v>
      </c>
    </row>
    <row r="52" spans="3:17" ht="20.25" customHeight="1" x14ac:dyDescent="0.25">
      <c r="C52" s="37"/>
      <c r="D52" s="37"/>
      <c r="E52" s="43"/>
      <c r="F52" s="43"/>
      <c r="G52" s="43"/>
      <c r="H52" s="37"/>
      <c r="I52" s="37"/>
      <c r="J52" s="44">
        <f ca="1">IF(OR(J50="",J48="",J48=0,J50=0),"",MAX(ROUNDUP(J50/250,0),ROUNDUP(J48/100,0)))</f>
        <v>4</v>
      </c>
      <c r="K52" s="37"/>
      <c r="L52" s="37"/>
      <c r="M52" s="41" t="str">
        <f ca="1">IF(N52=0,"","TVA(3)")</f>
        <v/>
      </c>
      <c r="N52" s="257">
        <f ca="1">IF($N$47="","",SUMIF($I$23:$I$36,"10%",$M$23:$M$36))+IF($N$47="","",SUMIF($I$39:$I$44,"10%",$M$39:$M$44))</f>
        <v>0</v>
      </c>
    </row>
    <row r="53" spans="3:17" ht="20.25" customHeight="1" x14ac:dyDescent="0.25">
      <c r="C53" s="20"/>
      <c r="D53" s="20"/>
      <c r="E53" s="20"/>
      <c r="F53" s="20"/>
      <c r="G53" s="20"/>
      <c r="H53" s="11"/>
      <c r="I53" s="11"/>
      <c r="J53" s="11"/>
      <c r="K53" s="11"/>
      <c r="L53" s="11"/>
      <c r="M53" s="41" t="str">
        <f ca="1">IF(N53=0,"","TVA(4)")</f>
        <v>TVA(4)</v>
      </c>
      <c r="N53" s="257">
        <f ca="1">IF($N$47="","",SUMIF($I$23:$I$36,"20%",$M$23:$M$36))+IF($N$47="","",SUMIF($I$39:$I$44,"20%",$M$39:$M$44))</f>
        <v>224</v>
      </c>
    </row>
    <row r="54" spans="3:17" ht="20.25" customHeight="1" x14ac:dyDescent="0.25">
      <c r="C54" s="306" t="s">
        <v>309</v>
      </c>
      <c r="D54" s="306"/>
      <c r="E54" s="306"/>
      <c r="F54" s="306"/>
      <c r="G54" s="306"/>
      <c r="H54" s="306"/>
      <c r="I54" s="306"/>
      <c r="J54" s="306"/>
      <c r="K54" s="258"/>
      <c r="L54" s="37"/>
      <c r="M54" s="45" t="s">
        <v>108</v>
      </c>
      <c r="N54" s="259">
        <f ca="1">SUM(N49:N53,N47,-(N48*N47))</f>
        <v>2740.2850000000003</v>
      </c>
      <c r="Q54" s="260"/>
    </row>
    <row r="55" spans="3:17" ht="20.25" customHeight="1" x14ac:dyDescent="0.25">
      <c r="C55" s="306" t="s">
        <v>110</v>
      </c>
      <c r="D55" s="306"/>
      <c r="E55" s="306"/>
      <c r="F55" s="306"/>
      <c r="G55" s="306"/>
      <c r="H55" s="306"/>
      <c r="I55" s="306"/>
      <c r="J55" s="306"/>
      <c r="K55" s="37"/>
      <c r="L55" s="37"/>
      <c r="M55" s="43"/>
      <c r="N55" s="43"/>
    </row>
    <row r="56" spans="3:17" ht="20.25" customHeight="1" x14ac:dyDescent="0.25">
      <c r="C56" s="306" t="s">
        <v>111</v>
      </c>
      <c r="D56" s="306"/>
      <c r="E56" s="306"/>
      <c r="F56" s="306"/>
      <c r="G56" s="306"/>
      <c r="H56" s="306"/>
      <c r="I56" s="306"/>
      <c r="J56" s="306"/>
      <c r="K56" s="37"/>
      <c r="L56" s="37"/>
      <c r="M56" s="43"/>
      <c r="N56" s="43"/>
    </row>
    <row r="57" spans="3:17" ht="20.25" customHeight="1" x14ac:dyDescent="0.25">
      <c r="C57" s="11"/>
      <c r="D57" s="11"/>
      <c r="E57" s="11"/>
      <c r="F57" s="11"/>
      <c r="G57" s="20"/>
      <c r="H57" s="11"/>
      <c r="I57" s="139" t="str">
        <f ca="1">IF(AND(M50="",M51="",M52="",M53=""),"Exonéré de TVA en vertu de l’article 293B du CGI.","TVA(1) : 5,5%,   TVA(2) : 7%,   TVA(3) : 10%,   TVA(4) : 20%")</f>
        <v>TVA(1) : 5,5%,   TVA(2) : 7%,   TVA(3) : 10%,   TVA(4) : 20%</v>
      </c>
      <c r="J57" s="254"/>
      <c r="K57" s="43"/>
      <c r="L57" s="43"/>
      <c r="M57" s="43"/>
      <c r="N57" s="43"/>
    </row>
    <row r="58" spans="3:17" ht="20.25" customHeight="1" x14ac:dyDescent="0.25">
      <c r="C58" s="317" t="s">
        <v>112</v>
      </c>
      <c r="D58" s="317"/>
      <c r="E58" s="317"/>
      <c r="F58" s="317"/>
      <c r="G58" s="20"/>
      <c r="H58" s="11"/>
      <c r="I58" s="11"/>
      <c r="J58" s="11"/>
      <c r="K58" s="43"/>
      <c r="L58" s="43"/>
      <c r="M58" s="43"/>
      <c r="N58" s="43"/>
    </row>
    <row r="59" spans="3:17" ht="20.25" customHeight="1" x14ac:dyDescent="0.25">
      <c r="C59" s="318" t="s">
        <v>324</v>
      </c>
      <c r="D59" s="318"/>
      <c r="E59" s="318"/>
      <c r="F59" s="318"/>
      <c r="G59" s="20"/>
      <c r="H59" s="11"/>
      <c r="I59" s="11"/>
      <c r="J59" s="11"/>
      <c r="K59" s="43"/>
      <c r="L59" s="43"/>
      <c r="M59" s="43"/>
      <c r="N59" s="43"/>
    </row>
    <row r="60" spans="3:17" ht="20.25" customHeight="1" x14ac:dyDescent="0.25">
      <c r="C60" s="318" t="s">
        <v>310</v>
      </c>
      <c r="D60" s="318"/>
      <c r="E60" s="318"/>
      <c r="F60" s="318"/>
      <c r="G60" s="20"/>
      <c r="H60" s="11"/>
      <c r="I60" s="11"/>
      <c r="J60" s="11"/>
      <c r="K60" s="11"/>
      <c r="L60" s="11"/>
      <c r="M60" s="11"/>
      <c r="N60" s="11"/>
    </row>
    <row r="61" spans="3:17" ht="20.25" customHeight="1" x14ac:dyDescent="0.25">
      <c r="C61" s="318" t="s">
        <v>311</v>
      </c>
      <c r="D61" s="318"/>
      <c r="E61" s="318"/>
      <c r="F61" s="318"/>
      <c r="G61" s="20"/>
      <c r="H61" s="11"/>
      <c r="I61" s="11"/>
      <c r="J61" s="11"/>
      <c r="K61" s="11"/>
      <c r="L61" s="11"/>
      <c r="M61" s="11"/>
      <c r="N61" s="11"/>
    </row>
    <row r="62" spans="3:17" ht="20.25" customHeight="1" x14ac:dyDescent="0.25">
      <c r="C62" s="318" t="s">
        <v>312</v>
      </c>
      <c r="D62" s="318"/>
      <c r="E62" s="318"/>
      <c r="F62" s="318"/>
      <c r="G62" s="20"/>
      <c r="H62" s="11"/>
      <c r="I62" s="11"/>
      <c r="J62" s="11"/>
      <c r="K62" s="11"/>
      <c r="L62" s="11"/>
      <c r="M62" s="11"/>
      <c r="N62" s="11"/>
    </row>
    <row r="63" spans="3:17" ht="20.25" customHeight="1" x14ac:dyDescent="0.25">
      <c r="C63" s="314" t="str">
        <f ca="1">IF($N$54&lt;&gt;0,"Arrêté le montant de la présente facture à la somme de:"&amp;" "&amp;(lettre($N$54)&amp;" "&amp;"en toutes taxes comprises."),"")</f>
        <v>Arrêté le montant de la présente facture à la somme de: Deux mille sept cent quarante Euros vingt huit centimes en toutes taxes comprises.</v>
      </c>
      <c r="D63" s="314"/>
      <c r="E63" s="314"/>
      <c r="F63" s="314"/>
      <c r="G63" s="314"/>
      <c r="H63" s="314"/>
      <c r="I63" s="314"/>
      <c r="J63" s="314"/>
      <c r="K63" s="314"/>
      <c r="L63" s="314"/>
      <c r="M63" s="314"/>
      <c r="N63" s="314"/>
    </row>
    <row r="64" spans="3:17" ht="20.25" customHeight="1" x14ac:dyDescent="0.25">
      <c r="C64" s="11"/>
      <c r="D64" s="11"/>
      <c r="E64" s="11"/>
      <c r="F64" s="11"/>
      <c r="G64" s="20"/>
      <c r="H64" s="11"/>
      <c r="I64" s="11"/>
      <c r="J64" s="11"/>
      <c r="K64" s="11"/>
      <c r="L64" s="11"/>
      <c r="M64" s="11"/>
      <c r="N64" s="11"/>
    </row>
    <row r="65" spans="2:20" ht="20.25" customHeight="1" x14ac:dyDescent="0.25">
      <c r="C65" s="11"/>
      <c r="D65" s="11"/>
      <c r="E65" s="11"/>
      <c r="F65" s="11"/>
      <c r="G65" s="20"/>
      <c r="H65" s="11"/>
      <c r="I65" s="11"/>
      <c r="J65" s="11"/>
      <c r="K65" s="11"/>
      <c r="L65" s="11"/>
      <c r="M65" s="11"/>
      <c r="N65" s="11"/>
    </row>
    <row r="66" spans="2:20" ht="7.5" customHeight="1" x14ac:dyDescent="0.25">
      <c r="C66" s="11"/>
      <c r="D66" s="11"/>
      <c r="E66" s="11"/>
      <c r="F66" s="11"/>
      <c r="G66" s="20"/>
      <c r="H66" s="11"/>
      <c r="I66" s="11"/>
      <c r="J66" s="11"/>
      <c r="K66" s="11"/>
      <c r="L66" s="11"/>
      <c r="M66" s="11"/>
      <c r="N66" s="11"/>
    </row>
    <row r="67" spans="2:20" ht="20.25" customHeight="1" x14ac:dyDescent="0.25">
      <c r="C67" s="315" t="s">
        <v>313</v>
      </c>
      <c r="D67" s="315"/>
      <c r="E67" s="315"/>
      <c r="F67" s="315"/>
      <c r="G67" s="315"/>
      <c r="H67" s="315"/>
      <c r="I67" s="315"/>
      <c r="J67" s="315"/>
      <c r="K67" s="315"/>
      <c r="L67" s="315"/>
      <c r="M67" s="315"/>
      <c r="N67" s="315"/>
      <c r="T67" s="185"/>
    </row>
    <row r="68" spans="2:20" s="185" customFormat="1" ht="20.25" customHeight="1" x14ac:dyDescent="0.25">
      <c r="C68" s="316" t="s">
        <v>314</v>
      </c>
      <c r="D68" s="316"/>
      <c r="E68" s="316"/>
      <c r="F68" s="316"/>
      <c r="G68" s="316"/>
      <c r="H68" s="316"/>
      <c r="I68" s="316"/>
      <c r="J68" s="316"/>
      <c r="K68" s="316"/>
      <c r="L68" s="316"/>
      <c r="M68" s="316"/>
      <c r="N68" s="316"/>
    </row>
    <row r="69" spans="2:20" s="185" customFormat="1" ht="20.25" customHeight="1" x14ac:dyDescent="0.25">
      <c r="C69" s="315" t="s">
        <v>315</v>
      </c>
      <c r="D69" s="315"/>
      <c r="E69" s="315"/>
      <c r="F69" s="315"/>
      <c r="G69" s="315"/>
      <c r="H69" s="315"/>
      <c r="I69" s="315"/>
      <c r="J69" s="315"/>
      <c r="K69" s="315"/>
      <c r="L69" s="315"/>
      <c r="M69" s="315"/>
      <c r="N69" s="315"/>
    </row>
    <row r="70" spans="2:20" s="185" customFormat="1" ht="15.75" customHeight="1" x14ac:dyDescent="0.25">
      <c r="C70" s="261"/>
      <c r="D70" s="261"/>
      <c r="E70" s="261"/>
      <c r="F70" s="261"/>
      <c r="G70" s="261"/>
      <c r="H70" s="261"/>
      <c r="I70" s="261"/>
      <c r="J70" s="261"/>
      <c r="K70" s="261"/>
      <c r="L70" s="261"/>
      <c r="M70" s="261"/>
      <c r="N70" s="261"/>
      <c r="O70" s="186"/>
      <c r="P70" s="186"/>
    </row>
    <row r="71" spans="2:20" ht="15.75" customHeight="1" x14ac:dyDescent="0.25">
      <c r="B71" s="262"/>
      <c r="C71" s="262"/>
      <c r="D71" s="262"/>
      <c r="E71" s="262"/>
      <c r="F71" s="262"/>
      <c r="G71" s="262"/>
      <c r="H71" s="262"/>
      <c r="I71" s="262"/>
      <c r="J71" s="262"/>
      <c r="K71" s="262"/>
      <c r="L71" s="262"/>
      <c r="M71" s="262"/>
      <c r="N71" s="262"/>
      <c r="O71" s="262"/>
      <c r="P71" s="262"/>
    </row>
    <row r="72" spans="2:20" ht="18" customHeight="1" x14ac:dyDescent="0.25">
      <c r="B72" s="262"/>
      <c r="C72" s="262"/>
      <c r="D72" s="262"/>
      <c r="E72" s="262"/>
      <c r="F72" s="262"/>
      <c r="G72" s="262"/>
      <c r="H72" s="262"/>
      <c r="I72" s="262"/>
      <c r="J72" s="262"/>
      <c r="K72" s="262"/>
      <c r="L72" s="262"/>
      <c r="M72" s="262"/>
      <c r="N72" s="262"/>
      <c r="O72" s="262"/>
      <c r="P72" s="262"/>
    </row>
    <row r="73" spans="2:20" ht="18" customHeight="1" x14ac:dyDescent="0.25">
      <c r="C73" s="262"/>
      <c r="D73" s="262"/>
      <c r="E73" s="262"/>
      <c r="F73" s="262"/>
      <c r="G73" s="262"/>
      <c r="H73" s="262"/>
      <c r="I73" s="262"/>
      <c r="J73" s="262"/>
      <c r="K73" s="262"/>
      <c r="L73" s="262"/>
      <c r="M73" s="262"/>
      <c r="N73" s="262"/>
      <c r="O73" s="262"/>
      <c r="P73" s="262"/>
    </row>
    <row r="74" spans="2:20" ht="18" customHeight="1" x14ac:dyDescent="0.25">
      <c r="C74" s="262"/>
      <c r="D74" s="262"/>
      <c r="E74" s="262"/>
      <c r="F74" s="262"/>
      <c r="G74" s="262"/>
      <c r="H74" s="262"/>
      <c r="I74" s="262"/>
      <c r="J74" s="262"/>
      <c r="K74" s="262"/>
      <c r="L74" s="262"/>
      <c r="M74" s="262"/>
      <c r="N74" s="262"/>
      <c r="O74" s="262"/>
      <c r="P74" s="262"/>
    </row>
    <row r="75" spans="2:20" ht="18" customHeight="1" x14ac:dyDescent="0.25">
      <c r="C75" s="262"/>
      <c r="D75" s="262"/>
      <c r="E75" s="262"/>
      <c r="F75" s="262"/>
      <c r="G75" s="262"/>
      <c r="H75" s="262"/>
      <c r="I75" s="262"/>
      <c r="J75" s="262"/>
      <c r="K75" s="262"/>
      <c r="L75" s="262"/>
      <c r="M75" s="262"/>
      <c r="N75" s="262"/>
      <c r="O75" s="262"/>
      <c r="P75" s="262"/>
    </row>
    <row r="76" spans="2:20" ht="18" customHeight="1" x14ac:dyDescent="0.25">
      <c r="C76" s="262"/>
      <c r="D76" s="262"/>
      <c r="E76" s="262"/>
      <c r="F76" s="262"/>
      <c r="G76" s="262"/>
      <c r="H76" s="262"/>
      <c r="I76" s="262"/>
      <c r="J76" s="262"/>
      <c r="K76" s="262"/>
      <c r="L76" s="262"/>
      <c r="M76" s="262"/>
      <c r="N76" s="262"/>
      <c r="O76" s="262"/>
      <c r="P76" s="262"/>
    </row>
    <row r="77" spans="2:20" ht="18" customHeight="1" x14ac:dyDescent="0.25"/>
    <row r="78" spans="2:20" ht="18" customHeight="1" x14ac:dyDescent="0.25"/>
    <row r="79" spans="2:20" ht="18" customHeight="1" x14ac:dyDescent="0.25"/>
  </sheetData>
  <mergeCells count="88">
    <mergeCell ref="C63:N63"/>
    <mergeCell ref="C67:N67"/>
    <mergeCell ref="C68:N68"/>
    <mergeCell ref="C69:N69"/>
    <mergeCell ref="C56:J56"/>
    <mergeCell ref="C58:F58"/>
    <mergeCell ref="C59:F59"/>
    <mergeCell ref="C60:F60"/>
    <mergeCell ref="C61:F61"/>
    <mergeCell ref="C62:F62"/>
    <mergeCell ref="C55:J55"/>
    <mergeCell ref="D36:F36"/>
    <mergeCell ref="C37:N37"/>
    <mergeCell ref="D38:F38"/>
    <mergeCell ref="D39:F39"/>
    <mergeCell ref="D40:F40"/>
    <mergeCell ref="D41:F41"/>
    <mergeCell ref="D42:F42"/>
    <mergeCell ref="D43:F43"/>
    <mergeCell ref="D44:F44"/>
    <mergeCell ref="C48:G49"/>
    <mergeCell ref="C54:J54"/>
    <mergeCell ref="D34:F34"/>
    <mergeCell ref="D35:F35"/>
    <mergeCell ref="D24:F24"/>
    <mergeCell ref="D25:F25"/>
    <mergeCell ref="D26:F26"/>
    <mergeCell ref="D27:F27"/>
    <mergeCell ref="D28:F28"/>
    <mergeCell ref="D29:F29"/>
    <mergeCell ref="D30:F30"/>
    <mergeCell ref="D31:F31"/>
    <mergeCell ref="D32:F32"/>
    <mergeCell ref="D23:F23"/>
    <mergeCell ref="D33:F33"/>
    <mergeCell ref="C21:C22"/>
    <mergeCell ref="D21:F22"/>
    <mergeCell ref="G21:G22"/>
    <mergeCell ref="P21:R21"/>
    <mergeCell ref="I18:J18"/>
    <mergeCell ref="K18:M18"/>
    <mergeCell ref="I19:J19"/>
    <mergeCell ref="K19:M19"/>
    <mergeCell ref="K21:K22"/>
    <mergeCell ref="I21:I22"/>
    <mergeCell ref="J21:J22"/>
    <mergeCell ref="N21:N22"/>
    <mergeCell ref="K15:M15"/>
    <mergeCell ref="H16:J16"/>
    <mergeCell ref="K16:M16"/>
    <mergeCell ref="L21:L22"/>
    <mergeCell ref="M21:M22"/>
    <mergeCell ref="H21:H22"/>
    <mergeCell ref="C12:D12"/>
    <mergeCell ref="I12:J12"/>
    <mergeCell ref="K12:N12"/>
    <mergeCell ref="I17:J17"/>
    <mergeCell ref="K17:M17"/>
    <mergeCell ref="C13:D13"/>
    <mergeCell ref="E13:F13"/>
    <mergeCell ref="I13:J13"/>
    <mergeCell ref="K13:M13"/>
    <mergeCell ref="C14:D14"/>
    <mergeCell ref="E14:F14"/>
    <mergeCell ref="I14:J14"/>
    <mergeCell ref="K14:M14"/>
    <mergeCell ref="C15:D15"/>
    <mergeCell ref="E15:F15"/>
    <mergeCell ref="I15:J15"/>
    <mergeCell ref="C10:D10"/>
    <mergeCell ref="I10:J10"/>
    <mergeCell ref="K10:M10"/>
    <mergeCell ref="C11:D11"/>
    <mergeCell ref="I11:J11"/>
    <mergeCell ref="L2:N2"/>
    <mergeCell ref="L3:M3"/>
    <mergeCell ref="L4:M4"/>
    <mergeCell ref="C7:D7"/>
    <mergeCell ref="E7:F7"/>
    <mergeCell ref="I7:J7"/>
    <mergeCell ref="K7:M7"/>
    <mergeCell ref="C1:G5"/>
    <mergeCell ref="C8:D8"/>
    <mergeCell ref="I8:J8"/>
    <mergeCell ref="K8:N8"/>
    <mergeCell ref="C9:D9"/>
    <mergeCell ref="I9:J9"/>
    <mergeCell ref="K9:N9"/>
  </mergeCells>
  <conditionalFormatting sqref="R2 L2 C21:N22 C45:N45 C66:N66 C70:N70 P22:R22 P21">
    <cfRule type="expression" dxfId="71" priority="1">
      <formula>$R$2="Orange"</formula>
    </cfRule>
    <cfRule type="expression" dxfId="70" priority="2">
      <formula>$R$2="Marron"</formula>
    </cfRule>
    <cfRule type="expression" dxfId="69" priority="3">
      <formula>$R$2="Noir"</formula>
    </cfRule>
    <cfRule type="expression" dxfId="68" priority="4">
      <formula>$R$2="Rouge"</formula>
    </cfRule>
    <cfRule type="expression" dxfId="67" priority="5">
      <formula>$R$2="Vert"</formula>
    </cfRule>
    <cfRule type="expression" dxfId="66" priority="6">
      <formula>$R$2="Jaune"</formula>
    </cfRule>
    <cfRule type="expression" dxfId="65" priority="7">
      <formula>$R$2="Rose"</formula>
    </cfRule>
    <cfRule type="expression" dxfId="64" priority="8">
      <formula>$R$2="Violet"</formula>
    </cfRule>
    <cfRule type="expression" dxfId="63" priority="9">
      <formula>$R$2="Bleu"</formula>
    </cfRule>
  </conditionalFormatting>
  <dataValidations count="8">
    <dataValidation type="list" allowBlank="1" showInputMessage="1" showErrorMessage="1" sqref="D39:F44">
      <formula1>BDD_LISTE_EQUI</formula1>
    </dataValidation>
    <dataValidation type="list" allowBlank="1" showInputMessage="1" showErrorMessage="1" sqref="K8">
      <formula1>CLIENTS_LISTE_CLIENTS</formula1>
    </dataValidation>
    <dataValidation type="list" allowBlank="1" showInputMessage="1" showErrorMessage="1" sqref="I23:I36 I39:I44">
      <formula1>DETAILS_TVA</formula1>
    </dataValidation>
    <dataValidation type="list" allowBlank="1" showInputMessage="1" showErrorMessage="1" sqref="D23:D36 E23:F26 E33:F36">
      <formula1>BDD_DESIGNATION</formula1>
    </dataValidation>
    <dataValidation type="list" allowBlank="1" showInputMessage="1" showErrorMessage="1" sqref="H19">
      <formula1>DETAILS_DELAI</formula1>
    </dataValidation>
    <dataValidation type="list" allowBlank="1" showInputMessage="1" showErrorMessage="1" sqref="R2">
      <formula1>DETAILS_Couleur</formula1>
    </dataValidation>
    <dataValidation type="list" allowBlank="1" showInputMessage="1" showErrorMessage="1" sqref="G39:G44">
      <formula1>BDD_MAIN_D_ŒUVRE</formula1>
    </dataValidation>
    <dataValidation type="list" allowBlank="1" showInputMessage="1" showErrorMessage="1" sqref="N48">
      <formula1>DETAILS_Remise</formula1>
    </dataValidation>
  </dataValidations>
  <pageMargins left="0.7" right="0.7" top="0.75" bottom="0.75" header="0.3" footer="0.3"/>
  <pageSetup paperSize="9" scale="42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Group Box 1">
              <controlPr defaultSize="0" autoFill="0" autoPict="0">
                <anchor moveWithCells="1">
                  <from>
                    <xdr:col>8</xdr:col>
                    <xdr:colOff>628650</xdr:colOff>
                    <xdr:row>46</xdr:row>
                    <xdr:rowOff>104775</xdr:rowOff>
                  </from>
                  <to>
                    <xdr:col>10</xdr:col>
                    <xdr:colOff>276225</xdr:colOff>
                    <xdr:row>54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07">
    <tabColor rgb="FF2E6A68"/>
  </sheetPr>
  <dimension ref="A1:BZ23"/>
  <sheetViews>
    <sheetView zoomScaleNormal="100" workbookViewId="0">
      <pane xSplit="5" ySplit="4" topLeftCell="AG5" activePane="bottomRight" state="frozen"/>
      <selection pane="topRight" activeCell="F1" sqref="F1"/>
      <selection pane="bottomLeft" activeCell="A5" sqref="A5"/>
      <selection pane="bottomRight" activeCell="AM12" sqref="AM12"/>
    </sheetView>
  </sheetViews>
  <sheetFormatPr baseColWidth="10" defaultRowHeight="15" x14ac:dyDescent="0.25"/>
  <cols>
    <col min="1" max="1" width="21.28515625" style="248" customWidth="1"/>
    <col min="2" max="3" width="12.7109375" style="166" customWidth="1"/>
    <col min="4" max="4" width="12.85546875" style="166" customWidth="1"/>
    <col min="5" max="5" width="15.7109375" style="226" customWidth="1"/>
    <col min="6" max="6" width="12.85546875" style="224" customWidth="1"/>
    <col min="7" max="7" width="12.28515625" style="225" customWidth="1"/>
    <col min="8" max="8" width="15.7109375" style="226" customWidth="1"/>
    <col min="9" max="9" width="13.140625" style="166" customWidth="1"/>
    <col min="10" max="10" width="19.28515625" style="249" customWidth="1"/>
    <col min="11" max="11" width="15.7109375" style="229" customWidth="1"/>
    <col min="12" max="12" width="11.5703125" style="230" customWidth="1"/>
    <col min="13" max="15" width="11.42578125" style="166" customWidth="1"/>
    <col min="16" max="16" width="14.28515625" style="166" customWidth="1"/>
    <col min="17" max="20" width="11.42578125" style="231"/>
    <col min="21" max="21" width="15.7109375" style="231" customWidth="1"/>
    <col min="22" max="22" width="36" style="166" customWidth="1"/>
    <col min="23" max="23" width="8.85546875" style="232" customWidth="1"/>
    <col min="24" max="24" width="24.28515625" style="166" customWidth="1"/>
    <col min="25" max="25" width="12.85546875" style="166" customWidth="1"/>
    <col min="26" max="26" width="22.5703125" style="166" customWidth="1"/>
    <col min="27" max="27" width="30.5703125" style="167" customWidth="1"/>
    <col min="28" max="28" width="17" style="167" customWidth="1"/>
    <col min="29" max="29" width="23.7109375" style="168" customWidth="1"/>
    <col min="30" max="30" width="8.5703125" style="169" customWidth="1"/>
    <col min="31" max="31" width="8.5703125" style="170" customWidth="1"/>
    <col min="32" max="32" width="21.5703125" style="233" customWidth="1"/>
    <col min="33" max="33" width="8.5703125" style="170" customWidth="1"/>
    <col min="34" max="34" width="14.140625" style="166" customWidth="1"/>
    <col min="35" max="35" width="29.85546875" style="166" customWidth="1"/>
    <col min="36" max="36" width="11.42578125" style="166" customWidth="1"/>
    <col min="37" max="38" width="15.7109375" style="234" customWidth="1"/>
    <col min="39" max="39" width="8.85546875" style="166" customWidth="1"/>
    <col min="40" max="16384" width="11.42578125" style="166"/>
  </cols>
  <sheetData>
    <row r="1" spans="1:78" ht="21" customHeight="1" x14ac:dyDescent="0.25">
      <c r="A1" s="46" t="s">
        <v>116</v>
      </c>
      <c r="B1" s="47">
        <f ca="1">TODAY()</f>
        <v>42414</v>
      </c>
      <c r="C1" s="319" t="s">
        <v>117</v>
      </c>
      <c r="D1" s="320"/>
      <c r="E1" s="48">
        <v>0.03</v>
      </c>
      <c r="I1" s="227"/>
      <c r="J1" s="228"/>
      <c r="M1" s="227"/>
      <c r="N1" s="227"/>
      <c r="O1" s="227"/>
      <c r="P1" s="227"/>
      <c r="BZ1" s="235"/>
    </row>
    <row r="2" spans="1:78" ht="17.25" customHeight="1" x14ac:dyDescent="0.25">
      <c r="A2" s="171"/>
      <c r="B2" s="171"/>
      <c r="C2" s="171"/>
      <c r="D2" s="171"/>
      <c r="E2" s="171"/>
      <c r="F2" s="172"/>
      <c r="G2" s="173"/>
      <c r="H2" s="171"/>
      <c r="I2" s="171"/>
      <c r="J2" s="171"/>
      <c r="K2" s="173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171"/>
      <c r="Z2" s="171"/>
      <c r="AA2" s="171"/>
      <c r="AB2" s="171"/>
      <c r="AC2" s="171"/>
      <c r="AD2" s="171"/>
      <c r="AE2" s="171"/>
      <c r="AF2" s="171"/>
      <c r="AG2" s="171"/>
      <c r="AH2" s="171"/>
      <c r="AI2" s="171"/>
      <c r="AJ2" s="171"/>
      <c r="AK2" s="173"/>
      <c r="AL2" s="173"/>
      <c r="AM2" s="171"/>
    </row>
    <row r="3" spans="1:78" s="174" customFormat="1" ht="5.25" customHeight="1" x14ac:dyDescent="0.25">
      <c r="F3" s="175"/>
      <c r="G3" s="176"/>
      <c r="K3" s="176"/>
      <c r="AK3" s="176"/>
      <c r="AL3" s="176"/>
    </row>
    <row r="4" spans="1:78" s="177" customFormat="1" ht="60" x14ac:dyDescent="0.25">
      <c r="A4" s="49" t="s">
        <v>118</v>
      </c>
      <c r="B4" s="49" t="s">
        <v>119</v>
      </c>
      <c r="C4" s="50" t="s">
        <v>120</v>
      </c>
      <c r="D4" s="50" t="s">
        <v>121</v>
      </c>
      <c r="E4" s="51" t="s">
        <v>122</v>
      </c>
      <c r="F4" s="52" t="s">
        <v>123</v>
      </c>
      <c r="G4" s="53" t="s">
        <v>124</v>
      </c>
      <c r="H4" s="51" t="s">
        <v>125</v>
      </c>
      <c r="I4" s="54" t="s">
        <v>126</v>
      </c>
      <c r="J4" s="50" t="s">
        <v>127</v>
      </c>
      <c r="K4" s="55" t="s">
        <v>128</v>
      </c>
      <c r="L4" s="56" t="s">
        <v>129</v>
      </c>
      <c r="M4" s="54" t="s">
        <v>130</v>
      </c>
      <c r="N4" s="54" t="s">
        <v>131</v>
      </c>
      <c r="O4" s="54" t="s">
        <v>132</v>
      </c>
      <c r="P4" s="54" t="s">
        <v>133</v>
      </c>
      <c r="Q4" s="57" t="s">
        <v>134</v>
      </c>
      <c r="R4" s="57" t="s">
        <v>135</v>
      </c>
      <c r="S4" s="57" t="s">
        <v>136</v>
      </c>
      <c r="T4" s="57" t="s">
        <v>137</v>
      </c>
      <c r="U4" s="57" t="s">
        <v>138</v>
      </c>
      <c r="V4" s="49" t="s">
        <v>87</v>
      </c>
      <c r="W4" s="58" t="s">
        <v>139</v>
      </c>
      <c r="X4" s="58" t="s">
        <v>140</v>
      </c>
      <c r="Y4" s="58" t="s">
        <v>141</v>
      </c>
      <c r="Z4" s="58" t="s">
        <v>142</v>
      </c>
      <c r="AA4" s="59" t="s">
        <v>143</v>
      </c>
      <c r="AB4" s="59" t="s">
        <v>144</v>
      </c>
      <c r="AC4" s="60" t="s">
        <v>145</v>
      </c>
      <c r="AD4" s="58" t="s">
        <v>146</v>
      </c>
      <c r="AE4" s="58" t="s">
        <v>147</v>
      </c>
      <c r="AF4" s="61" t="s">
        <v>148</v>
      </c>
      <c r="AG4" s="58" t="s">
        <v>149</v>
      </c>
      <c r="AH4" s="58" t="s">
        <v>150</v>
      </c>
      <c r="AI4" s="58" t="s">
        <v>151</v>
      </c>
      <c r="AJ4" s="58" t="s">
        <v>152</v>
      </c>
      <c r="AK4" s="62" t="s">
        <v>153</v>
      </c>
      <c r="AL4" s="62" t="s">
        <v>154</v>
      </c>
      <c r="AM4" s="58" t="s">
        <v>155</v>
      </c>
    </row>
    <row r="5" spans="1:78" s="178" customFormat="1" ht="15" customHeight="1" x14ac:dyDescent="0.25">
      <c r="A5" s="236" t="s">
        <v>688</v>
      </c>
      <c r="B5" s="73" t="s">
        <v>156</v>
      </c>
      <c r="C5" s="63">
        <v>42155</v>
      </c>
      <c r="D5" s="63">
        <f>IF(SUIVI_DES_FACTURES[[#This Row],[Date facture]]="","",EOMONTH(SUIVI_DES_FACTURES[[#This Row],[Date facture]]+30,0))</f>
        <v>42185</v>
      </c>
      <c r="E5" s="64">
        <v>2304</v>
      </c>
      <c r="F5" s="65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5" s="64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5" s="64">
        <f ca="1">IF(SUIVI_DES_FACTURES[[#This Row],[Date facture]]="","",ROUNDDOWN(SUIVI_DES_FACTURES[[#This Row],[Montant TTC]]+SUIVI_DES_FACTURES[[#This Row],[Majoration]],2))</f>
        <v>2304</v>
      </c>
      <c r="I5" s="237" t="str">
        <f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 ))</f>
        <v>Validée</v>
      </c>
      <c r="J5" s="238">
        <v>42185</v>
      </c>
      <c r="K5" s="239">
        <f>IF(AND(SUIVI_DES_FACTURES[[#This Row],[Paiement Comptant]]="",SUIVI_DES_FACTURES[[#This Row],[Paiement Différé]]=""),"",(SUIVI_DES_FACTURES[[#This Row],[Paiement Comptant]]+SUIVI_DES_FACTURES[[#This Row],[Paiement Différé]]))</f>
        <v>2304</v>
      </c>
      <c r="L5" s="240">
        <f>IFERROR(IF(SUIVI_DES_FACTURES[[#This Row],[▼  Réglée  ▼]]="Validée",SUIVI_DES_FACTURES[[#This Row],[Montant Total Payé]]-SUIVI_DES_FACTURES[[#This Row],[Montant TTC]],""),"")</f>
        <v>0</v>
      </c>
      <c r="M5" s="241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5" s="237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5" s="237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5" s="237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Dans les temps</v>
      </c>
      <c r="Q5" s="242">
        <v>51.62</v>
      </c>
      <c r="R5" s="242">
        <v>0</v>
      </c>
      <c r="S5" s="242">
        <v>0</v>
      </c>
      <c r="T5" s="242">
        <v>351.21</v>
      </c>
      <c r="U5" s="242">
        <f>IF(SUIVI_DES_FACTURES[[#This Row],[Date facture]]="","",ROUNDDOWN(-SUM(-SUIVI_DES_FACTURES[[#This Row],[Montant TTC]],(SUIVI_DES_FACTURES[[#This Row],[TVA 5,5]:[TVA 20]])),2))</f>
        <v>1901.17</v>
      </c>
      <c r="V5" s="240" t="str">
        <f ca="1">IF(SUIVI_DES_FACTURES[[#This Row],[Raison sociale]]="","",VLOOKUP(SUIVI_DES_FACTURES[[#This Row],[Raison sociale]],CLIENTS_PLAGE_CLIENTS,2,FALSE))</f>
        <v>Adresse 1</v>
      </c>
      <c r="W5" s="66">
        <f ca="1">IF(SUIVI_DES_FACTURES[[#This Row],[Raison sociale]]="","",VLOOKUP(SUIVI_DES_FACTURES[[#This Row],[Raison sociale]],CLIENTS_PLAGE_CLIENTS,3,FALSE))</f>
        <v>92210</v>
      </c>
      <c r="X5" s="66" t="str">
        <f ca="1">IF(SUIVI_DES_FACTURES[[#This Row],[Raison sociale]]="","",VLOOKUP(SUIVI_DES_FACTURES[[#This Row],[Raison sociale]],CLIENTS_PLAGE_CLIENTS,4,FALSE))</f>
        <v>ST CLOUD</v>
      </c>
      <c r="Y5" s="66" t="s">
        <v>157</v>
      </c>
      <c r="Z5" s="66"/>
      <c r="AA5" s="67"/>
      <c r="AB5" s="67"/>
      <c r="AC5" s="68"/>
      <c r="AD5" s="69"/>
      <c r="AE5" s="69"/>
      <c r="AF5" s="70"/>
      <c r="AG5" s="69"/>
      <c r="AH5" s="66"/>
      <c r="AI5" s="66"/>
      <c r="AJ5" s="66" t="str">
        <f>IF(SUIVI_DES_FACTURES[[#This Row],[Paiement Comptant]]&lt;&gt;0,"NON","OUI")</f>
        <v>NON</v>
      </c>
      <c r="AK5" s="71">
        <v>2304</v>
      </c>
      <c r="AL5" s="71"/>
      <c r="AM5" s="72" t="str">
        <f>IF(AJ5="","",IF(AJ5="OUI"=TRUE,ROWS($A$5:AI5),""))</f>
        <v/>
      </c>
    </row>
    <row r="6" spans="1:78" x14ac:dyDescent="0.25">
      <c r="A6" s="236" t="s">
        <v>689</v>
      </c>
      <c r="B6" s="73" t="s">
        <v>158</v>
      </c>
      <c r="C6" s="63">
        <v>42155</v>
      </c>
      <c r="D6" s="63">
        <f>IF(SUIVI_DES_FACTURES[[#This Row],[Date facture]]="","",EOMONTH(SUIVI_DES_FACTURES[[#This Row],[Date facture]]+30,0))</f>
        <v>42185</v>
      </c>
      <c r="E6" s="64">
        <v>2464</v>
      </c>
      <c r="F6" s="65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6" s="64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6" s="64">
        <f ca="1">IF(SUIVI_DES_FACTURES[[#This Row],[Date facture]]="","",ROUNDDOWN(SUIVI_DES_FACTURES[[#This Row],[Montant TTC]]+SUIVI_DES_FACTURES[[#This Row],[Majoration]],2))</f>
        <v>2464</v>
      </c>
      <c r="I6" s="237" t="str">
        <f ca="1"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 ))</f>
        <v>Validée</v>
      </c>
      <c r="J6" s="238">
        <v>42246</v>
      </c>
      <c r="K6" s="239">
        <f>IF(AND(SUIVI_DES_FACTURES[[#This Row],[Paiement Comptant]]="",SUIVI_DES_FACTURES[[#This Row],[Paiement Différé]]=""),"",(SUIVI_DES_FACTURES[[#This Row],[Paiement Comptant]]+SUIVI_DES_FACTURES[[#This Row],[Paiement Différé]]))</f>
        <v>2536</v>
      </c>
      <c r="L6" s="240">
        <f ca="1">IFERROR(IF(SUIVI_DES_FACTURES[[#This Row],[▼  Réglée  ▼]]="Validée",SUIVI_DES_FACTURES[[#This Row],[Montant Total Payé]]-SUIVI_DES_FACTURES[[#This Row],[Montant TTC]],""),"")</f>
        <v>72</v>
      </c>
      <c r="M6" s="241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6" s="237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6" s="237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6" s="237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6" s="242">
        <v>0</v>
      </c>
      <c r="R6" s="242">
        <v>89.91</v>
      </c>
      <c r="S6" s="242">
        <v>157.16999999999999</v>
      </c>
      <c r="T6" s="242">
        <v>245</v>
      </c>
      <c r="U6" s="242">
        <f>IF(SUIVI_DES_FACTURES[[#This Row],[Date facture]]="","",ROUNDDOWN(-SUM(-SUIVI_DES_FACTURES[[#This Row],[Montant TTC]],(SUIVI_DES_FACTURES[[#This Row],[TVA 5,5]:[TVA 20]])),2))</f>
        <v>1971.92</v>
      </c>
      <c r="V6" s="240" t="str">
        <f ca="1">IF(SUIVI_DES_FACTURES[[#This Row],[Raison sociale]]="","",VLOOKUP(SUIVI_DES_FACTURES[[#This Row],[Raison sociale]],CLIENTS_PLAGE_CLIENTS,2,FALSE))</f>
        <v>Adresse 2</v>
      </c>
      <c r="W6" s="66">
        <f ca="1">IF(SUIVI_DES_FACTURES[[#This Row],[Raison sociale]]="","",VLOOKUP(SUIVI_DES_FACTURES[[#This Row],[Raison sociale]],CLIENTS_PLAGE_CLIENTS,3,FALSE))</f>
        <v>75017</v>
      </c>
      <c r="X6" s="66" t="str">
        <f ca="1">IF(SUIVI_DES_FACTURES[[#This Row],[Raison sociale]]="","",VLOOKUP(SUIVI_DES_FACTURES[[#This Row],[Raison sociale]],CLIENTS_PLAGE_CLIENTS,4,FALSE))</f>
        <v>PARIS 17</v>
      </c>
      <c r="Y6" s="66" t="s">
        <v>159</v>
      </c>
      <c r="Z6" s="66" t="s">
        <v>160</v>
      </c>
      <c r="AA6" s="67" t="s">
        <v>161</v>
      </c>
      <c r="AB6" s="67" t="s">
        <v>162</v>
      </c>
      <c r="AC6" s="68" t="s">
        <v>163</v>
      </c>
      <c r="AD6" s="69">
        <v>30004</v>
      </c>
      <c r="AE6" s="69">
        <v>2249</v>
      </c>
      <c r="AF6" s="70">
        <v>9876543</v>
      </c>
      <c r="AG6" s="69">
        <v>3212</v>
      </c>
      <c r="AH6" s="66" t="s">
        <v>164</v>
      </c>
      <c r="AI6" s="66" t="s">
        <v>165</v>
      </c>
      <c r="AJ6" s="66" t="str">
        <f>IF(SUIVI_DES_FACTURES[[#This Row],[Paiement Comptant]]&lt;&gt;0,"NON","OUI")</f>
        <v>NON</v>
      </c>
      <c r="AK6" s="71">
        <v>2536</v>
      </c>
      <c r="AL6" s="71"/>
      <c r="AM6" s="72" t="str">
        <f>IF(AJ6="","",IF(AJ6="OUI"=TRUE,ROWS($A$5:AI6),""))</f>
        <v/>
      </c>
    </row>
    <row r="7" spans="1:78" ht="15" customHeight="1" x14ac:dyDescent="0.25">
      <c r="A7" s="236" t="s">
        <v>690</v>
      </c>
      <c r="B7" s="73" t="s">
        <v>166</v>
      </c>
      <c r="C7" s="63">
        <v>42216</v>
      </c>
      <c r="D7" s="63">
        <f>IF(SUIVI_DES_FACTURES[[#This Row],[Date facture]]="","",EOMONTH(SUIVI_DES_FACTURES[[#This Row],[Date facture]]+30,0))</f>
        <v>42247</v>
      </c>
      <c r="E7" s="64">
        <v>1984</v>
      </c>
      <c r="F7" s="65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167</v>
      </c>
      <c r="G7" s="64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67.23243835616438</v>
      </c>
      <c r="H7" s="64">
        <f ca="1">IF(SUIVI_DES_FACTURES[[#This Row],[Date facture]]="","",ROUNDDOWN(SUIVI_DES_FACTURES[[#This Row],[Montant TTC]]+SUIVI_DES_FACTURES[[#This Row],[Majoration]],2))</f>
        <v>2051.23</v>
      </c>
      <c r="I7" s="237" t="str">
        <f ca="1"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 ))</f>
        <v>En attente</v>
      </c>
      <c r="J7" s="238"/>
      <c r="K7" s="239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7" s="240" t="str">
        <f ca="1">IFERROR(IF(SUIVI_DES_FACTURES[[#This Row],[▼  Réglée  ▼]]="Validée",SUIVI_DES_FACTURES[[#This Row],[Montant Total Payé]]-SUIVI_DES_FACTURES[[#This Row],[Montant TTC]],""),"")</f>
        <v/>
      </c>
      <c r="M7" s="241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7" s="237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7" s="237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7" s="237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R3</v>
      </c>
      <c r="Q7" s="242">
        <v>24.55</v>
      </c>
      <c r="R7" s="242">
        <v>0</v>
      </c>
      <c r="S7" s="242">
        <v>50.45</v>
      </c>
      <c r="T7" s="242">
        <v>248.92</v>
      </c>
      <c r="U7" s="242">
        <f>IF(SUIVI_DES_FACTURES[[#This Row],[Date facture]]="","",ROUNDDOWN(-SUM(-SUIVI_DES_FACTURES[[#This Row],[Montant TTC]],(SUIVI_DES_FACTURES[[#This Row],[TVA 5,5]:[TVA 20]])),2))</f>
        <v>1660.08</v>
      </c>
      <c r="V7" s="240" t="str">
        <f ca="1">IF(SUIVI_DES_FACTURES[[#This Row],[Raison sociale]]="","",VLOOKUP(SUIVI_DES_FACTURES[[#This Row],[Raison sociale]],CLIENTS_PLAGE_CLIENTS,2,FALSE))</f>
        <v>Adresse 3</v>
      </c>
      <c r="W7" s="66">
        <f ca="1">IF(SUIVI_DES_FACTURES[[#This Row],[Raison sociale]]="","",VLOOKUP(SUIVI_DES_FACTURES[[#This Row],[Raison sociale]],CLIENTS_PLAGE_CLIENTS,3,FALSE))</f>
        <v>44105</v>
      </c>
      <c r="X7" s="66" t="str">
        <f ca="1">IF(SUIVI_DES_FACTURES[[#This Row],[Raison sociale]]="","",VLOOKUP(SUIVI_DES_FACTURES[[#This Row],[Raison sociale]],CLIENTS_PLAGE_CLIENTS,4,FALSE))</f>
        <v>NANTES CEDEX 4</v>
      </c>
      <c r="Y7" s="66"/>
      <c r="Z7" s="66"/>
      <c r="AA7" s="67"/>
      <c r="AB7" s="67"/>
      <c r="AC7" s="73"/>
      <c r="AD7" s="69"/>
      <c r="AE7" s="69"/>
      <c r="AF7" s="70"/>
      <c r="AG7" s="69"/>
      <c r="AH7" s="66"/>
      <c r="AI7" s="66"/>
      <c r="AJ7" s="66" t="str">
        <f>IF(SUIVI_DES_FACTURES[[#This Row],[Paiement Comptant]]&lt;&gt;0,"NON","OUI")</f>
        <v>OUI</v>
      </c>
      <c r="AK7" s="71"/>
      <c r="AL7" s="71"/>
      <c r="AM7" s="72">
        <f>IF(AJ7="","",IF(AJ7="OUI"=TRUE,ROWS($A$5:AI7),""))</f>
        <v>3</v>
      </c>
    </row>
    <row r="8" spans="1:78" ht="15" customHeight="1" x14ac:dyDescent="0.25">
      <c r="A8" s="236" t="s">
        <v>691</v>
      </c>
      <c r="B8" s="73" t="s">
        <v>167</v>
      </c>
      <c r="C8" s="63">
        <v>42277</v>
      </c>
      <c r="D8" s="63">
        <f>IF(SUIVI_DES_FACTURES[[#This Row],[Date facture]]="","",EOMONTH(SUIVI_DES_FACTURES[[#This Row],[Date facture]]+30,0))</f>
        <v>42308</v>
      </c>
      <c r="E8" s="64">
        <v>1910</v>
      </c>
      <c r="F8" s="65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106</v>
      </c>
      <c r="G8" s="64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56.640547945205476</v>
      </c>
      <c r="H8" s="64">
        <f ca="1">IF(SUIVI_DES_FACTURES[[#This Row],[Date facture]]="","",ROUNDDOWN(SUIVI_DES_FACTURES[[#This Row],[Montant TTC]]+SUIVI_DES_FACTURES[[#This Row],[Majoration]],2))</f>
        <v>1966.64</v>
      </c>
      <c r="I8" s="237" t="str">
        <f ca="1"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 ))</f>
        <v>En attente</v>
      </c>
      <c r="J8" s="238"/>
      <c r="K8" s="239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8" s="240" t="str">
        <f ca="1">IFERROR(IF(SUIVI_DES_FACTURES[[#This Row],[▼  Réglée  ▼]]="Validée",SUIVI_DES_FACTURES[[#This Row],[Montant Total Payé]]-SUIVI_DES_FACTURES[[#This Row],[Montant TTC]],""),"")</f>
        <v/>
      </c>
      <c r="M8" s="241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8" s="237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8" s="237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8" s="237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R3</v>
      </c>
      <c r="Q8" s="242">
        <v>0</v>
      </c>
      <c r="R8" s="242">
        <v>159.83000000000001</v>
      </c>
      <c r="S8" s="242">
        <v>0</v>
      </c>
      <c r="T8" s="242">
        <v>364.75</v>
      </c>
      <c r="U8" s="242">
        <f>IF(SUIVI_DES_FACTURES[[#This Row],[Date facture]]="","",ROUNDDOWN(-SUM(-SUIVI_DES_FACTURES[[#This Row],[Montant TTC]],(SUIVI_DES_FACTURES[[#This Row],[TVA 5,5]:[TVA 20]])),2))</f>
        <v>1385.42</v>
      </c>
      <c r="V8" s="240" t="str">
        <f ca="1">IF(SUIVI_DES_FACTURES[[#This Row],[Raison sociale]]="","",VLOOKUP(SUIVI_DES_FACTURES[[#This Row],[Raison sociale]],CLIENTS_PLAGE_CLIENTS,2,FALSE))</f>
        <v>Adresse 4</v>
      </c>
      <c r="W8" s="66">
        <f ca="1">IF(SUIVI_DES_FACTURES[[#This Row],[Raison sociale]]="","",VLOOKUP(SUIVI_DES_FACTURES[[#This Row],[Raison sociale]],CLIENTS_PLAGE_CLIENTS,3,FALSE))</f>
        <v>92100</v>
      </c>
      <c r="X8" s="66" t="str">
        <f ca="1">IF(SUIVI_DES_FACTURES[[#This Row],[Raison sociale]]="","",VLOOKUP(SUIVI_DES_FACTURES[[#This Row],[Raison sociale]],CLIENTS_PLAGE_CLIENTS,4,FALSE))</f>
        <v>BOULOGNE BILLANCOURT</v>
      </c>
      <c r="Y8" s="66"/>
      <c r="Z8" s="66"/>
      <c r="AA8" s="67"/>
      <c r="AB8" s="67"/>
      <c r="AC8" s="68"/>
      <c r="AD8" s="69"/>
      <c r="AE8" s="69"/>
      <c r="AF8" s="70"/>
      <c r="AG8" s="69"/>
      <c r="AH8" s="66"/>
      <c r="AI8" s="66"/>
      <c r="AJ8" s="66" t="str">
        <f>IF(SUIVI_DES_FACTURES[[#This Row],[Paiement Comptant]]&lt;&gt;0,"NON","OUI")</f>
        <v>OUI</v>
      </c>
      <c r="AK8" s="71"/>
      <c r="AL8" s="71"/>
      <c r="AM8" s="72">
        <f>IF(AJ8="","",IF(AJ8="OUI"=TRUE,ROWS($A$5:AI8),""))</f>
        <v>4</v>
      </c>
    </row>
    <row r="9" spans="1:78" ht="15" customHeight="1" x14ac:dyDescent="0.25">
      <c r="A9" s="236" t="s">
        <v>692</v>
      </c>
      <c r="B9" s="73" t="s">
        <v>168</v>
      </c>
      <c r="C9" s="74">
        <v>42248</v>
      </c>
      <c r="D9" s="63">
        <f>IF(SUIVI_DES_FACTURES[[#This Row],[Date facture]]="","",EOMONTH(SUIVI_DES_FACTURES[[#This Row],[Date facture]]+30,0))</f>
        <v>42308</v>
      </c>
      <c r="E9" s="64">
        <v>3484</v>
      </c>
      <c r="F9" s="65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106</v>
      </c>
      <c r="G9" s="64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70.353753424657526</v>
      </c>
      <c r="H9" s="64">
        <f ca="1">IF(SUIVI_DES_FACTURES[[#This Row],[Date facture]]="","",ROUNDDOWN(SUIVI_DES_FACTURES[[#This Row],[Montant TTC]]+SUIVI_DES_FACTURES[[#This Row],[Majoration]],2))</f>
        <v>3554.35</v>
      </c>
      <c r="I9" s="237" t="str">
        <f ca="1"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 ))</f>
        <v>En attente</v>
      </c>
      <c r="J9" s="238"/>
      <c r="K9" s="239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9" s="240" t="str">
        <f ca="1">IFERROR(IF(SUIVI_DES_FACTURES[[#This Row],[▼  Réglée  ▼]]="Validée",SUIVI_DES_FACTURES[[#This Row],[Montant Total Payé]]-SUIVI_DES_FACTURES[[#This Row],[Montant TTC]],""),"")</f>
        <v/>
      </c>
      <c r="M9" s="241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9" s="237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9" s="237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9" s="237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R3</v>
      </c>
      <c r="Q9" s="242">
        <v>157.76</v>
      </c>
      <c r="R9" s="242">
        <v>192.77</v>
      </c>
      <c r="S9" s="242">
        <v>259.75</v>
      </c>
      <c r="T9" s="242">
        <v>324.81</v>
      </c>
      <c r="U9" s="242">
        <f>IF(SUIVI_DES_FACTURES[[#This Row],[Date facture]]="","",ROUNDDOWN(-SUM(-SUIVI_DES_FACTURES[[#This Row],[Montant TTC]],(SUIVI_DES_FACTURES[[#This Row],[TVA 5,5]:[TVA 20]])),2))</f>
        <v>2548.91</v>
      </c>
      <c r="V9" s="240" t="str">
        <f ca="1">IF(SUIVI_DES_FACTURES[[#This Row],[Raison sociale]]="","",VLOOKUP(SUIVI_DES_FACTURES[[#This Row],[Raison sociale]],CLIENTS_PLAGE_CLIENTS,2,FALSE))</f>
        <v>Adresse 5</v>
      </c>
      <c r="W9" s="66">
        <f ca="1">IF(SUIVI_DES_FACTURES[[#This Row],[Raison sociale]]="","",VLOOKUP(SUIVI_DES_FACTURES[[#This Row],[Raison sociale]],CLIENTS_PLAGE_CLIENTS,3,FALSE))</f>
        <v>39800</v>
      </c>
      <c r="X9" s="66" t="str">
        <f ca="1">IF(SUIVI_DES_FACTURES[[#This Row],[Raison sociale]]="","",VLOOKUP(SUIVI_DES_FACTURES[[#This Row],[Raison sociale]],CLIENTS_PLAGE_CLIENTS,4,FALSE))</f>
        <v>POLIGNY</v>
      </c>
      <c r="Y9" s="66"/>
      <c r="Z9" s="66"/>
      <c r="AA9" s="67"/>
      <c r="AB9" s="67"/>
      <c r="AC9" s="73"/>
      <c r="AD9" s="69"/>
      <c r="AE9" s="69"/>
      <c r="AF9" s="70"/>
      <c r="AG9" s="69"/>
      <c r="AH9" s="66"/>
      <c r="AI9" s="66"/>
      <c r="AJ9" s="66" t="str">
        <f>IF(SUIVI_DES_FACTURES[[#This Row],[Paiement Comptant]]&lt;&gt;0,"NON","OUI")</f>
        <v>OUI</v>
      </c>
      <c r="AK9" s="71"/>
      <c r="AL9" s="71"/>
      <c r="AM9" s="72">
        <f>IF(AJ9="","",IF(AJ9="OUI"=TRUE,ROWS($A$5:AI9),""))</f>
        <v>5</v>
      </c>
    </row>
    <row r="10" spans="1:78" ht="15" customHeight="1" x14ac:dyDescent="0.25">
      <c r="A10" s="236" t="s">
        <v>693</v>
      </c>
      <c r="B10" s="73" t="s">
        <v>169</v>
      </c>
      <c r="C10" s="63">
        <v>42278</v>
      </c>
      <c r="D10" s="63">
        <f>IF(SUIVI_DES_FACTURES[[#This Row],[Date facture]]="","",EOMONTH(SUIVI_DES_FACTURES[[#This Row],[Date facture]]+30,0))</f>
        <v>42308</v>
      </c>
      <c r="E10" s="64">
        <v>5058</v>
      </c>
      <c r="F10" s="65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106</v>
      </c>
      <c r="G10" s="64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84.066958904109583</v>
      </c>
      <c r="H10" s="64">
        <f ca="1">IF(SUIVI_DES_FACTURES[[#This Row],[Date facture]]="","",ROUNDDOWN(SUIVI_DES_FACTURES[[#This Row],[Montant TTC]]+SUIVI_DES_FACTURES[[#This Row],[Majoration]],2))</f>
        <v>5142.0600000000004</v>
      </c>
      <c r="I10" s="237" t="str">
        <f ca="1"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 ))</f>
        <v>En attente</v>
      </c>
      <c r="J10" s="238"/>
      <c r="K10" s="239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0" s="240" t="str">
        <f ca="1">IFERROR(IF(SUIVI_DES_FACTURES[[#This Row],[▼  Réglée  ▼]]="Validée",SUIVI_DES_FACTURES[[#This Row],[Montant Total Payé]]-SUIVI_DES_FACTURES[[#This Row],[Montant TTC]],""),"")</f>
        <v/>
      </c>
      <c r="M10" s="241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0" s="237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0" s="237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10" s="237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R3</v>
      </c>
      <c r="Q10" s="242">
        <v>154.5</v>
      </c>
      <c r="R10" s="242">
        <v>225.71</v>
      </c>
      <c r="S10" s="242">
        <v>24.89</v>
      </c>
      <c r="T10" s="242">
        <v>284.87</v>
      </c>
      <c r="U10" s="242">
        <f>IF(SUIVI_DES_FACTURES[[#This Row],[Date facture]]="","",ROUNDDOWN(-SUM(-SUIVI_DES_FACTURES[[#This Row],[Montant TTC]],(SUIVI_DES_FACTURES[[#This Row],[TVA 5,5]:[TVA 20]])),2))</f>
        <v>4368.03</v>
      </c>
      <c r="V10" s="240" t="str">
        <f ca="1">IF(SUIVI_DES_FACTURES[[#This Row],[Raison sociale]]="","",VLOOKUP(SUIVI_DES_FACTURES[[#This Row],[Raison sociale]],CLIENTS_PLAGE_CLIENTS,2,FALSE))</f>
        <v>Adresse 6</v>
      </c>
      <c r="W10" s="66">
        <f ca="1">IF(SUIVI_DES_FACTURES[[#This Row],[Raison sociale]]="","",VLOOKUP(SUIVI_DES_FACTURES[[#This Row],[Raison sociale]],CLIENTS_PLAGE_CLIENTS,3,FALSE))</f>
        <v>67720</v>
      </c>
      <c r="X10" s="66" t="str">
        <f ca="1">IF(SUIVI_DES_FACTURES[[#This Row],[Raison sociale]]="","",VLOOKUP(SUIVI_DES_FACTURES[[#This Row],[Raison sociale]],CLIENTS_PLAGE_CLIENTS,4,FALSE))</f>
        <v>WEYERSHEIM</v>
      </c>
      <c r="Y10" s="66"/>
      <c r="Z10" s="66"/>
      <c r="AA10" s="67"/>
      <c r="AB10" s="67"/>
      <c r="AC10" s="68"/>
      <c r="AD10" s="69"/>
      <c r="AE10" s="69"/>
      <c r="AF10" s="70"/>
      <c r="AG10" s="69"/>
      <c r="AH10" s="66"/>
      <c r="AI10" s="66"/>
      <c r="AJ10" s="66" t="str">
        <f>IF(SUIVI_DES_FACTURES[[#This Row],[Paiement Comptant]]&lt;&gt;0,"NON","OUI")</f>
        <v>OUI</v>
      </c>
      <c r="AK10" s="71"/>
      <c r="AL10" s="71"/>
      <c r="AM10" s="72">
        <f>IF(AJ10="","",IF(AJ10="OUI"=TRUE,ROWS($A$5:AI10),""))</f>
        <v>6</v>
      </c>
    </row>
    <row r="11" spans="1:78" ht="15" customHeight="1" x14ac:dyDescent="0.25">
      <c r="A11" s="236" t="s">
        <v>694</v>
      </c>
      <c r="B11" s="73" t="s">
        <v>170</v>
      </c>
      <c r="C11" s="74">
        <v>42155</v>
      </c>
      <c r="D11" s="63">
        <f>IF(SUIVI_DES_FACTURES[[#This Row],[Date facture]]="","",EOMONTH(SUIVI_DES_FACTURES[[#This Row],[Date facture]]+30,0))</f>
        <v>42185</v>
      </c>
      <c r="E11" s="64">
        <v>6632</v>
      </c>
      <c r="F11" s="65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229</v>
      </c>
      <c r="G11" s="64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164.82695890410957</v>
      </c>
      <c r="H11" s="64">
        <f ca="1">IF(SUIVI_DES_FACTURES[[#This Row],[Date facture]]="","",ROUNDDOWN(SUIVI_DES_FACTURES[[#This Row],[Montant TTC]]+SUIVI_DES_FACTURES[[#This Row],[Majoration]],2))</f>
        <v>6796.82</v>
      </c>
      <c r="I11" s="237" t="str">
        <f ca="1"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 ))</f>
        <v>En attente</v>
      </c>
      <c r="J11" s="238"/>
      <c r="K11" s="239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1" s="240" t="str">
        <f ca="1">IFERROR(IF(SUIVI_DES_FACTURES[[#This Row],[▼  Réglée  ▼]]="Validée",SUIVI_DES_FACTURES[[#This Row],[Montant Total Payé]]-SUIVI_DES_FACTURES[[#This Row],[Montant TTC]],""),"")</f>
        <v/>
      </c>
      <c r="M11" s="241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1" s="237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1" s="237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11" s="237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R3</v>
      </c>
      <c r="Q11" s="242">
        <v>157.76</v>
      </c>
      <c r="R11" s="242">
        <v>0</v>
      </c>
      <c r="S11" s="242">
        <v>259.75</v>
      </c>
      <c r="T11" s="242">
        <v>244.93</v>
      </c>
      <c r="U11" s="242">
        <f>IF(SUIVI_DES_FACTURES[[#This Row],[Date facture]]="","",ROUNDDOWN(-SUM(-SUIVI_DES_FACTURES[[#This Row],[Montant TTC]],(SUIVI_DES_FACTURES[[#This Row],[TVA 5,5]:[TVA 20]])),2))</f>
        <v>5969.56</v>
      </c>
      <c r="V11" s="240" t="str">
        <f ca="1">IF(SUIVI_DES_FACTURES[[#This Row],[Raison sociale]]="","",VLOOKUP(SUIVI_DES_FACTURES[[#This Row],[Raison sociale]],CLIENTS_PLAGE_CLIENTS,2,FALSE))</f>
        <v>Adresse 7</v>
      </c>
      <c r="W11" s="66">
        <f ca="1">IF(SUIVI_DES_FACTURES[[#This Row],[Raison sociale]]="","",VLOOKUP(SUIVI_DES_FACTURES[[#This Row],[Raison sociale]],CLIENTS_PLAGE_CLIENTS,3,FALSE))</f>
        <v>59000</v>
      </c>
      <c r="X11" s="66" t="str">
        <f ca="1">IF(SUIVI_DES_FACTURES[[#This Row],[Raison sociale]]="","",VLOOKUP(SUIVI_DES_FACTURES[[#This Row],[Raison sociale]],CLIENTS_PLAGE_CLIENTS,4,FALSE))</f>
        <v>LILLE</v>
      </c>
      <c r="Y11" s="66"/>
      <c r="Z11" s="66"/>
      <c r="AA11" s="67"/>
      <c r="AB11" s="67"/>
      <c r="AC11" s="68"/>
      <c r="AD11" s="69"/>
      <c r="AE11" s="69"/>
      <c r="AF11" s="70"/>
      <c r="AG11" s="69"/>
      <c r="AH11" s="66"/>
      <c r="AI11" s="66"/>
      <c r="AJ11" s="66" t="str">
        <f>IF(SUIVI_DES_FACTURES[[#This Row],[Paiement Comptant]]&lt;&gt;0,"NON","OUI")</f>
        <v>OUI</v>
      </c>
      <c r="AK11" s="71"/>
      <c r="AL11" s="71"/>
      <c r="AM11" s="72">
        <f>IF(AJ11="","",IF(AJ11="OUI"=TRUE,ROWS($A$5:AI11),""))</f>
        <v>7</v>
      </c>
    </row>
    <row r="12" spans="1:78" ht="15" customHeight="1" x14ac:dyDescent="0.25">
      <c r="A12" s="236" t="s">
        <v>695</v>
      </c>
      <c r="B12" s="73" t="s">
        <v>172</v>
      </c>
      <c r="C12" s="63">
        <v>42216</v>
      </c>
      <c r="D12" s="63">
        <f>IF(SUIVI_DES_FACTURES[[#This Row],[Date facture]]="","",EOMONTH(SUIVI_DES_FACTURES[[#This Row],[Date facture]]+30,0))</f>
        <v>42247</v>
      </c>
      <c r="E12" s="64">
        <v>5624.12</v>
      </c>
      <c r="F12" s="65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167</v>
      </c>
      <c r="G12" s="64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117.19682520547946</v>
      </c>
      <c r="H12" s="64">
        <f ca="1">IF(SUIVI_DES_FACTURES[[#This Row],[Date facture]]="","",ROUNDDOWN(SUIVI_DES_FACTURES[[#This Row],[Montant TTC]]+SUIVI_DES_FACTURES[[#This Row],[Majoration]],2))</f>
        <v>5741.31</v>
      </c>
      <c r="I12" s="237" t="str">
        <f ca="1"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 ))</f>
        <v>En attente</v>
      </c>
      <c r="J12" s="238"/>
      <c r="K12" s="239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2" s="240" t="str">
        <f ca="1">IFERROR(IF(SUIVI_DES_FACTURES[[#This Row],[▼  Réglée  ▼]]="Validée",SUIVI_DES_FACTURES[[#This Row],[Montant Total Payé]]-SUIVI_DES_FACTURES[[#This Row],[Montant TTC]],""),"")</f>
        <v/>
      </c>
      <c r="M12" s="241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2" s="237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2" s="237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12" s="237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R3</v>
      </c>
      <c r="Q12" s="242">
        <v>157.76</v>
      </c>
      <c r="R12" s="242">
        <v>159.83000000000001</v>
      </c>
      <c r="S12" s="242">
        <v>628.67999999999995</v>
      </c>
      <c r="T12" s="242">
        <v>313.60500000000002</v>
      </c>
      <c r="U12" s="242">
        <f>IF(SUIVI_DES_FACTURES[[#This Row],[Date facture]]="","",ROUNDDOWN(-SUM(-SUIVI_DES_FACTURES[[#This Row],[Montant TTC]],(SUIVI_DES_FACTURES[[#This Row],[TVA 5,5]:[TVA 20]])),2))</f>
        <v>4364.24</v>
      </c>
      <c r="V12" s="240" t="str">
        <f ca="1">IF(SUIVI_DES_FACTURES[[#This Row],[Raison sociale]]="","",VLOOKUP(SUIVI_DES_FACTURES[[#This Row],[Raison sociale]],CLIENTS_PLAGE_CLIENTS,2,FALSE))</f>
        <v>Adresse 8</v>
      </c>
      <c r="W12" s="66">
        <f ca="1">IF(SUIVI_DES_FACTURES[[#This Row],[Raison sociale]]="","",VLOOKUP(SUIVI_DES_FACTURES[[#This Row],[Raison sociale]],CLIENTS_PLAGE_CLIENTS,3,FALSE))</f>
        <v>71000</v>
      </c>
      <c r="X12" s="66" t="str">
        <f ca="1">IF(SUIVI_DES_FACTURES[[#This Row],[Raison sociale]]="","",VLOOKUP(SUIVI_DES_FACTURES[[#This Row],[Raison sociale]],CLIENTS_PLAGE_CLIENTS,4,FALSE))</f>
        <v>MACON</v>
      </c>
      <c r="Y12" s="66"/>
      <c r="Z12" s="66"/>
      <c r="AA12" s="67"/>
      <c r="AB12" s="67"/>
      <c r="AC12" s="68"/>
      <c r="AD12" s="69"/>
      <c r="AE12" s="69"/>
      <c r="AF12" s="70"/>
      <c r="AG12" s="69"/>
      <c r="AH12" s="66"/>
      <c r="AI12" s="66"/>
      <c r="AJ12" s="66" t="str">
        <f>IF(SUIVI_DES_FACTURES[[#This Row],[Paiement Comptant]]&lt;&gt;0,"NON","OUI")</f>
        <v>OUI</v>
      </c>
      <c r="AK12" s="71"/>
      <c r="AL12" s="71"/>
      <c r="AM12" s="72">
        <f>IF(AJ12="","",IF(AJ12="OUI"=TRUE,ROWS($A$5:AI12),""))</f>
        <v>8</v>
      </c>
    </row>
    <row r="13" spans="1:78" ht="15" customHeight="1" x14ac:dyDescent="0.25">
      <c r="A13" s="236" t="s">
        <v>696</v>
      </c>
      <c r="B13" s="73" t="s">
        <v>173</v>
      </c>
      <c r="C13" s="63">
        <v>42246</v>
      </c>
      <c r="D13" s="63">
        <f>IF(SUIVI_DES_FACTURES[[#This Row],[Date facture]]="","",EOMONTH(SUIVI_DES_FACTURES[[#This Row],[Date facture]]+30,0))</f>
        <v>42277</v>
      </c>
      <c r="E13" s="64">
        <v>5402.75</v>
      </c>
      <c r="F13" s="65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137</v>
      </c>
      <c r="G13" s="64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100.83644520547945</v>
      </c>
      <c r="H13" s="64">
        <f ca="1">IF(SUIVI_DES_FACTURES[[#This Row],[Date facture]]="","",ROUNDDOWN(SUIVI_DES_FACTURES[[#This Row],[Montant TTC]]+SUIVI_DES_FACTURES[[#This Row],[Majoration]],2))</f>
        <v>5503.58</v>
      </c>
      <c r="I13" s="237" t="str">
        <f ca="1"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 ))</f>
        <v>En attente</v>
      </c>
      <c r="J13" s="238"/>
      <c r="K13" s="239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3" s="240" t="str">
        <f ca="1">IFERROR(IF(SUIVI_DES_FACTURES[[#This Row],[▼  Réglée  ▼]]="Validée",SUIVI_DES_FACTURES[[#This Row],[Montant Total Payé]]-SUIVI_DES_FACTURES[[#This Row],[Montant TTC]],""),"")</f>
        <v/>
      </c>
      <c r="M13" s="241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3" s="237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3" s="237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13" s="237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R3</v>
      </c>
      <c r="Q13" s="242">
        <v>159.051428571429</v>
      </c>
      <c r="R13" s="242">
        <v>198.78800000000001</v>
      </c>
      <c r="S13" s="242">
        <v>785.85</v>
      </c>
      <c r="T13" s="242">
        <v>318.05900000000003</v>
      </c>
      <c r="U13" s="242">
        <f>IF(SUIVI_DES_FACTURES[[#This Row],[Date facture]]="","",ROUNDDOWN(-SUM(-SUIVI_DES_FACTURES[[#This Row],[Montant TTC]],(SUIVI_DES_FACTURES[[#This Row],[TVA 5,5]:[TVA 20]])),2))</f>
        <v>3941</v>
      </c>
      <c r="V13" s="240" t="str">
        <f ca="1">IF(SUIVI_DES_FACTURES[[#This Row],[Raison sociale]]="","",VLOOKUP(SUIVI_DES_FACTURES[[#This Row],[Raison sociale]],CLIENTS_PLAGE_CLIENTS,2,FALSE))</f>
        <v>Adresse 9</v>
      </c>
      <c r="W13" s="66">
        <f ca="1">IF(SUIVI_DES_FACTURES[[#This Row],[Raison sociale]]="","",VLOOKUP(SUIVI_DES_FACTURES[[#This Row],[Raison sociale]],CLIENTS_PLAGE_CLIENTS,3,FALSE))</f>
        <v>92059</v>
      </c>
      <c r="X13" s="66" t="str">
        <f ca="1">IF(SUIVI_DES_FACTURES[[#This Row],[Raison sociale]]="","",VLOOKUP(SUIVI_DES_FACTURES[[#This Row],[Raison sociale]],CLIENTS_PLAGE_CLIENTS,4,FALSE))</f>
        <v>PARIS LA DEFENSE CEDEX</v>
      </c>
      <c r="Y13" s="66"/>
      <c r="Z13" s="66"/>
      <c r="AA13" s="67"/>
      <c r="AB13" s="67"/>
      <c r="AC13" s="68"/>
      <c r="AD13" s="69"/>
      <c r="AE13" s="69"/>
      <c r="AF13" s="70"/>
      <c r="AG13" s="69"/>
      <c r="AH13" s="66"/>
      <c r="AI13" s="66"/>
      <c r="AJ13" s="66" t="str">
        <f>IF(SUIVI_DES_FACTURES[[#This Row],[Paiement Comptant]]&lt;&gt;0,"NON","OUI")</f>
        <v>OUI</v>
      </c>
      <c r="AK13" s="71"/>
      <c r="AL13" s="71"/>
      <c r="AM13" s="72">
        <f>IF(AJ13="","",IF(AJ13="OUI"=TRUE,ROWS($A$5:AI13),""))</f>
        <v>9</v>
      </c>
    </row>
    <row r="14" spans="1:78" ht="15" customHeight="1" x14ac:dyDescent="0.25">
      <c r="A14" s="236" t="s">
        <v>697</v>
      </c>
      <c r="B14" s="73" t="s">
        <v>174</v>
      </c>
      <c r="C14" s="63">
        <v>42248</v>
      </c>
      <c r="D14" s="63">
        <f>IF(SUIVI_DES_FACTURES[[#This Row],[Date facture]]="","",EOMONTH(SUIVI_DES_FACTURES[[#This Row],[Date facture]]+30,0))</f>
        <v>42308</v>
      </c>
      <c r="E14" s="64">
        <v>5673.02</v>
      </c>
      <c r="F14" s="65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106</v>
      </c>
      <c r="G14" s="64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89.425215342465748</v>
      </c>
      <c r="H14" s="64">
        <f ca="1">IF(SUIVI_DES_FACTURES[[#This Row],[Date facture]]="","",ROUNDDOWN(SUIVI_DES_FACTURES[[#This Row],[Montant TTC]]+SUIVI_DES_FACTURES[[#This Row],[Majoration]],2))</f>
        <v>5762.44</v>
      </c>
      <c r="I14" s="237" t="str">
        <f ca="1"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 ))</f>
        <v>En attente</v>
      </c>
      <c r="J14" s="238"/>
      <c r="K14" s="239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4" s="240" t="str">
        <f ca="1">IFERROR(IF(SUIVI_DES_FACTURES[[#This Row],[▼  Réglée  ▼]]="Validée",SUIVI_DES_FACTURES[[#This Row],[Montant Total Payé]]-SUIVI_DES_FACTURES[[#This Row],[Montant TTC]],""),"")</f>
        <v/>
      </c>
      <c r="M14" s="241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4" s="237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4" s="237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14" s="237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R3</v>
      </c>
      <c r="Q14" s="242">
        <v>189.995714285714</v>
      </c>
      <c r="R14" s="242">
        <v>237.74600000000001</v>
      </c>
      <c r="S14" s="242">
        <v>943.02</v>
      </c>
      <c r="T14" s="242">
        <v>322.51299999999998</v>
      </c>
      <c r="U14" s="242">
        <f>IF(SUIVI_DES_FACTURES[[#This Row],[Date facture]]="","",ROUNDDOWN(-SUM(-SUIVI_DES_FACTURES[[#This Row],[Montant TTC]],(SUIVI_DES_FACTURES[[#This Row],[TVA 5,5]:[TVA 20]])),2))</f>
        <v>3979.74</v>
      </c>
      <c r="V14" s="240" t="str">
        <f ca="1">IF(SUIVI_DES_FACTURES[[#This Row],[Raison sociale]]="","",VLOOKUP(SUIVI_DES_FACTURES[[#This Row],[Raison sociale]],CLIENTS_PLAGE_CLIENTS,2,FALSE))</f>
        <v>Adresse 10</v>
      </c>
      <c r="W14" s="66">
        <f ca="1">IF(SUIVI_DES_FACTURES[[#This Row],[Raison sociale]]="","",VLOOKUP(SUIVI_DES_FACTURES[[#This Row],[Raison sociale]],CLIENTS_PLAGE_CLIENTS,3,FALSE))</f>
        <v>36330</v>
      </c>
      <c r="X14" s="66" t="str">
        <f ca="1">IF(SUIVI_DES_FACTURES[[#This Row],[Raison sociale]]="","",VLOOKUP(SUIVI_DES_FACTURES[[#This Row],[Raison sociale]],CLIENTS_PLAGE_CLIENTS,4,FALSE))</f>
        <v>LE POINCONNET</v>
      </c>
      <c r="Y14" s="66"/>
      <c r="Z14" s="66"/>
      <c r="AA14" s="67"/>
      <c r="AB14" s="67"/>
      <c r="AC14" s="68"/>
      <c r="AD14" s="69"/>
      <c r="AE14" s="69"/>
      <c r="AF14" s="70"/>
      <c r="AG14" s="69"/>
      <c r="AH14" s="66"/>
      <c r="AI14" s="66"/>
      <c r="AJ14" s="66" t="str">
        <f>IF(SUIVI_DES_FACTURES[[#This Row],[Paiement Comptant]]&lt;&gt;0,"NON","OUI")</f>
        <v>OUI</v>
      </c>
      <c r="AK14" s="71"/>
      <c r="AL14" s="71"/>
      <c r="AM14" s="72">
        <f>IF(AJ14="","",IF(AJ14="OUI"=TRUE,ROWS($A$5:AI14),""))</f>
        <v>10</v>
      </c>
    </row>
    <row r="15" spans="1:78" ht="15" customHeight="1" x14ac:dyDescent="0.25">
      <c r="A15" s="236" t="s">
        <v>698</v>
      </c>
      <c r="B15" s="73" t="s">
        <v>175</v>
      </c>
      <c r="C15" s="63">
        <v>42268</v>
      </c>
      <c r="D15" s="63">
        <f>IF(SUIVI_DES_FACTURES[[#This Row],[Date facture]]="","",EOMONTH(SUIVI_DES_FACTURES[[#This Row],[Date facture]]+30,0))</f>
        <v>42308</v>
      </c>
      <c r="E15" s="64">
        <v>4862.9399999999996</v>
      </c>
      <c r="F15" s="65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106</v>
      </c>
      <c r="G15" s="64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82.367532054794509</v>
      </c>
      <c r="H15" s="64">
        <f ca="1">IF(SUIVI_DES_FACTURES[[#This Row],[Date facture]]="","",ROUNDDOWN(SUIVI_DES_FACTURES[[#This Row],[Montant TTC]]+SUIVI_DES_FACTURES[[#This Row],[Majoration]],2))</f>
        <v>4945.3</v>
      </c>
      <c r="I15" s="237" t="str">
        <f ca="1"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 ))</f>
        <v>En attente</v>
      </c>
      <c r="J15" s="238"/>
      <c r="K15" s="239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5" s="240" t="str">
        <f ca="1">IFERROR(IF(SUIVI_DES_FACTURES[[#This Row],[▼  Réglée  ▼]]="Validée",SUIVI_DES_FACTURES[[#This Row],[Montant Total Payé]]-SUIVI_DES_FACTURES[[#This Row],[Montant TTC]],""),"")</f>
        <v/>
      </c>
      <c r="M15" s="241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5" s="237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5" s="237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15" s="237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R3</v>
      </c>
      <c r="Q15" s="242">
        <v>220.94</v>
      </c>
      <c r="R15" s="242">
        <v>276.70400000000001</v>
      </c>
      <c r="S15" s="242">
        <v>1100.19</v>
      </c>
      <c r="T15" s="242">
        <v>326.96699999999998</v>
      </c>
      <c r="U15" s="242">
        <f>IF(SUIVI_DES_FACTURES[[#This Row],[Date facture]]="","",ROUNDDOWN(-SUM(-SUIVI_DES_FACTURES[[#This Row],[Montant TTC]],(SUIVI_DES_FACTURES[[#This Row],[TVA 5,5]:[TVA 20]])),2))</f>
        <v>2938.13</v>
      </c>
      <c r="V15" s="240" t="str">
        <f ca="1">IF(SUIVI_DES_FACTURES[[#This Row],[Raison sociale]]="","",VLOOKUP(SUIVI_DES_FACTURES[[#This Row],[Raison sociale]],CLIENTS_PLAGE_CLIENTS,2,FALSE))</f>
        <v>Adresse 11</v>
      </c>
      <c r="W15" s="66">
        <f ca="1">IF(SUIVI_DES_FACTURES[[#This Row],[Raison sociale]]="","",VLOOKUP(SUIVI_DES_FACTURES[[#This Row],[Raison sociale]],CLIENTS_PLAGE_CLIENTS,3,FALSE))</f>
        <v>69120</v>
      </c>
      <c r="X15" s="66" t="str">
        <f ca="1">IF(SUIVI_DES_FACTURES[[#This Row],[Raison sociale]]="","",VLOOKUP(SUIVI_DES_FACTURES[[#This Row],[Raison sociale]],CLIENTS_PLAGE_CLIENTS,4,FALSE))</f>
        <v>VAULX EN VELIN</v>
      </c>
      <c r="Y15" s="66"/>
      <c r="Z15" s="66"/>
      <c r="AA15" s="67"/>
      <c r="AB15" s="67"/>
      <c r="AC15" s="68"/>
      <c r="AD15" s="69"/>
      <c r="AE15" s="69"/>
      <c r="AF15" s="70"/>
      <c r="AG15" s="69"/>
      <c r="AH15" s="66"/>
      <c r="AI15" s="66"/>
      <c r="AJ15" s="66" t="str">
        <f>IF(SUIVI_DES_FACTURES[[#This Row],[Paiement Comptant]]&lt;&gt;0,"NON","OUI")</f>
        <v>OUI</v>
      </c>
      <c r="AK15" s="71"/>
      <c r="AL15" s="71"/>
      <c r="AM15" s="72">
        <f>IF(AJ15="","",IF(AJ15="OUI"=TRUE,ROWS($A$5:AI15),""))</f>
        <v>11</v>
      </c>
    </row>
    <row r="16" spans="1:78" ht="15" customHeight="1" x14ac:dyDescent="0.25">
      <c r="A16" s="236" t="s">
        <v>699</v>
      </c>
      <c r="B16" s="73" t="s">
        <v>176</v>
      </c>
      <c r="C16" s="63">
        <v>42278</v>
      </c>
      <c r="D16" s="63">
        <f>IF(SUIVI_DES_FACTURES[[#This Row],[Date facture]]="","",EOMONTH(SUIVI_DES_FACTURES[[#This Row],[Date facture]]+30,0))</f>
        <v>42308</v>
      </c>
      <c r="E16" s="64">
        <v>7520.99</v>
      </c>
      <c r="F16" s="65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106</v>
      </c>
      <c r="G16" s="64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105.52533753424656</v>
      </c>
      <c r="H16" s="64">
        <f ca="1">IF(SUIVI_DES_FACTURES[[#This Row],[Date facture]]="","",ROUNDDOWN(SUIVI_DES_FACTURES[[#This Row],[Montant TTC]]+SUIVI_DES_FACTURES[[#This Row],[Majoration]],2))</f>
        <v>7626.51</v>
      </c>
      <c r="I16" s="237" t="str">
        <f ca="1"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 ))</f>
        <v>En attente</v>
      </c>
      <c r="J16" s="238"/>
      <c r="K16" s="239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6" s="240" t="str">
        <f ca="1">IFERROR(IF(SUIVI_DES_FACTURES[[#This Row],[▼  Réglée  ▼]]="Validée",SUIVI_DES_FACTURES[[#This Row],[Montant Total Payé]]-SUIVI_DES_FACTURES[[#This Row],[Montant TTC]],""),"")</f>
        <v/>
      </c>
      <c r="M16" s="241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6" s="237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6" s="237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16" s="237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R3</v>
      </c>
      <c r="Q16" s="242">
        <v>157.76</v>
      </c>
      <c r="R16" s="242">
        <v>159.83000000000001</v>
      </c>
      <c r="S16" s="242">
        <v>628.67999999999995</v>
      </c>
      <c r="T16" s="242">
        <v>313.60500000000002</v>
      </c>
      <c r="U16" s="242">
        <f>IF(SUIVI_DES_FACTURES[[#This Row],[Date facture]]="","",ROUNDDOWN(-SUM(-SUIVI_DES_FACTURES[[#This Row],[Montant TTC]],(SUIVI_DES_FACTURES[[#This Row],[TVA 5,5]:[TVA 20]])),2))</f>
        <v>6261.11</v>
      </c>
      <c r="V16" s="240" t="str">
        <f ca="1">IF(SUIVI_DES_FACTURES[[#This Row],[Raison sociale]]="","",VLOOKUP(SUIVI_DES_FACTURES[[#This Row],[Raison sociale]],CLIENTS_PLAGE_CLIENTS,2,FALSE))</f>
        <v>Adresse 12</v>
      </c>
      <c r="W16" s="66">
        <f ca="1">IF(SUIVI_DES_FACTURES[[#This Row],[Raison sociale]]="","",VLOOKUP(SUIVI_DES_FACTURES[[#This Row],[Raison sociale]],CLIENTS_PLAGE_CLIENTS,3,FALSE))</f>
        <v>56000</v>
      </c>
      <c r="X16" s="66" t="str">
        <f ca="1">IF(SUIVI_DES_FACTURES[[#This Row],[Raison sociale]]="","",VLOOKUP(SUIVI_DES_FACTURES[[#This Row],[Raison sociale]],CLIENTS_PLAGE_CLIENTS,4,FALSE))</f>
        <v>VANNES</v>
      </c>
      <c r="Y16" s="66"/>
      <c r="Z16" s="66"/>
      <c r="AA16" s="67"/>
      <c r="AB16" s="67"/>
      <c r="AC16" s="68"/>
      <c r="AD16" s="69"/>
      <c r="AE16" s="69"/>
      <c r="AF16" s="70"/>
      <c r="AG16" s="69"/>
      <c r="AH16" s="66"/>
      <c r="AI16" s="66"/>
      <c r="AJ16" s="66" t="str">
        <f>IF(SUIVI_DES_FACTURES[[#This Row],[Paiement Comptant]]&lt;&gt;0,"NON","OUI")</f>
        <v>OUI</v>
      </c>
      <c r="AK16" s="71"/>
      <c r="AL16" s="71"/>
      <c r="AM16" s="72">
        <f>IF(AJ16="","",IF(AJ16="OUI"=TRUE,ROWS($A$5:AI16),""))</f>
        <v>12</v>
      </c>
    </row>
    <row r="17" spans="1:39" ht="15" customHeight="1" x14ac:dyDescent="0.25">
      <c r="A17" s="236" t="s">
        <v>700</v>
      </c>
      <c r="B17" s="73" t="s">
        <v>177</v>
      </c>
      <c r="C17" s="63">
        <v>42292</v>
      </c>
      <c r="D17" s="63">
        <f>IF(SUIVI_DES_FACTURES[[#This Row],[Date facture]]="","",EOMONTH(SUIVI_DES_FACTURES[[#This Row],[Date facture]]+30,0))</f>
        <v>42338</v>
      </c>
      <c r="E17" s="64">
        <v>6719.25</v>
      </c>
      <c r="F17" s="65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76</v>
      </c>
      <c r="G17" s="64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81.972301369863004</v>
      </c>
      <c r="H17" s="64">
        <f ca="1">IF(SUIVI_DES_FACTURES[[#This Row],[Date facture]]="","",ROUNDDOWN(SUIVI_DES_FACTURES[[#This Row],[Montant TTC]]+SUIVI_DES_FACTURES[[#This Row],[Majoration]],2))</f>
        <v>6801.22</v>
      </c>
      <c r="I17" s="237" t="str">
        <f ca="1"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 ))</f>
        <v>En attente</v>
      </c>
      <c r="J17" s="238"/>
      <c r="K17" s="239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7" s="240" t="str">
        <f ca="1">IFERROR(IF(SUIVI_DES_FACTURES[[#This Row],[▼  Réglée  ▼]]="Validée",SUIVI_DES_FACTURES[[#This Row],[Montant Total Payé]]-SUIVI_DES_FACTURES[[#This Row],[Montant TTC]],""),"")</f>
        <v/>
      </c>
      <c r="M17" s="241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7" s="237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7" s="237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17" s="237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R3</v>
      </c>
      <c r="Q17" s="242">
        <v>159.051428571429</v>
      </c>
      <c r="R17" s="242">
        <v>198.78800000000001</v>
      </c>
      <c r="S17" s="242">
        <v>785.85</v>
      </c>
      <c r="T17" s="242">
        <v>318.05900000000003</v>
      </c>
      <c r="U17" s="242">
        <f>IF(SUIVI_DES_FACTURES[[#This Row],[Date facture]]="","",ROUNDDOWN(-SUM(-SUIVI_DES_FACTURES[[#This Row],[Montant TTC]],(SUIVI_DES_FACTURES[[#This Row],[TVA 5,5]:[TVA 20]])),2))</f>
        <v>5257.5</v>
      </c>
      <c r="V17" s="240" t="str">
        <f ca="1">IF(SUIVI_DES_FACTURES[[#This Row],[Raison sociale]]="","",VLOOKUP(SUIVI_DES_FACTURES[[#This Row],[Raison sociale]],CLIENTS_PLAGE_CLIENTS,2,FALSE))</f>
        <v>Adresse 13</v>
      </c>
      <c r="W17" s="66">
        <f ca="1">IF(SUIVI_DES_FACTURES[[#This Row],[Raison sociale]]="","",VLOOKUP(SUIVI_DES_FACTURES[[#This Row],[Raison sociale]],CLIENTS_PLAGE_CLIENTS,3,FALSE))</f>
        <v>88026</v>
      </c>
      <c r="X17" s="66" t="str">
        <f ca="1">IF(SUIVI_DES_FACTURES[[#This Row],[Raison sociale]]="","",VLOOKUP(SUIVI_DES_FACTURES[[#This Row],[Raison sociale]],CLIENTS_PLAGE_CLIENTS,4,FALSE))</f>
        <v>EPINAL CEDEX</v>
      </c>
      <c r="Y17" s="66"/>
      <c r="Z17" s="66"/>
      <c r="AA17" s="67"/>
      <c r="AB17" s="67"/>
      <c r="AC17" s="68"/>
      <c r="AD17" s="69"/>
      <c r="AE17" s="69"/>
      <c r="AF17" s="70"/>
      <c r="AG17" s="69"/>
      <c r="AH17" s="66"/>
      <c r="AI17" s="66"/>
      <c r="AJ17" s="66" t="str">
        <f>IF(SUIVI_DES_FACTURES[[#This Row],[Paiement Comptant]]&lt;&gt;0,"NON","OUI")</f>
        <v>OUI</v>
      </c>
      <c r="AK17" s="71"/>
      <c r="AL17" s="71"/>
      <c r="AM17" s="72">
        <f>IF(AJ17="","",IF(AJ17="OUI"=TRUE,ROWS($A$5:AI17),""))</f>
        <v>13</v>
      </c>
    </row>
    <row r="18" spans="1:39" ht="15" customHeight="1" x14ac:dyDescent="0.25">
      <c r="A18" s="236" t="s">
        <v>701</v>
      </c>
      <c r="B18" s="73" t="s">
        <v>178</v>
      </c>
      <c r="C18" s="63">
        <v>42307</v>
      </c>
      <c r="D18" s="63">
        <f>IF(SUIVI_DES_FACTURES[[#This Row],[Date facture]]="","",EOMONTH(SUIVI_DES_FACTURES[[#This Row],[Date facture]]+30,0))</f>
        <v>42338</v>
      </c>
      <c r="E18" s="64">
        <v>6012.12</v>
      </c>
      <c r="F18" s="65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76</v>
      </c>
      <c r="G18" s="64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77.555160547945206</v>
      </c>
      <c r="H18" s="64">
        <f ca="1">IF(SUIVI_DES_FACTURES[[#This Row],[Date facture]]="","",ROUNDDOWN(SUIVI_DES_FACTURES[[#This Row],[Montant TTC]]+SUIVI_DES_FACTURES[[#This Row],[Majoration]],2))</f>
        <v>6089.67</v>
      </c>
      <c r="I18" s="237" t="str">
        <f ca="1"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 ))</f>
        <v>En attente</v>
      </c>
      <c r="J18" s="238"/>
      <c r="K18" s="239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8" s="240" t="str">
        <f ca="1">IFERROR(IF(SUIVI_DES_FACTURES[[#This Row],[▼  Réglée  ▼]]="Validée",SUIVI_DES_FACTURES[[#This Row],[Montant Total Payé]]-SUIVI_DES_FACTURES[[#This Row],[Montant TTC]],""),"")</f>
        <v/>
      </c>
      <c r="M18" s="241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8" s="237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8" s="237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18" s="237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R3</v>
      </c>
      <c r="Q18" s="242">
        <v>189.995714285714</v>
      </c>
      <c r="R18" s="242">
        <v>237.74600000000001</v>
      </c>
      <c r="S18" s="242">
        <v>943.02</v>
      </c>
      <c r="T18" s="242">
        <v>322.51299999999998</v>
      </c>
      <c r="U18" s="242">
        <f>IF(SUIVI_DES_FACTURES[[#This Row],[Date facture]]="","",ROUNDDOWN(-SUM(-SUIVI_DES_FACTURES[[#This Row],[Montant TTC]],(SUIVI_DES_FACTURES[[#This Row],[TVA 5,5]:[TVA 20]])),2))</f>
        <v>4318.84</v>
      </c>
      <c r="V18" s="240" t="str">
        <f ca="1">IF(SUIVI_DES_FACTURES[[#This Row],[Raison sociale]]="","",VLOOKUP(SUIVI_DES_FACTURES[[#This Row],[Raison sociale]],CLIENTS_PLAGE_CLIENTS,2,FALSE))</f>
        <v>Adresse 14</v>
      </c>
      <c r="W18" s="66">
        <f ca="1">IF(SUIVI_DES_FACTURES[[#This Row],[Raison sociale]]="","",VLOOKUP(SUIVI_DES_FACTURES[[#This Row],[Raison sociale]],CLIENTS_PLAGE_CLIENTS,3,FALSE))</f>
        <v>69760</v>
      </c>
      <c r="X18" s="66" t="str">
        <f ca="1">IF(SUIVI_DES_FACTURES[[#This Row],[Raison sociale]]="","",VLOOKUP(SUIVI_DES_FACTURES[[#This Row],[Raison sociale]],CLIENTS_PLAGE_CLIENTS,4,FALSE))</f>
        <v>LIMONEST</v>
      </c>
      <c r="Y18" s="66"/>
      <c r="Z18" s="66"/>
      <c r="AA18" s="67"/>
      <c r="AB18" s="67"/>
      <c r="AC18" s="68"/>
      <c r="AD18" s="69"/>
      <c r="AE18" s="69"/>
      <c r="AF18" s="70"/>
      <c r="AG18" s="69"/>
      <c r="AH18" s="66"/>
      <c r="AI18" s="66"/>
      <c r="AJ18" s="66" t="str">
        <f>IF(SUIVI_DES_FACTURES[[#This Row],[Paiement Comptant]]&lt;&gt;0,"NON","OUI")</f>
        <v>OUI</v>
      </c>
      <c r="AK18" s="71"/>
      <c r="AL18" s="71"/>
      <c r="AM18" s="72">
        <f>IF(AJ18="","",IF(AJ18="OUI"=TRUE,ROWS($A$5:AI18),""))</f>
        <v>14</v>
      </c>
    </row>
    <row r="19" spans="1:39" ht="15" customHeight="1" x14ac:dyDescent="0.25">
      <c r="A19" s="236" t="s">
        <v>702</v>
      </c>
      <c r="B19" s="73" t="s">
        <v>179</v>
      </c>
      <c r="C19" s="63">
        <v>42309</v>
      </c>
      <c r="D19" s="63">
        <f>IF(SUIVI_DES_FACTURES[[#This Row],[Date facture]]="","",EOMONTH(SUIVI_DES_FACTURES[[#This Row],[Date facture]]+30,0))</f>
        <v>42369</v>
      </c>
      <c r="E19" s="64">
        <v>8621.9500000000007</v>
      </c>
      <c r="F19" s="65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45</v>
      </c>
      <c r="G19" s="64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9" s="64">
        <f ca="1">IF(SUIVI_DES_FACTURES[[#This Row],[Date facture]]="","",ROUNDDOWN(SUIVI_DES_FACTURES[[#This Row],[Montant TTC]]+SUIVI_DES_FACTURES[[#This Row],[Majoration]],2))</f>
        <v>8621.9500000000007</v>
      </c>
      <c r="I19" s="237" t="str">
        <f ca="1"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 ))</f>
        <v>En attente</v>
      </c>
      <c r="J19" s="238"/>
      <c r="K19" s="239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9" s="240" t="str">
        <f ca="1">IFERROR(IF(SUIVI_DES_FACTURES[[#This Row],[▼  Réglée  ▼]]="Validée",SUIVI_DES_FACTURES[[#This Row],[Montant Total Payé]]-SUIVI_DES_FACTURES[[#This Row],[Montant TTC]],""),"")</f>
        <v/>
      </c>
      <c r="M19" s="241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9" s="237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19" s="237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9" s="237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R1</v>
      </c>
      <c r="Q19" s="242">
        <v>220.94</v>
      </c>
      <c r="R19" s="242">
        <v>276.70400000000001</v>
      </c>
      <c r="S19" s="242">
        <v>1100.19</v>
      </c>
      <c r="T19" s="242">
        <v>326.96699999999998</v>
      </c>
      <c r="U19" s="242">
        <f>IF(SUIVI_DES_FACTURES[[#This Row],[Date facture]]="","",ROUNDDOWN(-SUM(-SUIVI_DES_FACTURES[[#This Row],[Montant TTC]],(SUIVI_DES_FACTURES[[#This Row],[TVA 5,5]:[TVA 20]])),2))</f>
        <v>6697.14</v>
      </c>
      <c r="V19" s="240" t="str">
        <f ca="1">IF(SUIVI_DES_FACTURES[[#This Row],[Raison sociale]]="","",VLOOKUP(SUIVI_DES_FACTURES[[#This Row],[Raison sociale]],CLIENTS_PLAGE_CLIENTS,2,FALSE))</f>
        <v>Adresse 15</v>
      </c>
      <c r="W19" s="66">
        <f ca="1">IF(SUIVI_DES_FACTURES[[#This Row],[Raison sociale]]="","",VLOOKUP(SUIVI_DES_FACTURES[[#This Row],[Raison sociale]],CLIENTS_PLAGE_CLIENTS,3,FALSE))</f>
        <v>95102</v>
      </c>
      <c r="X19" s="66" t="str">
        <f ca="1">IF(SUIVI_DES_FACTURES[[#This Row],[Raison sociale]]="","",VLOOKUP(SUIVI_DES_FACTURES[[#This Row],[Raison sociale]],CLIENTS_PLAGE_CLIENTS,4,FALSE))</f>
        <v>ARGENTEUIL CEDEX</v>
      </c>
      <c r="Y19" s="66"/>
      <c r="Z19" s="66"/>
      <c r="AA19" s="67"/>
      <c r="AB19" s="67"/>
      <c r="AC19" s="68"/>
      <c r="AD19" s="69"/>
      <c r="AE19" s="69"/>
      <c r="AF19" s="70"/>
      <c r="AG19" s="69"/>
      <c r="AH19" s="66"/>
      <c r="AI19" s="66"/>
      <c r="AJ19" s="66" t="str">
        <f>IF(SUIVI_DES_FACTURES[[#This Row],[Paiement Comptant]]&lt;&gt;0,"NON","OUI")</f>
        <v>OUI</v>
      </c>
      <c r="AK19" s="71"/>
      <c r="AL19" s="71"/>
      <c r="AM19" s="72">
        <f>IF(AJ19="","",IF(AJ19="OUI"=TRUE,ROWS($A$5:AI19),""))</f>
        <v>15</v>
      </c>
    </row>
    <row r="20" spans="1:39" ht="15" customHeight="1" x14ac:dyDescent="0.25">
      <c r="A20" s="236" t="s">
        <v>703</v>
      </c>
      <c r="B20" s="73" t="s">
        <v>180</v>
      </c>
      <c r="C20" s="63">
        <v>42309</v>
      </c>
      <c r="D20" s="63">
        <f>IF(SUIVI_DES_FACTURES[[#This Row],[Date facture]]="","",EOMONTH(SUIVI_DES_FACTURES[[#This Row],[Date facture]]+30,0))</f>
        <v>42369</v>
      </c>
      <c r="E20" s="64">
        <v>8731.52</v>
      </c>
      <c r="F20" s="65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45</v>
      </c>
      <c r="G20" s="64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20" s="64">
        <f ca="1">IF(SUIVI_DES_FACTURES[[#This Row],[Date facture]]="","",ROUNDDOWN(SUIVI_DES_FACTURES[[#This Row],[Montant TTC]]+SUIVI_DES_FACTURES[[#This Row],[Majoration]],2))</f>
        <v>8731.52</v>
      </c>
      <c r="I20" s="237" t="str">
        <f ca="1"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 ))</f>
        <v>En attente</v>
      </c>
      <c r="J20" s="238"/>
      <c r="K20" s="239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20" s="240" t="str">
        <f ca="1">IFERROR(IF(SUIVI_DES_FACTURES[[#This Row],[▼  Réglée  ▼]]="Validée",SUIVI_DES_FACTURES[[#This Row],[Montant Total Payé]]-SUIVI_DES_FACTURES[[#This Row],[Montant TTC]],""),"")</f>
        <v/>
      </c>
      <c r="M20" s="241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20" s="237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20" s="237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20" s="237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R1</v>
      </c>
      <c r="Q20" s="242">
        <v>251.88428571428599</v>
      </c>
      <c r="R20" s="242">
        <v>315.66199999999998</v>
      </c>
      <c r="S20" s="242">
        <v>1257.3599999999999</v>
      </c>
      <c r="T20" s="242">
        <v>331.42099999999999</v>
      </c>
      <c r="U20" s="242">
        <f>IF(SUIVI_DES_FACTURES[[#This Row],[Date facture]]="","",ROUNDDOWN(-SUM(-SUIVI_DES_FACTURES[[#This Row],[Montant TTC]],(SUIVI_DES_FACTURES[[#This Row],[TVA 5,5]:[TVA 20]])),2))</f>
        <v>6575.19</v>
      </c>
      <c r="V20" s="240" t="str">
        <f ca="1">IF(SUIVI_DES_FACTURES[[#This Row],[Raison sociale]]="","",VLOOKUP(SUIVI_DES_FACTURES[[#This Row],[Raison sociale]],CLIENTS_PLAGE_CLIENTS,2,FALSE))</f>
        <v>Adresse 16</v>
      </c>
      <c r="W20" s="66">
        <f ca="1">IF(SUIVI_DES_FACTURES[[#This Row],[Raison sociale]]="","",VLOOKUP(SUIVI_DES_FACTURES[[#This Row],[Raison sociale]],CLIENTS_PLAGE_CLIENTS,3,FALSE))</f>
        <v>49290</v>
      </c>
      <c r="X20" s="66" t="str">
        <f ca="1">IF(SUIVI_DES_FACTURES[[#This Row],[Raison sociale]]="","",VLOOKUP(SUIVI_DES_FACTURES[[#This Row],[Raison sociale]],CLIENTS_PLAGE_CLIENTS,4,FALSE))</f>
        <v>ST LAURENT DE LA PLAINE</v>
      </c>
      <c r="Y20" s="66"/>
      <c r="Z20" s="66"/>
      <c r="AA20" s="67"/>
      <c r="AB20" s="67"/>
      <c r="AC20" s="68"/>
      <c r="AD20" s="69"/>
      <c r="AE20" s="69"/>
      <c r="AF20" s="70"/>
      <c r="AG20" s="69"/>
      <c r="AH20" s="66"/>
      <c r="AI20" s="66"/>
      <c r="AJ20" s="66" t="str">
        <f>IF(SUIVI_DES_FACTURES[[#This Row],[Paiement Comptant]]&lt;&gt;0,"NON","OUI")</f>
        <v>OUI</v>
      </c>
      <c r="AK20" s="71"/>
      <c r="AL20" s="71"/>
      <c r="AM20" s="72">
        <f>IF(AJ20="","",IF(AJ20="OUI"=TRUE,ROWS($A$5:AI20),""))</f>
        <v>16</v>
      </c>
    </row>
    <row r="21" spans="1:39" ht="15" customHeight="1" x14ac:dyDescent="0.25">
      <c r="A21" s="236" t="s">
        <v>704</v>
      </c>
      <c r="B21" s="73" t="s">
        <v>181</v>
      </c>
      <c r="C21" s="63">
        <v>42338</v>
      </c>
      <c r="D21" s="63">
        <f>IF(SUIVI_DES_FACTURES[[#This Row],[Date facture]]="","",EOMONTH(SUIVI_DES_FACTURES[[#This Row],[Date facture]]+30,0))</f>
        <v>42369</v>
      </c>
      <c r="E21" s="64">
        <v>6805.3826785714273</v>
      </c>
      <c r="F21" s="65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45</v>
      </c>
      <c r="G21" s="64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21" s="64">
        <f ca="1">IF(SUIVI_DES_FACTURES[[#This Row],[Date facture]]="","",ROUNDDOWN(SUIVI_DES_FACTURES[[#This Row],[Montant TTC]]+SUIVI_DES_FACTURES[[#This Row],[Majoration]],2))</f>
        <v>6805.38</v>
      </c>
      <c r="I21" s="237" t="str">
        <f ca="1"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 ))</f>
        <v>En attente</v>
      </c>
      <c r="J21" s="238"/>
      <c r="K21" s="239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21" s="240" t="str">
        <f ca="1">IFERROR(IF(SUIVI_DES_FACTURES[[#This Row],[▼  Réglée  ▼]]="Validée",SUIVI_DES_FACTURES[[#This Row],[Montant Total Payé]]-SUIVI_DES_FACTURES[[#This Row],[Montant TTC]],""),"")</f>
        <v/>
      </c>
      <c r="M21" s="241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21" s="237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21" s="237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21" s="237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R1</v>
      </c>
      <c r="Q21" s="242">
        <v>282.82857142857102</v>
      </c>
      <c r="R21" s="242">
        <v>354.62</v>
      </c>
      <c r="S21" s="242">
        <v>1414.53</v>
      </c>
      <c r="T21" s="242">
        <v>335.875</v>
      </c>
      <c r="U21" s="242">
        <f>IF(SUIVI_DES_FACTURES[[#This Row],[Date facture]]="","",ROUNDDOWN(-SUM(-SUIVI_DES_FACTURES[[#This Row],[Montant TTC]],(SUIVI_DES_FACTURES[[#This Row],[TVA 5,5]:[TVA 20]])),2))</f>
        <v>4417.5200000000004</v>
      </c>
      <c r="V21" s="240" t="str">
        <f ca="1">IF(SUIVI_DES_FACTURES[[#This Row],[Raison sociale]]="","",VLOOKUP(SUIVI_DES_FACTURES[[#This Row],[Raison sociale]],CLIENTS_PLAGE_CLIENTS,2,FALSE))</f>
        <v>Adresse 17</v>
      </c>
      <c r="W21" s="66">
        <f ca="1">IF(SUIVI_DES_FACTURES[[#This Row],[Raison sociale]]="","",VLOOKUP(SUIVI_DES_FACTURES[[#This Row],[Raison sociale]],CLIENTS_PLAGE_CLIENTS,3,FALSE))</f>
        <v>13810</v>
      </c>
      <c r="X21" s="66" t="str">
        <f ca="1">IF(SUIVI_DES_FACTURES[[#This Row],[Raison sociale]]="","",VLOOKUP(SUIVI_DES_FACTURES[[#This Row],[Raison sociale]],CLIENTS_PLAGE_CLIENTS,4,FALSE))</f>
        <v>EYGALIERES</v>
      </c>
      <c r="Y21" s="66"/>
      <c r="Z21" s="66"/>
      <c r="AA21" s="67"/>
      <c r="AB21" s="67"/>
      <c r="AC21" s="68"/>
      <c r="AD21" s="69"/>
      <c r="AE21" s="69"/>
      <c r="AF21" s="70"/>
      <c r="AG21" s="69"/>
      <c r="AH21" s="66"/>
      <c r="AI21" s="66"/>
      <c r="AJ21" s="66" t="str">
        <f>IF(SUIVI_DES_FACTURES[[#This Row],[Paiement Comptant]]&lt;&gt;0,"NON","OUI")</f>
        <v>OUI</v>
      </c>
      <c r="AK21" s="71"/>
      <c r="AL21" s="71"/>
      <c r="AM21" s="72">
        <f>IF(AJ21="","",IF(AJ21="OUI"=TRUE,ROWS($A$5:AI21),""))</f>
        <v>17</v>
      </c>
    </row>
    <row r="22" spans="1:39" ht="15" customHeight="1" x14ac:dyDescent="0.25">
      <c r="A22" s="236" t="s">
        <v>705</v>
      </c>
      <c r="B22" s="73" t="s">
        <v>182</v>
      </c>
      <c r="C22" s="63">
        <v>42343</v>
      </c>
      <c r="D22" s="63">
        <f>IF(SUIVI_DES_FACTURES[[#This Row],[Date facture]]="","",EOMONTH(SUIVI_DES_FACTURES[[#This Row],[Date facture]]+30,0))</f>
        <v>42400</v>
      </c>
      <c r="E22" s="64">
        <v>7465.2325928571445</v>
      </c>
      <c r="F22" s="65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14</v>
      </c>
      <c r="G22" s="64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22" s="64">
        <f ca="1">IF(SUIVI_DES_FACTURES[[#This Row],[Date facture]]="","",ROUNDDOWN(SUIVI_DES_FACTURES[[#This Row],[Montant TTC]]+SUIVI_DES_FACTURES[[#This Row],[Majoration]],2))</f>
        <v>7465.23</v>
      </c>
      <c r="I22" s="237" t="str">
        <f ca="1">IF(SUIVI_DES_FACTURES[[#This Row],[Raison sociale]]="","",IF(SUIVI_DES_FACTURES[[#This Row],[Montant TTC]]=SUIVI_DES_FACTURES[[#This Row],[Paiement Comptant]],"Validée",IF(AND(SUIVI_DES_FACTURES[[#This Row],[Date du Règlement]]&lt;=$B$1,SUIVI_DES_FACTURES[[#This Row],[Date du Règlement]]&lt;&gt;""),"Validée",IF(AND(SUIVI_DES_FACTURES[[#This Row],[Montant TTC]]&gt;=SUIVI_DES_FACTURES[[#This Row],[Paiement Différé]],SUIVI_DES_FACTURES[[#This Row],[Date du Règlement]]&lt;&gt;""),"En cours","En attente")) ))</f>
        <v>En attente</v>
      </c>
      <c r="J22" s="238"/>
      <c r="K22" s="239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22" s="240" t="str">
        <f ca="1">IFERROR(IF(SUIVI_DES_FACTURES[[#This Row],[▼  Réglée  ▼]]="Validée",SUIVI_DES_FACTURES[[#This Row],[Montant Total Payé]]-SUIVI_DES_FACTURES[[#This Row],[Montant TTC]],""),"")</f>
        <v/>
      </c>
      <c r="M22" s="241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22" s="237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22" s="237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22" s="237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/>
      </c>
      <c r="Q22" s="242">
        <v>313.77285714285699</v>
      </c>
      <c r="R22" s="242">
        <v>393.57799999999997</v>
      </c>
      <c r="S22" s="242">
        <v>1571.7</v>
      </c>
      <c r="T22" s="242">
        <v>340.32900000000001</v>
      </c>
      <c r="U22" s="242">
        <f>IF(SUIVI_DES_FACTURES[[#This Row],[Date facture]]="","",ROUNDDOWN(-SUM(-SUIVI_DES_FACTURES[[#This Row],[Montant TTC]],(SUIVI_DES_FACTURES[[#This Row],[TVA 5,5]:[TVA 20]])),2))</f>
        <v>4845.8500000000004</v>
      </c>
      <c r="V22" s="240" t="str">
        <f ca="1">IF(SUIVI_DES_FACTURES[[#This Row],[Raison sociale]]="","",VLOOKUP(SUIVI_DES_FACTURES[[#This Row],[Raison sociale]],CLIENTS_PLAGE_CLIENTS,2,FALSE))</f>
        <v>Adresse 18</v>
      </c>
      <c r="W22" s="66">
        <f ca="1">IF(SUIVI_DES_FACTURES[[#This Row],[Raison sociale]]="","",VLOOKUP(SUIVI_DES_FACTURES[[#This Row],[Raison sociale]],CLIENTS_PLAGE_CLIENTS,3,FALSE))</f>
        <v>59780</v>
      </c>
      <c r="X22" s="66" t="str">
        <f ca="1">IF(SUIVI_DES_FACTURES[[#This Row],[Raison sociale]]="","",VLOOKUP(SUIVI_DES_FACTURES[[#This Row],[Raison sociale]],CLIENTS_PLAGE_CLIENTS,4,FALSE))</f>
        <v>WILLEMS</v>
      </c>
      <c r="Y22" s="66"/>
      <c r="Z22" s="66"/>
      <c r="AA22" s="67"/>
      <c r="AB22" s="67"/>
      <c r="AC22" s="68"/>
      <c r="AD22" s="69"/>
      <c r="AE22" s="69"/>
      <c r="AF22" s="70"/>
      <c r="AG22" s="69"/>
      <c r="AH22" s="66"/>
      <c r="AI22" s="66"/>
      <c r="AJ22" s="66" t="str">
        <f>IF(SUIVI_DES_FACTURES[[#This Row],[Paiement Comptant]]&lt;&gt;0,"NON","OUI")</f>
        <v>OUI</v>
      </c>
      <c r="AK22" s="71"/>
      <c r="AL22" s="71"/>
      <c r="AM22" s="72">
        <f>IF(AJ22="","",IF(AJ22="OUI"=TRUE,ROWS($A$5:AI22),""))</f>
        <v>18</v>
      </c>
    </row>
    <row r="23" spans="1:39" ht="15" customHeight="1" x14ac:dyDescent="0.25">
      <c r="A23" s="243"/>
      <c r="B23" s="244"/>
      <c r="C23" s="244"/>
      <c r="E23" s="245"/>
      <c r="J23" s="246"/>
      <c r="Q23" s="247"/>
      <c r="R23" s="247"/>
      <c r="S23" s="247"/>
      <c r="T23" s="247"/>
    </row>
  </sheetData>
  <mergeCells count="1">
    <mergeCell ref="C1:D1"/>
  </mergeCells>
  <conditionalFormatting sqref="M1 M4:M1048576">
    <cfRule type="cellIs" dxfId="62" priority="16" operator="equal">
      <formula>"Relance1"</formula>
    </cfRule>
  </conditionalFormatting>
  <conditionalFormatting sqref="N1 N4:N1048576">
    <cfRule type="cellIs" dxfId="61" priority="15" operator="equal">
      <formula>"Relance2"</formula>
    </cfRule>
  </conditionalFormatting>
  <conditionalFormatting sqref="O1 O4:O1048576">
    <cfRule type="cellIs" dxfId="60" priority="14" operator="equal">
      <formula>"Relance3"</formula>
    </cfRule>
  </conditionalFormatting>
  <conditionalFormatting sqref="P1 P4:P1048576">
    <cfRule type="cellIs" dxfId="59" priority="2" operator="equal">
      <formula>"Dans les temps"</formula>
    </cfRule>
    <cfRule type="cellIs" dxfId="58" priority="3" operator="equal">
      <formula>"A Surveiller"</formula>
    </cfRule>
    <cfRule type="cellIs" dxfId="57" priority="11" operator="equal">
      <formula>"R3"</formula>
    </cfRule>
    <cfRule type="cellIs" dxfId="56" priority="12" operator="equal">
      <formula>"R2"</formula>
    </cfRule>
    <cfRule type="cellIs" dxfId="55" priority="13" operator="equal">
      <formula>"R1"</formula>
    </cfRule>
  </conditionalFormatting>
  <conditionalFormatting sqref="AJ1 AJ4:AJ1048576">
    <cfRule type="cellIs" dxfId="54" priority="9" operator="equal">
      <formula>"NON"</formula>
    </cfRule>
    <cfRule type="cellIs" dxfId="53" priority="10" operator="equal">
      <formula>"OUI"</formula>
    </cfRule>
  </conditionalFormatting>
  <conditionalFormatting sqref="Y1:Y2 X2 Y4:Y1048576 AA2 AC2 AE2 AG2 AI2 AK2 AM2 L2 N2 P2 R2 T2 V2 A2 C2 E2 G2 I2:J2">
    <cfRule type="cellIs" dxfId="52" priority="4" operator="equal">
      <formula>"PAYPAL"</formula>
    </cfRule>
    <cfRule type="cellIs" dxfId="51" priority="5" operator="equal">
      <formula>"CHEQUES"</formula>
    </cfRule>
    <cfRule type="cellIs" dxfId="50" priority="6" operator="equal">
      <formula>"VIREMENT"</formula>
    </cfRule>
    <cfRule type="cellIs" dxfId="49" priority="7" operator="equal">
      <formula>"ESPECES"</formula>
    </cfRule>
    <cfRule type="cellIs" dxfId="48" priority="8" operator="equal">
      <formula>"CB"</formula>
    </cfRule>
  </conditionalFormatting>
  <conditionalFormatting sqref="AK5:AK99999">
    <cfRule type="notContainsBlanks" dxfId="47" priority="19">
      <formula>LEN(TRIM(AK5))&gt;0</formula>
    </cfRule>
  </conditionalFormatting>
  <conditionalFormatting sqref="AL5:AL99999">
    <cfRule type="notContainsBlanks" dxfId="46" priority="20">
      <formula>LEN(TRIM(AL5))&gt;0</formula>
    </cfRule>
  </conditionalFormatting>
  <conditionalFormatting sqref="I1 I4:I1048576">
    <cfRule type="containsText" dxfId="45" priority="1" operator="containsText" text="En Cours">
      <formula>NOT(ISERROR(SEARCH("En Cours",I1)))</formula>
    </cfRule>
    <cfRule type="cellIs" dxfId="44" priority="17" operator="equal">
      <formula>"Validée"</formula>
    </cfRule>
    <cfRule type="cellIs" dxfId="43" priority="18" operator="equal">
      <formula>"En attente"</formula>
    </cfRule>
  </conditionalFormatting>
  <pageMargins left="0.7" right="0.7" top="0.75" bottom="0.75" header="0.3" footer="0.3"/>
  <pageSetup paperSize="9" scale="27" orientation="landscape" horizontalDpi="4294967293" verticalDpi="0" r:id="rId1"/>
  <colBreaks count="1" manualBreakCount="1">
    <brk id="21" max="38" man="1"/>
  </colBreaks>
  <drawing r:id="rId2"/>
  <legacyDrawing r:id="rId3"/>
  <controls>
    <mc:AlternateContent xmlns:mc="http://schemas.openxmlformats.org/markup-compatibility/2006">
      <mc:Choice Requires="x14">
        <control shapeId="13316" r:id="rId4" name="CheckBox1">
          <controlPr defaultSize="0" autoFill="0" autoLine="0" r:id="rId5">
            <anchor>
              <from>
                <xdr:col>0</xdr:col>
                <xdr:colOff>0</xdr:colOff>
                <xdr:row>1</xdr:row>
                <xdr:rowOff>57150</xdr:rowOff>
              </from>
              <to>
                <xdr:col>0</xdr:col>
                <xdr:colOff>1114425</xdr:colOff>
                <xdr:row>3</xdr:row>
                <xdr:rowOff>0</xdr:rowOff>
              </to>
            </anchor>
          </controlPr>
        </control>
      </mc:Choice>
      <mc:Fallback>
        <control shapeId="13316" r:id="rId4" name="CheckBox1"/>
      </mc:Fallback>
    </mc:AlternateContent>
    <mc:AlternateContent xmlns:mc="http://schemas.openxmlformats.org/markup-compatibility/2006">
      <mc:Choice Requires="x14">
        <control shapeId="13315" r:id="rId6" name="CmdB_Quitter">
          <controlPr defaultSize="0" autoFill="0" autoLine="0" autoPict="0" r:id="rId7">
            <anchor>
              <from>
                <xdr:col>3</xdr:col>
                <xdr:colOff>638175</xdr:colOff>
                <xdr:row>1</xdr:row>
                <xdr:rowOff>9525</xdr:rowOff>
              </from>
              <to>
                <xdr:col>4</xdr:col>
                <xdr:colOff>1038225</xdr:colOff>
                <xdr:row>3</xdr:row>
                <xdr:rowOff>9525</xdr:rowOff>
              </to>
            </anchor>
          </controlPr>
        </control>
      </mc:Choice>
      <mc:Fallback>
        <control shapeId="13315" r:id="rId6" name="CmdB_Quitter"/>
      </mc:Fallback>
    </mc:AlternateContent>
    <mc:AlternateContent xmlns:mc="http://schemas.openxmlformats.org/markup-compatibility/2006">
      <mc:Choice Requires="x14">
        <control shapeId="13314" r:id="rId8" name="CmdB_Paiement">
          <controlPr defaultSize="0" autoFill="0" autoLine="0" r:id="rId9">
            <anchor>
              <from>
                <xdr:col>2</xdr:col>
                <xdr:colOff>238125</xdr:colOff>
                <xdr:row>1</xdr:row>
                <xdr:rowOff>9525</xdr:rowOff>
              </from>
              <to>
                <xdr:col>3</xdr:col>
                <xdr:colOff>647700</xdr:colOff>
                <xdr:row>3</xdr:row>
                <xdr:rowOff>9525</xdr:rowOff>
              </to>
            </anchor>
          </controlPr>
        </control>
      </mc:Choice>
      <mc:Fallback>
        <control shapeId="13314" r:id="rId8" name="CmdB_Paiement"/>
      </mc:Fallback>
    </mc:AlternateContent>
    <mc:AlternateContent xmlns:mc="http://schemas.openxmlformats.org/markup-compatibility/2006">
      <mc:Choice Requires="x14">
        <control shapeId="13313" r:id="rId10" name="CmdB_Accueil">
          <controlPr defaultSize="0" autoFill="0" autoLine="0" r:id="rId11">
            <anchor>
              <from>
                <xdr:col>0</xdr:col>
                <xdr:colOff>1266825</xdr:colOff>
                <xdr:row>1</xdr:row>
                <xdr:rowOff>9525</xdr:rowOff>
              </from>
              <to>
                <xdr:col>2</xdr:col>
                <xdr:colOff>257175</xdr:colOff>
                <xdr:row>3</xdr:row>
                <xdr:rowOff>9525</xdr:rowOff>
              </to>
            </anchor>
          </controlPr>
        </control>
      </mc:Choice>
      <mc:Fallback>
        <control shapeId="13313" r:id="rId10" name="CmdB_Accueil"/>
      </mc:Fallback>
    </mc:AlternateContent>
  </controls>
  <tableParts count="1">
    <tablePart r:id="rId1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003">
    <tabColor rgb="FFD3FD03"/>
  </sheetPr>
  <dimension ref="A1:AT31"/>
  <sheetViews>
    <sheetView showRowColHeaders="0" defaultGridColor="0" topLeftCell="A23" colorId="18" workbookViewId="0">
      <selection activeCell="L36" sqref="L36"/>
    </sheetView>
  </sheetViews>
  <sheetFormatPr baseColWidth="10" defaultRowHeight="15" x14ac:dyDescent="0.25"/>
  <cols>
    <col min="1" max="1" width="11.42578125" style="127"/>
    <col min="2" max="2" width="0.7109375" style="110" customWidth="1"/>
    <col min="3" max="3" width="11.42578125" style="147"/>
    <col min="4" max="4" width="27.85546875" style="110" customWidth="1"/>
    <col min="5" max="5" width="0.7109375" style="110" customWidth="1"/>
    <col min="6" max="6" width="11.42578125" style="128"/>
    <col min="7" max="7" width="0.7109375" style="110" customWidth="1"/>
    <col min="8" max="8" width="11.42578125" style="110"/>
    <col min="9" max="9" width="0.7109375" style="110" customWidth="1"/>
    <col min="10" max="10" width="11.42578125" style="132"/>
    <col min="11" max="11" width="0.7109375" style="110" customWidth="1"/>
    <col min="12" max="12" width="11.42578125" style="110"/>
    <col min="13" max="13" width="77.140625" style="110" customWidth="1"/>
    <col min="14" max="14" width="0.7109375" style="110" customWidth="1"/>
    <col min="15" max="15" width="5.42578125" style="138" customWidth="1"/>
    <col min="16" max="16" width="26.5703125" style="110" customWidth="1"/>
    <col min="17" max="17" width="33.85546875" style="110" customWidth="1"/>
    <col min="18" max="18" width="22.85546875" style="110" customWidth="1"/>
    <col min="19" max="19" width="0.7109375" style="110" customWidth="1"/>
    <col min="20" max="20" width="12.5703125" style="110" customWidth="1"/>
    <col min="21" max="21" width="0.7109375" style="110" customWidth="1"/>
    <col min="22" max="22" width="15.7109375" style="110" customWidth="1"/>
    <col min="23" max="23" width="0.7109375" style="110" customWidth="1"/>
    <col min="24" max="24" width="33" style="110" customWidth="1"/>
    <col min="25" max="25" width="0.7109375" style="110" customWidth="1"/>
    <col min="26" max="26" width="24.28515625" style="110" customWidth="1"/>
    <col min="27" max="27" width="0.7109375" style="110" customWidth="1"/>
    <col min="28" max="28" width="17.85546875" style="110" customWidth="1"/>
    <col min="29" max="29" width="0.7109375" style="110" customWidth="1"/>
    <col min="30" max="30" width="24.5703125" style="110" customWidth="1"/>
    <col min="31" max="31" width="0.7109375" style="110" customWidth="1"/>
    <col min="32" max="32" width="21.28515625" style="110" customWidth="1"/>
    <col min="33" max="33" width="0.7109375" style="110" customWidth="1"/>
    <col min="34" max="34" width="18.85546875" style="110" customWidth="1"/>
    <col min="35" max="35" width="0.7109375" style="110" customWidth="1"/>
    <col min="36" max="36" width="16.28515625" style="110" customWidth="1"/>
    <col min="37" max="37" width="0.7109375" style="110" customWidth="1"/>
    <col min="38" max="38" width="16.42578125" style="110" customWidth="1"/>
    <col min="39" max="39" width="17" style="110" customWidth="1"/>
    <col min="40" max="40" width="0.7109375" style="110" customWidth="1"/>
    <col min="41" max="41" width="15.140625" style="110" customWidth="1"/>
    <col min="42" max="42" width="0.7109375" style="110" customWidth="1"/>
    <col min="43" max="44" width="11.42578125" style="110"/>
    <col min="45" max="45" width="0.7109375" style="110" customWidth="1"/>
    <col min="46" max="46" width="11.42578125" style="110" customWidth="1"/>
    <col min="47" max="47" width="0.7109375" style="110" customWidth="1"/>
    <col min="48" max="16384" width="11.42578125" style="110"/>
  </cols>
  <sheetData>
    <row r="1" spans="1:46" x14ac:dyDescent="0.25">
      <c r="A1" s="97" t="s">
        <v>325</v>
      </c>
      <c r="B1" s="98"/>
      <c r="C1" s="144" t="s">
        <v>139</v>
      </c>
      <c r="D1" s="99" t="s">
        <v>140</v>
      </c>
      <c r="E1" s="98"/>
      <c r="F1" s="100" t="s">
        <v>326</v>
      </c>
      <c r="G1" s="98"/>
      <c r="H1" s="101" t="s">
        <v>327</v>
      </c>
      <c r="I1" s="98"/>
      <c r="J1" s="102" t="s">
        <v>328</v>
      </c>
      <c r="K1" s="98"/>
      <c r="L1" s="103" t="s">
        <v>329</v>
      </c>
      <c r="M1" s="104" t="s">
        <v>330</v>
      </c>
      <c r="N1" s="98"/>
      <c r="O1" s="105" t="s">
        <v>331</v>
      </c>
      <c r="P1" s="106" t="s">
        <v>332</v>
      </c>
      <c r="Q1" s="107" t="s">
        <v>333</v>
      </c>
      <c r="R1" s="108" t="s">
        <v>334</v>
      </c>
      <c r="S1" s="98"/>
      <c r="T1" s="109" t="s">
        <v>335</v>
      </c>
      <c r="V1" s="109" t="s">
        <v>336</v>
      </c>
      <c r="W1" s="98"/>
      <c r="X1" s="109" t="s">
        <v>337</v>
      </c>
      <c r="Y1" s="98"/>
      <c r="Z1" s="109" t="s">
        <v>338</v>
      </c>
      <c r="AA1" s="98"/>
      <c r="AB1" s="109" t="s">
        <v>339</v>
      </c>
      <c r="AC1" s="98"/>
      <c r="AD1" s="109" t="s">
        <v>340</v>
      </c>
      <c r="AE1" s="98"/>
      <c r="AF1" s="109" t="s">
        <v>341</v>
      </c>
      <c r="AG1" s="98"/>
      <c r="AH1" s="109" t="s">
        <v>342</v>
      </c>
      <c r="AI1" s="98"/>
      <c r="AJ1" s="109" t="s">
        <v>343</v>
      </c>
      <c r="AK1" s="98"/>
      <c r="AL1" s="103" t="s">
        <v>344</v>
      </c>
      <c r="AM1" s="104" t="s">
        <v>345</v>
      </c>
      <c r="AN1" s="98"/>
      <c r="AO1" s="109" t="s">
        <v>346</v>
      </c>
      <c r="AP1" s="98"/>
      <c r="AQ1" s="321" t="s">
        <v>347</v>
      </c>
      <c r="AR1" s="321"/>
      <c r="AT1" s="109"/>
    </row>
    <row r="2" spans="1:46" x14ac:dyDescent="0.25">
      <c r="A2" s="111">
        <v>0.2</v>
      </c>
      <c r="C2" s="145" t="s">
        <v>348</v>
      </c>
      <c r="D2" s="112" t="s">
        <v>349</v>
      </c>
      <c r="F2" s="113">
        <v>0</v>
      </c>
      <c r="H2" s="114" t="s">
        <v>350</v>
      </c>
      <c r="J2" s="115">
        <v>0.1</v>
      </c>
      <c r="L2" s="116" t="s">
        <v>351</v>
      </c>
      <c r="M2" s="117" t="s">
        <v>352</v>
      </c>
      <c r="O2" s="118">
        <v>1</v>
      </c>
      <c r="P2" s="119" t="s">
        <v>353</v>
      </c>
      <c r="Q2" s="119" t="s">
        <v>354</v>
      </c>
      <c r="R2" s="117" t="s">
        <v>355</v>
      </c>
      <c r="T2" s="120">
        <v>0</v>
      </c>
      <c r="V2" s="120" t="s">
        <v>356</v>
      </c>
      <c r="X2" s="120" t="s">
        <v>357</v>
      </c>
      <c r="Z2" s="120" t="s">
        <v>358</v>
      </c>
      <c r="AB2" s="120" t="s">
        <v>359</v>
      </c>
      <c r="AD2" s="120" t="s">
        <v>360</v>
      </c>
      <c r="AF2" s="120" t="s">
        <v>361</v>
      </c>
      <c r="AH2" s="120" t="s">
        <v>362</v>
      </c>
      <c r="AJ2" s="120" t="s">
        <v>363</v>
      </c>
      <c r="AL2" s="116" t="s">
        <v>364</v>
      </c>
      <c r="AM2" s="117" t="s">
        <v>365</v>
      </c>
      <c r="AO2" s="120" t="s">
        <v>366</v>
      </c>
      <c r="AQ2" s="250" t="s">
        <v>367</v>
      </c>
      <c r="AR2" s="251">
        <v>0</v>
      </c>
      <c r="AT2" s="120"/>
    </row>
    <row r="3" spans="1:46" x14ac:dyDescent="0.25">
      <c r="A3" s="111">
        <v>0.1</v>
      </c>
      <c r="C3" s="146" t="s">
        <v>348</v>
      </c>
      <c r="D3" s="117" t="s">
        <v>368</v>
      </c>
      <c r="F3" s="113">
        <v>30</v>
      </c>
      <c r="H3" s="121" t="s">
        <v>369</v>
      </c>
      <c r="J3" s="115">
        <v>7.0000000000000007E-2</v>
      </c>
      <c r="L3" s="116" t="s">
        <v>370</v>
      </c>
      <c r="M3" s="117" t="s">
        <v>371</v>
      </c>
      <c r="O3" s="118">
        <v>2</v>
      </c>
      <c r="P3" s="119" t="s">
        <v>372</v>
      </c>
      <c r="Q3" s="119" t="s">
        <v>373</v>
      </c>
      <c r="R3" s="117" t="s">
        <v>374</v>
      </c>
      <c r="T3" s="120">
        <v>6</v>
      </c>
      <c r="V3" s="120" t="s">
        <v>375</v>
      </c>
      <c r="X3" s="120" t="s">
        <v>376</v>
      </c>
      <c r="Z3" s="120" t="s">
        <v>377</v>
      </c>
      <c r="AB3" s="120" t="s">
        <v>378</v>
      </c>
      <c r="AD3" s="120" t="s">
        <v>379</v>
      </c>
      <c r="AF3" s="120" t="s">
        <v>380</v>
      </c>
      <c r="AH3" s="120" t="s">
        <v>381</v>
      </c>
      <c r="AJ3" s="120" t="s">
        <v>382</v>
      </c>
      <c r="AL3" s="116" t="s">
        <v>383</v>
      </c>
      <c r="AM3" s="117" t="s">
        <v>384</v>
      </c>
      <c r="AO3" s="120" t="s">
        <v>385</v>
      </c>
      <c r="AQ3" s="250" t="s">
        <v>386</v>
      </c>
      <c r="AR3" s="251">
        <v>1</v>
      </c>
      <c r="AT3" s="120"/>
    </row>
    <row r="4" spans="1:46" x14ac:dyDescent="0.25">
      <c r="A4" s="111">
        <v>7.0000000000000007E-2</v>
      </c>
      <c r="C4" s="146" t="s">
        <v>348</v>
      </c>
      <c r="D4" s="117" t="s">
        <v>387</v>
      </c>
      <c r="F4" s="113">
        <v>45</v>
      </c>
      <c r="H4" s="122" t="s">
        <v>388</v>
      </c>
      <c r="J4" s="115">
        <v>0.05</v>
      </c>
      <c r="L4" s="116" t="s">
        <v>389</v>
      </c>
      <c r="M4" s="117" t="s">
        <v>390</v>
      </c>
      <c r="O4" s="118">
        <v>3</v>
      </c>
      <c r="P4" s="119" t="s">
        <v>391</v>
      </c>
      <c r="Q4" s="119" t="s">
        <v>392</v>
      </c>
      <c r="R4" s="117" t="s">
        <v>355</v>
      </c>
      <c r="T4" s="120">
        <v>11</v>
      </c>
      <c r="V4" s="120" t="s">
        <v>393</v>
      </c>
      <c r="X4" s="120" t="s">
        <v>394</v>
      </c>
      <c r="Z4" s="120" t="s">
        <v>395</v>
      </c>
      <c r="AB4" s="120" t="s">
        <v>396</v>
      </c>
      <c r="AD4" s="120" t="s">
        <v>397</v>
      </c>
      <c r="AF4" s="120" t="s">
        <v>398</v>
      </c>
      <c r="AH4" s="120" t="s">
        <v>399</v>
      </c>
      <c r="AJ4" s="120" t="s">
        <v>400</v>
      </c>
      <c r="AL4" s="116" t="s">
        <v>401</v>
      </c>
      <c r="AM4" s="117" t="s">
        <v>402</v>
      </c>
      <c r="AO4" s="123" t="s">
        <v>403</v>
      </c>
      <c r="AQ4" s="250" t="s">
        <v>404</v>
      </c>
      <c r="AR4" s="251">
        <v>2</v>
      </c>
      <c r="AT4" s="123"/>
    </row>
    <row r="5" spans="1:46" x14ac:dyDescent="0.25">
      <c r="A5" s="124">
        <v>5.5E-2</v>
      </c>
      <c r="C5" s="146" t="s">
        <v>405</v>
      </c>
      <c r="D5" s="117" t="s">
        <v>406</v>
      </c>
      <c r="F5" s="125">
        <v>60</v>
      </c>
      <c r="H5" s="126" t="s">
        <v>407</v>
      </c>
      <c r="J5" s="115">
        <v>0.03</v>
      </c>
      <c r="L5" s="116" t="s">
        <v>408</v>
      </c>
      <c r="M5" s="117" t="s">
        <v>409</v>
      </c>
      <c r="O5" s="118">
        <v>4</v>
      </c>
      <c r="P5" s="119" t="s">
        <v>410</v>
      </c>
      <c r="Q5" s="119" t="s">
        <v>411</v>
      </c>
      <c r="R5" s="117" t="s">
        <v>355</v>
      </c>
      <c r="T5" s="120">
        <v>21</v>
      </c>
      <c r="V5" s="120" t="s">
        <v>412</v>
      </c>
      <c r="X5" s="120" t="s">
        <v>413</v>
      </c>
      <c r="Z5" s="120" t="s">
        <v>414</v>
      </c>
      <c r="AB5" s="120" t="s">
        <v>415</v>
      </c>
      <c r="AD5" s="120" t="s">
        <v>416</v>
      </c>
      <c r="AF5" s="120" t="s">
        <v>417</v>
      </c>
      <c r="AH5" s="120" t="s">
        <v>418</v>
      </c>
      <c r="AJ5" s="120" t="s">
        <v>419</v>
      </c>
      <c r="AL5" s="116" t="s">
        <v>420</v>
      </c>
      <c r="AM5" s="117" t="s">
        <v>421</v>
      </c>
      <c r="AQ5" s="250" t="s">
        <v>422</v>
      </c>
      <c r="AR5" s="251">
        <v>3</v>
      </c>
    </row>
    <row r="6" spans="1:46" x14ac:dyDescent="0.25">
      <c r="C6" s="146" t="s">
        <v>405</v>
      </c>
      <c r="D6" s="117" t="s">
        <v>423</v>
      </c>
      <c r="H6" s="129" t="s">
        <v>424</v>
      </c>
      <c r="J6" s="130">
        <v>0.02</v>
      </c>
      <c r="L6" s="116" t="s">
        <v>425</v>
      </c>
      <c r="M6" s="117" t="s">
        <v>426</v>
      </c>
      <c r="O6" s="118">
        <v>5</v>
      </c>
      <c r="P6" s="119" t="s">
        <v>427</v>
      </c>
      <c r="Q6" s="119" t="s">
        <v>428</v>
      </c>
      <c r="R6" s="117" t="s">
        <v>355</v>
      </c>
      <c r="T6" s="120">
        <v>31</v>
      </c>
      <c r="V6" s="120" t="s">
        <v>429</v>
      </c>
      <c r="X6" s="120" t="s">
        <v>430</v>
      </c>
      <c r="Z6" s="120" t="s">
        <v>431</v>
      </c>
      <c r="AB6" s="120" t="s">
        <v>432</v>
      </c>
      <c r="AD6" s="120" t="s">
        <v>433</v>
      </c>
      <c r="AF6" s="120" t="s">
        <v>434</v>
      </c>
      <c r="AH6" s="123" t="s">
        <v>435</v>
      </c>
      <c r="AJ6" s="120" t="s">
        <v>436</v>
      </c>
      <c r="AL6" s="116" t="s">
        <v>437</v>
      </c>
      <c r="AM6" s="117" t="s">
        <v>438</v>
      </c>
      <c r="AQ6" s="250" t="s">
        <v>439</v>
      </c>
      <c r="AR6" s="251">
        <v>4</v>
      </c>
    </row>
    <row r="7" spans="1:46" x14ac:dyDescent="0.25">
      <c r="C7" s="146" t="s">
        <v>405</v>
      </c>
      <c r="D7" s="117" t="s">
        <v>440</v>
      </c>
      <c r="H7" s="131" t="s">
        <v>441</v>
      </c>
      <c r="L7" s="116" t="s">
        <v>442</v>
      </c>
      <c r="M7" s="117" t="s">
        <v>443</v>
      </c>
      <c r="O7" s="118">
        <v>6</v>
      </c>
      <c r="P7" s="119" t="s">
        <v>444</v>
      </c>
      <c r="Q7" s="119" t="s">
        <v>445</v>
      </c>
      <c r="R7" s="117" t="s">
        <v>374</v>
      </c>
      <c r="T7" s="120">
        <v>41</v>
      </c>
      <c r="V7" s="120" t="s">
        <v>446</v>
      </c>
      <c r="X7" s="120" t="s">
        <v>447</v>
      </c>
      <c r="Z7" s="120" t="s">
        <v>448</v>
      </c>
      <c r="AB7" s="120" t="s">
        <v>449</v>
      </c>
      <c r="AD7" s="120" t="s">
        <v>450</v>
      </c>
      <c r="AF7" s="120" t="s">
        <v>451</v>
      </c>
      <c r="AJ7" s="120" t="s">
        <v>452</v>
      </c>
      <c r="AL7" s="116" t="s">
        <v>453</v>
      </c>
      <c r="AM7" s="117" t="s">
        <v>454</v>
      </c>
      <c r="AQ7" s="250" t="s">
        <v>455</v>
      </c>
      <c r="AR7" s="251">
        <v>5</v>
      </c>
    </row>
    <row r="8" spans="1:46" x14ac:dyDescent="0.25">
      <c r="C8" s="146" t="s">
        <v>405</v>
      </c>
      <c r="D8" s="117" t="s">
        <v>456</v>
      </c>
      <c r="H8" s="133" t="s">
        <v>80</v>
      </c>
      <c r="L8" s="116" t="s">
        <v>457</v>
      </c>
      <c r="M8" s="117" t="s">
        <v>458</v>
      </c>
      <c r="O8" s="118">
        <v>7</v>
      </c>
      <c r="P8" s="119" t="s">
        <v>459</v>
      </c>
      <c r="Q8" s="119" t="s">
        <v>460</v>
      </c>
      <c r="R8" s="117" t="s">
        <v>355</v>
      </c>
      <c r="T8" s="120">
        <v>51</v>
      </c>
      <c r="V8" s="120" t="s">
        <v>461</v>
      </c>
      <c r="X8" s="120" t="s">
        <v>462</v>
      </c>
      <c r="Z8" s="120" t="s">
        <v>463</v>
      </c>
      <c r="AB8" s="120" t="s">
        <v>464</v>
      </c>
      <c r="AD8" s="120" t="s">
        <v>465</v>
      </c>
      <c r="AF8" s="120" t="s">
        <v>381</v>
      </c>
      <c r="AJ8" s="120" t="s">
        <v>466</v>
      </c>
      <c r="AL8" s="116" t="s">
        <v>467</v>
      </c>
      <c r="AM8" s="117" t="s">
        <v>468</v>
      </c>
      <c r="AQ8" s="250" t="s">
        <v>469</v>
      </c>
      <c r="AR8" s="251">
        <v>6</v>
      </c>
    </row>
    <row r="9" spans="1:46" x14ac:dyDescent="0.25">
      <c r="C9" s="146" t="s">
        <v>405</v>
      </c>
      <c r="D9" s="117" t="s">
        <v>470</v>
      </c>
      <c r="H9" s="134" t="s">
        <v>471</v>
      </c>
      <c r="L9" s="116" t="s">
        <v>472</v>
      </c>
      <c r="M9" s="117" t="s">
        <v>473</v>
      </c>
      <c r="O9" s="118">
        <v>8</v>
      </c>
      <c r="P9" s="119" t="s">
        <v>474</v>
      </c>
      <c r="Q9" s="119" t="s">
        <v>475</v>
      </c>
      <c r="R9" s="117" t="s">
        <v>476</v>
      </c>
      <c r="T9" s="120">
        <v>61</v>
      </c>
      <c r="V9" s="120" t="s">
        <v>477</v>
      </c>
      <c r="X9" s="120" t="s">
        <v>478</v>
      </c>
      <c r="Z9" s="120" t="s">
        <v>479</v>
      </c>
      <c r="AB9" s="123" t="s">
        <v>480</v>
      </c>
      <c r="AD9" s="120" t="s">
        <v>480</v>
      </c>
      <c r="AF9" s="120" t="s">
        <v>481</v>
      </c>
      <c r="AJ9" s="120" t="s">
        <v>482</v>
      </c>
      <c r="AL9" s="116" t="s">
        <v>483</v>
      </c>
      <c r="AM9" s="117" t="s">
        <v>484</v>
      </c>
      <c r="AQ9" s="250" t="s">
        <v>485</v>
      </c>
      <c r="AR9" s="251">
        <v>7</v>
      </c>
    </row>
    <row r="10" spans="1:46" x14ac:dyDescent="0.25">
      <c r="C10" s="146" t="s">
        <v>405</v>
      </c>
      <c r="D10" s="117" t="s">
        <v>486</v>
      </c>
      <c r="H10" s="135" t="s">
        <v>487</v>
      </c>
      <c r="L10" s="116" t="s">
        <v>488</v>
      </c>
      <c r="M10" s="117" t="s">
        <v>489</v>
      </c>
      <c r="O10" s="118">
        <v>9</v>
      </c>
      <c r="P10" s="119" t="s">
        <v>490</v>
      </c>
      <c r="Q10" s="119" t="s">
        <v>491</v>
      </c>
      <c r="R10" s="117" t="s">
        <v>355</v>
      </c>
      <c r="T10" s="120">
        <v>71</v>
      </c>
      <c r="V10" s="123" t="s">
        <v>492</v>
      </c>
      <c r="X10" s="120" t="s">
        <v>493</v>
      </c>
      <c r="Z10" s="120" t="s">
        <v>494</v>
      </c>
      <c r="AD10" s="123" t="s">
        <v>495</v>
      </c>
      <c r="AF10" s="123" t="s">
        <v>496</v>
      </c>
      <c r="AJ10" s="120" t="s">
        <v>497</v>
      </c>
      <c r="AL10" s="136" t="s">
        <v>498</v>
      </c>
      <c r="AM10" s="137" t="s">
        <v>499</v>
      </c>
      <c r="AQ10" s="250" t="s">
        <v>500</v>
      </c>
      <c r="AR10" s="251">
        <v>8</v>
      </c>
    </row>
    <row r="11" spans="1:46" x14ac:dyDescent="0.25">
      <c r="C11" s="146" t="s">
        <v>405</v>
      </c>
      <c r="D11" s="117" t="s">
        <v>501</v>
      </c>
      <c r="L11" s="116" t="s">
        <v>502</v>
      </c>
      <c r="M11" s="117" t="s">
        <v>503</v>
      </c>
      <c r="O11" s="118">
        <v>10</v>
      </c>
      <c r="P11" s="119" t="s">
        <v>504</v>
      </c>
      <c r="Q11" s="119" t="s">
        <v>505</v>
      </c>
      <c r="R11" s="117" t="s">
        <v>374</v>
      </c>
      <c r="T11" s="120">
        <v>81</v>
      </c>
      <c r="X11" s="120" t="s">
        <v>506</v>
      </c>
      <c r="Z11" s="120" t="s">
        <v>507</v>
      </c>
      <c r="AJ11" s="120" t="s">
        <v>508</v>
      </c>
      <c r="AQ11" s="250" t="s">
        <v>509</v>
      </c>
      <c r="AR11" s="251">
        <v>9</v>
      </c>
    </row>
    <row r="12" spans="1:46" x14ac:dyDescent="0.25">
      <c r="C12" s="146" t="s">
        <v>405</v>
      </c>
      <c r="D12" s="117" t="s">
        <v>510</v>
      </c>
      <c r="L12" s="116" t="s">
        <v>511</v>
      </c>
      <c r="M12" s="117" t="s">
        <v>512</v>
      </c>
      <c r="O12" s="118">
        <v>11</v>
      </c>
      <c r="P12" s="119" t="s">
        <v>513</v>
      </c>
      <c r="Q12" s="119" t="s">
        <v>514</v>
      </c>
      <c r="R12" s="117" t="s">
        <v>374</v>
      </c>
      <c r="T12" s="120">
        <v>91</v>
      </c>
      <c r="X12" s="120" t="s">
        <v>515</v>
      </c>
      <c r="Z12" s="120" t="s">
        <v>516</v>
      </c>
      <c r="AJ12" s="120" t="s">
        <v>517</v>
      </c>
      <c r="AQ12" s="251" t="s">
        <v>518</v>
      </c>
      <c r="AR12" s="251">
        <v>10</v>
      </c>
    </row>
    <row r="13" spans="1:46" x14ac:dyDescent="0.25">
      <c r="C13" s="146" t="s">
        <v>519</v>
      </c>
      <c r="D13" s="117" t="s">
        <v>520</v>
      </c>
      <c r="L13" s="116" t="s">
        <v>521</v>
      </c>
      <c r="M13" s="117" t="s">
        <v>522</v>
      </c>
      <c r="O13" s="118">
        <v>12</v>
      </c>
      <c r="P13" s="119" t="s">
        <v>523</v>
      </c>
      <c r="Q13" s="119" t="s">
        <v>524</v>
      </c>
      <c r="R13" s="117" t="s">
        <v>355</v>
      </c>
      <c r="T13" s="123">
        <v>100</v>
      </c>
      <c r="X13" s="120" t="s">
        <v>525</v>
      </c>
      <c r="Z13" s="120" t="s">
        <v>526</v>
      </c>
      <c r="AJ13" s="120" t="s">
        <v>527</v>
      </c>
      <c r="AQ13" s="251" t="s">
        <v>528</v>
      </c>
      <c r="AR13" s="251">
        <v>11</v>
      </c>
    </row>
    <row r="14" spans="1:46" x14ac:dyDescent="0.25">
      <c r="C14" s="146" t="s">
        <v>519</v>
      </c>
      <c r="D14" s="117" t="s">
        <v>529</v>
      </c>
      <c r="L14" s="116" t="s">
        <v>530</v>
      </c>
      <c r="M14" s="117" t="s">
        <v>531</v>
      </c>
      <c r="O14" s="118">
        <v>13</v>
      </c>
      <c r="P14" s="119" t="s">
        <v>532</v>
      </c>
      <c r="Q14" s="119" t="s">
        <v>533</v>
      </c>
      <c r="R14" s="117" t="s">
        <v>374</v>
      </c>
      <c r="X14" s="120" t="s">
        <v>534</v>
      </c>
      <c r="Z14" s="120" t="s">
        <v>535</v>
      </c>
      <c r="AJ14" s="120" t="s">
        <v>536</v>
      </c>
      <c r="AQ14" s="251" t="s">
        <v>537</v>
      </c>
      <c r="AR14" s="251">
        <v>12</v>
      </c>
    </row>
    <row r="15" spans="1:46" x14ac:dyDescent="0.25">
      <c r="C15" s="146" t="s">
        <v>519</v>
      </c>
      <c r="D15" s="117" t="s">
        <v>538</v>
      </c>
      <c r="L15" s="116" t="s">
        <v>539</v>
      </c>
      <c r="M15" s="117" t="s">
        <v>540</v>
      </c>
      <c r="O15" s="118">
        <v>14</v>
      </c>
      <c r="P15" s="119" t="s">
        <v>541</v>
      </c>
      <c r="Q15" s="119" t="s">
        <v>542</v>
      </c>
      <c r="R15" s="117" t="s">
        <v>374</v>
      </c>
      <c r="X15" s="120" t="s">
        <v>543</v>
      </c>
      <c r="Z15" s="120" t="s">
        <v>171</v>
      </c>
      <c r="AJ15" s="120" t="s">
        <v>544</v>
      </c>
      <c r="AQ15" s="251" t="s">
        <v>545</v>
      </c>
      <c r="AR15" s="251">
        <v>13</v>
      </c>
    </row>
    <row r="16" spans="1:46" x14ac:dyDescent="0.25">
      <c r="C16" s="146" t="s">
        <v>519</v>
      </c>
      <c r="D16" s="117" t="s">
        <v>546</v>
      </c>
      <c r="L16" s="116" t="s">
        <v>547</v>
      </c>
      <c r="M16" s="117" t="s">
        <v>548</v>
      </c>
      <c r="O16" s="118">
        <v>15</v>
      </c>
      <c r="P16" s="119" t="s">
        <v>549</v>
      </c>
      <c r="Q16" s="119" t="s">
        <v>550</v>
      </c>
      <c r="R16" s="117" t="s">
        <v>355</v>
      </c>
      <c r="X16" s="120" t="s">
        <v>551</v>
      </c>
      <c r="Z16" s="120" t="s">
        <v>552</v>
      </c>
      <c r="AJ16" s="120" t="s">
        <v>553</v>
      </c>
      <c r="AQ16" s="251" t="s">
        <v>554</v>
      </c>
      <c r="AR16" s="251">
        <v>14</v>
      </c>
    </row>
    <row r="17" spans="3:44" x14ac:dyDescent="0.25">
      <c r="C17" s="146" t="s">
        <v>519</v>
      </c>
      <c r="D17" s="117" t="s">
        <v>555</v>
      </c>
      <c r="L17" s="116" t="s">
        <v>556</v>
      </c>
      <c r="M17" s="117" t="s">
        <v>557</v>
      </c>
      <c r="O17" s="118">
        <v>16</v>
      </c>
      <c r="P17" s="119" t="s">
        <v>558</v>
      </c>
      <c r="Q17" s="119" t="s">
        <v>559</v>
      </c>
      <c r="R17" s="117" t="s">
        <v>374</v>
      </c>
      <c r="X17" s="120" t="s">
        <v>560</v>
      </c>
      <c r="Z17" s="120" t="s">
        <v>561</v>
      </c>
      <c r="AJ17" s="120" t="s">
        <v>562</v>
      </c>
      <c r="AQ17" s="251" t="s">
        <v>563</v>
      </c>
      <c r="AR17" s="251">
        <v>15</v>
      </c>
    </row>
    <row r="18" spans="3:44" x14ac:dyDescent="0.25">
      <c r="C18" s="146" t="s">
        <v>519</v>
      </c>
      <c r="D18" s="117" t="s">
        <v>564</v>
      </c>
      <c r="L18" s="116" t="s">
        <v>565</v>
      </c>
      <c r="M18" s="117" t="s">
        <v>566</v>
      </c>
      <c r="O18" s="118">
        <v>17</v>
      </c>
      <c r="P18" s="119" t="s">
        <v>567</v>
      </c>
      <c r="Q18" s="119" t="s">
        <v>568</v>
      </c>
      <c r="R18" s="117" t="s">
        <v>374</v>
      </c>
      <c r="X18" s="120" t="s">
        <v>569</v>
      </c>
      <c r="Z18" s="120" t="s">
        <v>570</v>
      </c>
      <c r="AJ18" s="120" t="s">
        <v>571</v>
      </c>
      <c r="AQ18" s="251" t="s">
        <v>572</v>
      </c>
      <c r="AR18" s="251">
        <v>16</v>
      </c>
    </row>
    <row r="19" spans="3:44" x14ac:dyDescent="0.25">
      <c r="C19" s="146" t="s">
        <v>573</v>
      </c>
      <c r="D19" s="117" t="s">
        <v>574</v>
      </c>
      <c r="L19" s="116" t="s">
        <v>575</v>
      </c>
      <c r="M19" s="117" t="s">
        <v>576</v>
      </c>
      <c r="O19" s="118">
        <v>18</v>
      </c>
      <c r="P19" s="119" t="s">
        <v>577</v>
      </c>
      <c r="Q19" s="119" t="s">
        <v>578</v>
      </c>
      <c r="R19" s="117" t="s">
        <v>355</v>
      </c>
      <c r="X19" s="120" t="s">
        <v>579</v>
      </c>
      <c r="Z19" s="120" t="s">
        <v>580</v>
      </c>
      <c r="AJ19" s="120" t="s">
        <v>581</v>
      </c>
      <c r="AQ19" s="251" t="s">
        <v>582</v>
      </c>
      <c r="AR19" s="251">
        <v>17</v>
      </c>
    </row>
    <row r="20" spans="3:44" x14ac:dyDescent="0.25">
      <c r="C20" s="146" t="s">
        <v>573</v>
      </c>
      <c r="D20" s="117" t="s">
        <v>583</v>
      </c>
      <c r="L20" s="116" t="s">
        <v>584</v>
      </c>
      <c r="M20" s="117" t="s">
        <v>585</v>
      </c>
      <c r="O20" s="118">
        <v>19</v>
      </c>
      <c r="P20" s="119" t="s">
        <v>586</v>
      </c>
      <c r="Q20" s="119" t="s">
        <v>587</v>
      </c>
      <c r="R20" s="117" t="s">
        <v>355</v>
      </c>
      <c r="X20" s="120" t="s">
        <v>588</v>
      </c>
      <c r="Z20" s="120" t="s">
        <v>589</v>
      </c>
      <c r="AJ20" s="120" t="s">
        <v>590</v>
      </c>
      <c r="AQ20" s="251" t="s">
        <v>591</v>
      </c>
      <c r="AR20" s="251">
        <v>18</v>
      </c>
    </row>
    <row r="21" spans="3:44" x14ac:dyDescent="0.25">
      <c r="C21" s="146" t="s">
        <v>573</v>
      </c>
      <c r="D21" s="117" t="s">
        <v>592</v>
      </c>
      <c r="L21" s="116" t="s">
        <v>593</v>
      </c>
      <c r="M21" s="117" t="s">
        <v>594</v>
      </c>
      <c r="O21" s="118">
        <v>20</v>
      </c>
      <c r="P21" s="119" t="s">
        <v>595</v>
      </c>
      <c r="Q21" s="119"/>
      <c r="R21" s="117" t="s">
        <v>374</v>
      </c>
      <c r="X21" s="120" t="s">
        <v>596</v>
      </c>
      <c r="Z21" s="120" t="s">
        <v>597</v>
      </c>
      <c r="AJ21" s="120" t="s">
        <v>598</v>
      </c>
      <c r="AQ21" s="251" t="s">
        <v>599</v>
      </c>
      <c r="AR21" s="251">
        <v>19</v>
      </c>
    </row>
    <row r="22" spans="3:44" x14ac:dyDescent="0.25">
      <c r="C22" s="146" t="s">
        <v>573</v>
      </c>
      <c r="D22" s="117" t="s">
        <v>600</v>
      </c>
      <c r="L22" s="116" t="s">
        <v>601</v>
      </c>
      <c r="M22" s="117" t="s">
        <v>602</v>
      </c>
      <c r="O22" s="118">
        <v>21</v>
      </c>
      <c r="P22" s="119" t="s">
        <v>603</v>
      </c>
      <c r="Q22" s="119" t="s">
        <v>604</v>
      </c>
      <c r="R22" s="117" t="s">
        <v>374</v>
      </c>
      <c r="X22" s="120" t="s">
        <v>605</v>
      </c>
      <c r="Z22" s="120" t="s">
        <v>606</v>
      </c>
      <c r="AJ22" s="120" t="s">
        <v>607</v>
      </c>
      <c r="AQ22" s="251" t="s">
        <v>608</v>
      </c>
      <c r="AR22" s="251">
        <v>20</v>
      </c>
    </row>
    <row r="23" spans="3:44" x14ac:dyDescent="0.25">
      <c r="C23" s="146" t="s">
        <v>573</v>
      </c>
      <c r="D23" s="117" t="s">
        <v>609</v>
      </c>
      <c r="L23" s="116" t="s">
        <v>610</v>
      </c>
      <c r="M23" s="117" t="s">
        <v>611</v>
      </c>
      <c r="O23" s="118">
        <v>22</v>
      </c>
      <c r="P23" s="119" t="s">
        <v>612</v>
      </c>
      <c r="Q23" s="119" t="s">
        <v>613</v>
      </c>
      <c r="R23" s="117" t="s">
        <v>374</v>
      </c>
      <c r="X23" s="120" t="s">
        <v>614</v>
      </c>
      <c r="Z23" s="120" t="s">
        <v>615</v>
      </c>
      <c r="AJ23" s="120" t="s">
        <v>616</v>
      </c>
      <c r="AQ23" s="251" t="s">
        <v>617</v>
      </c>
      <c r="AR23" s="251">
        <v>21</v>
      </c>
    </row>
    <row r="24" spans="3:44" x14ac:dyDescent="0.25">
      <c r="C24" s="146" t="s">
        <v>573</v>
      </c>
      <c r="D24" s="117" t="s">
        <v>618</v>
      </c>
      <c r="L24" s="116" t="s">
        <v>619</v>
      </c>
      <c r="M24" s="117" t="s">
        <v>620</v>
      </c>
      <c r="O24" s="118">
        <v>23</v>
      </c>
      <c r="P24" s="119" t="s">
        <v>621</v>
      </c>
      <c r="Q24" s="119" t="s">
        <v>622</v>
      </c>
      <c r="R24" s="117" t="s">
        <v>355</v>
      </c>
      <c r="X24" s="120" t="s">
        <v>623</v>
      </c>
      <c r="Z24" s="120" t="s">
        <v>624</v>
      </c>
      <c r="AJ24" s="120" t="s">
        <v>625</v>
      </c>
      <c r="AQ24" s="251" t="s">
        <v>626</v>
      </c>
      <c r="AR24" s="251">
        <v>22</v>
      </c>
    </row>
    <row r="25" spans="3:44" x14ac:dyDescent="0.25">
      <c r="C25" s="146" t="s">
        <v>573</v>
      </c>
      <c r="D25" s="117" t="s">
        <v>627</v>
      </c>
      <c r="L25" s="116" t="s">
        <v>628</v>
      </c>
      <c r="M25" s="117" t="s">
        <v>629</v>
      </c>
      <c r="O25" s="118">
        <v>24</v>
      </c>
      <c r="P25" s="119" t="s">
        <v>630</v>
      </c>
      <c r="Q25" s="119" t="s">
        <v>631</v>
      </c>
      <c r="R25" s="117" t="s">
        <v>374</v>
      </c>
      <c r="X25" s="120" t="s">
        <v>632</v>
      </c>
      <c r="Z25" s="120" t="s">
        <v>633</v>
      </c>
      <c r="AJ25" s="120" t="s">
        <v>634</v>
      </c>
      <c r="AQ25" s="251" t="s">
        <v>635</v>
      </c>
      <c r="AR25" s="251">
        <v>23</v>
      </c>
    </row>
    <row r="26" spans="3:44" x14ac:dyDescent="0.25">
      <c r="C26" s="146" t="s">
        <v>573</v>
      </c>
      <c r="D26" s="117" t="s">
        <v>636</v>
      </c>
      <c r="L26" s="116" t="s">
        <v>637</v>
      </c>
      <c r="M26" s="117" t="s">
        <v>638</v>
      </c>
      <c r="O26" s="118">
        <v>25</v>
      </c>
      <c r="P26" s="119" t="s">
        <v>639</v>
      </c>
      <c r="Q26" s="119" t="s">
        <v>640</v>
      </c>
      <c r="R26" s="117" t="s">
        <v>374</v>
      </c>
      <c r="X26" s="120" t="s">
        <v>641</v>
      </c>
      <c r="Z26" s="120" t="s">
        <v>642</v>
      </c>
      <c r="AJ26" s="120" t="s">
        <v>643</v>
      </c>
      <c r="AQ26" s="251" t="s">
        <v>644</v>
      </c>
      <c r="AR26" s="251">
        <v>24</v>
      </c>
    </row>
    <row r="27" spans="3:44" x14ac:dyDescent="0.25">
      <c r="C27" s="146" t="s">
        <v>573</v>
      </c>
      <c r="D27" s="117" t="s">
        <v>645</v>
      </c>
      <c r="L27" s="116" t="s">
        <v>646</v>
      </c>
      <c r="M27" s="117" t="s">
        <v>647</v>
      </c>
      <c r="O27" s="118">
        <v>26</v>
      </c>
      <c r="P27" s="119" t="s">
        <v>648</v>
      </c>
      <c r="Q27" s="119" t="s">
        <v>649</v>
      </c>
      <c r="R27" s="117" t="s">
        <v>355</v>
      </c>
      <c r="X27" s="120" t="s">
        <v>650</v>
      </c>
      <c r="Z27" s="120" t="s">
        <v>651</v>
      </c>
      <c r="AJ27" s="120" t="s">
        <v>652</v>
      </c>
      <c r="AQ27" s="251" t="s">
        <v>653</v>
      </c>
      <c r="AR27" s="251">
        <v>25</v>
      </c>
    </row>
    <row r="28" spans="3:44" x14ac:dyDescent="0.25">
      <c r="C28" s="146" t="s">
        <v>654</v>
      </c>
      <c r="D28" s="117" t="s">
        <v>655</v>
      </c>
      <c r="L28" s="116" t="s">
        <v>656</v>
      </c>
      <c r="M28" s="117" t="s">
        <v>657</v>
      </c>
      <c r="O28" s="118">
        <v>27</v>
      </c>
      <c r="P28" s="119" t="s">
        <v>658</v>
      </c>
      <c r="Q28" s="119" t="s">
        <v>659</v>
      </c>
      <c r="R28" s="117" t="s">
        <v>374</v>
      </c>
      <c r="X28" s="120" t="s">
        <v>660</v>
      </c>
      <c r="Z28" s="120" t="s">
        <v>661</v>
      </c>
      <c r="AJ28" s="123" t="s">
        <v>662</v>
      </c>
      <c r="AQ28" s="251" t="s">
        <v>663</v>
      </c>
      <c r="AR28" s="251">
        <v>26</v>
      </c>
    </row>
    <row r="29" spans="3:44" x14ac:dyDescent="0.25">
      <c r="C29" s="146" t="s">
        <v>654</v>
      </c>
      <c r="D29" s="117" t="s">
        <v>664</v>
      </c>
      <c r="L29" s="116" t="s">
        <v>665</v>
      </c>
      <c r="M29" s="117" t="s">
        <v>666</v>
      </c>
      <c r="O29" s="118">
        <v>28</v>
      </c>
      <c r="P29" s="119" t="s">
        <v>667</v>
      </c>
      <c r="Q29" s="119" t="s">
        <v>668</v>
      </c>
      <c r="R29" s="117" t="s">
        <v>374</v>
      </c>
      <c r="X29" s="120" t="s">
        <v>669</v>
      </c>
      <c r="Z29" s="120" t="s">
        <v>670</v>
      </c>
      <c r="AQ29" s="251" t="s">
        <v>671</v>
      </c>
      <c r="AR29" s="251">
        <v>27</v>
      </c>
    </row>
    <row r="30" spans="3:44" x14ac:dyDescent="0.25">
      <c r="C30" s="146" t="s">
        <v>654</v>
      </c>
      <c r="D30" s="117" t="s">
        <v>672</v>
      </c>
      <c r="L30" s="116" t="s">
        <v>673</v>
      </c>
      <c r="M30" s="117" t="s">
        <v>674</v>
      </c>
      <c r="O30" s="118">
        <v>29</v>
      </c>
      <c r="P30" s="119" t="s">
        <v>675</v>
      </c>
      <c r="Q30" s="119" t="s">
        <v>676</v>
      </c>
      <c r="R30" s="117" t="s">
        <v>374</v>
      </c>
      <c r="X30" s="120" t="s">
        <v>677</v>
      </c>
      <c r="Z30" s="120" t="s">
        <v>678</v>
      </c>
      <c r="AQ30" s="251" t="s">
        <v>679</v>
      </c>
      <c r="AR30" s="251">
        <v>28</v>
      </c>
    </row>
    <row r="31" spans="3:44" x14ac:dyDescent="0.25">
      <c r="C31" s="146" t="s">
        <v>654</v>
      </c>
      <c r="D31" s="117" t="s">
        <v>680</v>
      </c>
      <c r="L31" s="116" t="s">
        <v>681</v>
      </c>
      <c r="M31" s="117" t="s">
        <v>682</v>
      </c>
      <c r="O31" s="118">
        <v>30</v>
      </c>
      <c r="P31" s="119" t="s">
        <v>683</v>
      </c>
      <c r="Q31" s="119" t="s">
        <v>684</v>
      </c>
      <c r="R31" s="117" t="s">
        <v>355</v>
      </c>
      <c r="X31" s="120" t="s">
        <v>685</v>
      </c>
      <c r="Z31" s="120" t="s">
        <v>686</v>
      </c>
      <c r="AQ31" s="251" t="s">
        <v>687</v>
      </c>
      <c r="AR31" s="251">
        <v>29</v>
      </c>
    </row>
  </sheetData>
  <mergeCells count="1">
    <mergeCell ref="AQ1:AR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PRODUIT</vt:lpstr>
      <vt:lpstr>CLIENTS</vt:lpstr>
      <vt:lpstr>FACTURE</vt:lpstr>
      <vt:lpstr>SUIVI FACTURES</vt:lpstr>
      <vt:lpstr>DETAILS</vt:lpstr>
      <vt:lpstr>DETAILS_Couleur</vt:lpstr>
      <vt:lpstr>FACTURE!Zone_d_impression</vt:lpstr>
      <vt:lpstr>'SUIVI FACTURES'!Zone_d_impression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Mignot</dc:creator>
  <cp:lastModifiedBy>Laurent Mignot</cp:lastModifiedBy>
  <dcterms:created xsi:type="dcterms:W3CDTF">2016-02-13T16:54:11Z</dcterms:created>
  <dcterms:modified xsi:type="dcterms:W3CDTF">2016-02-14T16:31:34Z</dcterms:modified>
</cp:coreProperties>
</file>