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showVerticalScroll="0" xWindow="0" yWindow="0" windowWidth="24000" windowHeight="10185" tabRatio="685" activeTab="1"/>
  </bookViews>
  <sheets>
    <sheet name="CLIENTS" sheetId="4" r:id="rId1"/>
    <sheet name="SUIVI FACTURES" sheetId="3" r:id="rId2"/>
    <sheet name="SUIVI DES CREANCES" sheetId="5" r:id="rId3"/>
  </sheets>
  <functionGroups builtInGroupCount="18"/>
  <definedNames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ECHEANCIER_HT">OFFSET('SUIVI FACTURES'!$U$5,0,0,COUNTA('SUIVI FACTURES'!$U:$U)-1)</definedName>
    <definedName name="ECHEANCIER_MAJORATION_PAYEE">OFFSET('SUIVI FACTURES'!$L$5,0,0,COUNTA('SUIVI FACTURES'!$L:$L)-1)</definedName>
    <definedName name="ECHEANCIER_MONTANT_TTC">OFFSET('SUIVI FACTURES'!$E$5,0,0,COUNTA('SUIVI FACTURES'!$E:$E)-2)</definedName>
    <definedName name="ECHEANCIER_PLAGE">OFFSET('SUIVI FACTURES'!$A$5:$AI$5,0,0,COUNTA('SUIVI FACTURES'!$A:$A)-2)</definedName>
    <definedName name="ECHEANCIER_TVA_10">OFFSET('SUIVI FACTURES'!$S$5,0,0,COUNTA('SUIVI FACTURES'!$S:$S)-1)</definedName>
    <definedName name="ECHEANCIER_TVA_20">OFFSET('SUIVI FACTURES'!$T$5,0,0,COUNTA('SUIVI FACTURES'!$T:$T)-1)</definedName>
    <definedName name="ECHEANCIER_TVA_5_5">OFFSET('SUIVI FACTURES'!$Q$5,0,0,COUNTA('SUIVI FACTURES'!$Q:$Q)-1)</definedName>
    <definedName name="ECHEANCIER_TVA_7">OFFSET('SUIVI FACTURES'!$R$5,0,0,COUNTA('SUIVI FACTURES'!$R:$R)-1)</definedName>
    <definedName name="FACT">OFFSET('SUIVI FACTURES'!$B$5,,,COUNTA('SUIVI FACTURES'!$B:$B)-1)</definedName>
    <definedName name="H">HOUR(NOW())</definedName>
    <definedName name="J">TODAY()</definedName>
    <definedName name="M">MINUTE(NOW())</definedName>
    <definedName name="S">SECOND(NOW())</definedName>
  </definedNames>
  <calcPr calcId="171027"/>
</workbook>
</file>

<file path=xl/calcChain.xml><?xml version="1.0" encoding="utf-8"?>
<calcChain xmlns="http://schemas.openxmlformats.org/spreadsheetml/2006/main">
  <c r="K18" i="3" l="1"/>
  <c r="U5" i="3" l="1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K22" i="3"/>
  <c r="AM16" i="5" l="1"/>
  <c r="AN16" i="5" s="1"/>
  <c r="AM17" i="5"/>
  <c r="AN17" i="5" s="1"/>
  <c r="AM18" i="5"/>
  <c r="AN18" i="5" s="1"/>
  <c r="AM19" i="5"/>
  <c r="AN19" i="5" s="1"/>
  <c r="AM20" i="5"/>
  <c r="AN20" i="5" s="1"/>
  <c r="AM21" i="5"/>
  <c r="AN21" i="5" s="1"/>
  <c r="AM22" i="5"/>
  <c r="AN22" i="5" s="1"/>
  <c r="AJ6" i="3"/>
  <c r="AM6" i="3" s="1"/>
  <c r="AJ7" i="3"/>
  <c r="AM7" i="3" s="1"/>
  <c r="AJ8" i="3"/>
  <c r="AM8" i="3" s="1"/>
  <c r="AJ9" i="3"/>
  <c r="AM9" i="3" s="1"/>
  <c r="AJ10" i="3"/>
  <c r="AM10" i="3" s="1"/>
  <c r="AJ11" i="3"/>
  <c r="AM11" i="3" s="1"/>
  <c r="AJ12" i="3"/>
  <c r="AM12" i="3" s="1"/>
  <c r="AJ13" i="3"/>
  <c r="AM13" i="3" s="1"/>
  <c r="AJ14" i="3"/>
  <c r="AM14" i="3" s="1"/>
  <c r="AJ15" i="3"/>
  <c r="AM15" i="3" s="1"/>
  <c r="AJ16" i="3"/>
  <c r="AM16" i="3" s="1"/>
  <c r="AJ17" i="3"/>
  <c r="AM17" i="3" s="1"/>
  <c r="AJ18" i="3"/>
  <c r="AM18" i="3" s="1"/>
  <c r="AJ19" i="3"/>
  <c r="AM19" i="3" s="1"/>
  <c r="AJ20" i="3"/>
  <c r="AM20" i="3" s="1"/>
  <c r="AJ21" i="3"/>
  <c r="AM21" i="3" s="1"/>
  <c r="AJ22" i="3"/>
  <c r="AM22" i="3" s="1"/>
  <c r="AF7" i="5" l="1"/>
  <c r="AF9" i="5"/>
  <c r="AH11" i="5"/>
  <c r="K15" i="3" l="1"/>
  <c r="D5" i="3" l="1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6" i="3"/>
  <c r="AL5" i="5" l="1"/>
  <c r="AC5" i="5"/>
  <c r="O5" i="5"/>
  <c r="N5" i="5"/>
  <c r="K5" i="5"/>
  <c r="J5" i="5"/>
  <c r="K6" i="3" l="1"/>
  <c r="K7" i="3"/>
  <c r="K9" i="3" l="1"/>
  <c r="K10" i="3"/>
  <c r="K11" i="3"/>
  <c r="K12" i="3"/>
  <c r="K13" i="3"/>
  <c r="K14" i="3"/>
  <c r="K16" i="3"/>
  <c r="K17" i="3"/>
  <c r="K19" i="3"/>
  <c r="K20" i="3"/>
  <c r="K21" i="3"/>
  <c r="P5" i="5" l="1"/>
  <c r="P6" i="5"/>
  <c r="P7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O6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AA5" i="5"/>
  <c r="T5" i="5"/>
  <c r="T6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Q5" i="5"/>
  <c r="Q6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AI5" i="5"/>
  <c r="AF5" i="5"/>
  <c r="AF8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L6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AI6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AG5" i="5"/>
  <c r="AG6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J6" i="5"/>
  <c r="J7" i="5"/>
  <c r="J8" i="5"/>
  <c r="J16" i="5"/>
  <c r="J17" i="5"/>
  <c r="J18" i="5"/>
  <c r="J19" i="5"/>
  <c r="J20" i="5"/>
  <c r="J21" i="5"/>
  <c r="J22" i="5"/>
  <c r="K6" i="5"/>
  <c r="K7" i="5"/>
  <c r="K8" i="5"/>
  <c r="K16" i="5"/>
  <c r="K17" i="5"/>
  <c r="K18" i="5"/>
  <c r="K19" i="5"/>
  <c r="K20" i="5"/>
  <c r="K21" i="5"/>
  <c r="K22" i="5"/>
  <c r="N6" i="5"/>
  <c r="N7" i="5"/>
  <c r="N8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I21" i="5" l="1"/>
  <c r="I19" i="5"/>
  <c r="I17" i="5"/>
  <c r="I22" i="5"/>
  <c r="I20" i="5"/>
  <c r="I18" i="5"/>
  <c r="I16" i="5"/>
  <c r="AH5" i="5"/>
  <c r="AH6" i="5"/>
  <c r="AH8" i="5"/>
  <c r="AH9" i="5"/>
  <c r="AH10" i="5"/>
  <c r="AH12" i="5"/>
  <c r="AH13" i="5"/>
  <c r="AH14" i="5"/>
  <c r="AH15" i="5"/>
  <c r="AH16" i="5"/>
  <c r="AH17" i="5"/>
  <c r="AH18" i="5"/>
  <c r="AH19" i="5"/>
  <c r="AH20" i="5"/>
  <c r="AH21" i="5"/>
  <c r="AH22" i="5"/>
  <c r="AB5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B1" i="5" l="1"/>
  <c r="AL8" i="5" l="1"/>
  <c r="T7" i="5"/>
  <c r="Z6" i="5"/>
  <c r="X22" i="3" l="1"/>
  <c r="W22" i="3"/>
  <c r="V22" i="3"/>
  <c r="X21" i="3"/>
  <c r="W21" i="3"/>
  <c r="V21" i="3"/>
  <c r="X20" i="3"/>
  <c r="W20" i="3"/>
  <c r="V20" i="3"/>
  <c r="X19" i="3"/>
  <c r="W19" i="3"/>
  <c r="V19" i="3"/>
  <c r="X18" i="3"/>
  <c r="W18" i="3"/>
  <c r="V18" i="3"/>
  <c r="X17" i="3"/>
  <c r="W17" i="3"/>
  <c r="V17" i="3"/>
  <c r="X16" i="3"/>
  <c r="W16" i="3"/>
  <c r="V16" i="3"/>
  <c r="X15" i="3"/>
  <c r="W15" i="3"/>
  <c r="V15" i="3"/>
  <c r="X14" i="3"/>
  <c r="W14" i="3"/>
  <c r="V14" i="3"/>
  <c r="X13" i="3"/>
  <c r="W13" i="3"/>
  <c r="V13" i="3"/>
  <c r="X12" i="3"/>
  <c r="W12" i="3"/>
  <c r="V12" i="3"/>
  <c r="X11" i="3"/>
  <c r="W11" i="3"/>
  <c r="V11" i="3"/>
  <c r="X10" i="3"/>
  <c r="W10" i="3"/>
  <c r="V10" i="3"/>
  <c r="X9" i="3"/>
  <c r="W9" i="3"/>
  <c r="V9" i="3"/>
  <c r="X8" i="3"/>
  <c r="W8" i="3"/>
  <c r="V8" i="3"/>
  <c r="X7" i="3"/>
  <c r="W7" i="3"/>
  <c r="V7" i="3"/>
  <c r="X6" i="3"/>
  <c r="W6" i="3"/>
  <c r="V6" i="3"/>
  <c r="X5" i="3"/>
  <c r="W5" i="3"/>
  <c r="V5" i="3"/>
  <c r="B1" i="3"/>
  <c r="I5" i="3" l="1"/>
  <c r="I7" i="3"/>
  <c r="F7" i="3" s="1"/>
  <c r="I9" i="3"/>
  <c r="I11" i="3"/>
  <c r="F11" i="3" s="1"/>
  <c r="I13" i="3"/>
  <c r="I15" i="3"/>
  <c r="F15" i="3" s="1"/>
  <c r="I17" i="3"/>
  <c r="I19" i="3"/>
  <c r="F19" i="3" s="1"/>
  <c r="I21" i="3"/>
  <c r="O21" i="3" s="1"/>
  <c r="I6" i="3"/>
  <c r="F6" i="3" s="1"/>
  <c r="I8" i="3"/>
  <c r="I10" i="3"/>
  <c r="F10" i="3" s="1"/>
  <c r="I12" i="3"/>
  <c r="I14" i="3"/>
  <c r="F14" i="3" s="1"/>
  <c r="I16" i="3"/>
  <c r="I18" i="3"/>
  <c r="F18" i="3" s="1"/>
  <c r="I20" i="3"/>
  <c r="N20" i="3" s="1"/>
  <c r="I22" i="3"/>
  <c r="N22" i="3" s="1"/>
  <c r="F9" i="3"/>
  <c r="F12" i="3"/>
  <c r="F13" i="3"/>
  <c r="F17" i="3"/>
  <c r="F21" i="3"/>
  <c r="G21" i="3" s="1"/>
  <c r="F16" i="3"/>
  <c r="F20" i="3"/>
  <c r="N21" i="3"/>
  <c r="L21" i="3"/>
  <c r="P21" i="3" s="1"/>
  <c r="M20" i="3"/>
  <c r="O20" i="3"/>
  <c r="O22" i="3"/>
  <c r="L20" i="3"/>
  <c r="P20" i="3" s="1"/>
  <c r="M21" i="3"/>
  <c r="F22" i="3" l="1"/>
  <c r="L22" i="3"/>
  <c r="P22" i="3" s="1"/>
  <c r="M22" i="3"/>
  <c r="H21" i="3"/>
  <c r="G22" i="3"/>
  <c r="G20" i="3"/>
  <c r="N18" i="3"/>
  <c r="L18" i="3"/>
  <c r="P18" i="3" s="1"/>
  <c r="O19" i="3"/>
  <c r="L19" i="3"/>
  <c r="P19" i="3" s="1"/>
  <c r="M19" i="3"/>
  <c r="G19" i="3" l="1"/>
  <c r="H20" i="3"/>
  <c r="H22" i="3"/>
  <c r="M18" i="3"/>
  <c r="O18" i="3"/>
  <c r="G18" i="3" l="1"/>
  <c r="H19" i="3"/>
  <c r="N16" i="3"/>
  <c r="L16" i="3"/>
  <c r="P16" i="3" s="1"/>
  <c r="M16" i="3"/>
  <c r="O17" i="3"/>
  <c r="L17" i="3"/>
  <c r="P17" i="3" s="1"/>
  <c r="M17" i="3"/>
  <c r="N17" i="3"/>
  <c r="G17" i="3" l="1"/>
  <c r="H18" i="3"/>
  <c r="O16" i="3"/>
  <c r="G16" i="3" l="1"/>
  <c r="H17" i="3"/>
  <c r="N14" i="3"/>
  <c r="L14" i="3"/>
  <c r="P14" i="3" s="1"/>
  <c r="O14" i="3"/>
  <c r="M14" i="3"/>
  <c r="G14" i="3" l="1"/>
  <c r="H16" i="3"/>
  <c r="O15" i="3"/>
  <c r="L15" i="3"/>
  <c r="P15" i="3" s="1"/>
  <c r="N15" i="3"/>
  <c r="M15" i="3"/>
  <c r="G15" i="3" l="1"/>
  <c r="H14" i="3"/>
  <c r="N12" i="3"/>
  <c r="M12" i="3"/>
  <c r="L12" i="3"/>
  <c r="P12" i="3" s="1"/>
  <c r="O12" i="3"/>
  <c r="G12" i="3" l="1"/>
  <c r="H15" i="3"/>
  <c r="O13" i="3"/>
  <c r="N13" i="3"/>
  <c r="L13" i="3"/>
  <c r="P13" i="3" s="1"/>
  <c r="M13" i="3"/>
  <c r="G13" i="3" l="1"/>
  <c r="H12" i="3"/>
  <c r="N10" i="3"/>
  <c r="L10" i="3"/>
  <c r="P10" i="3" s="1"/>
  <c r="O10" i="3"/>
  <c r="M10" i="3"/>
  <c r="G10" i="3" l="1"/>
  <c r="H13" i="3"/>
  <c r="AI8" i="5"/>
  <c r="AG8" i="5"/>
  <c r="O11" i="3"/>
  <c r="N11" i="3"/>
  <c r="M11" i="3"/>
  <c r="L11" i="3"/>
  <c r="P11" i="3" s="1"/>
  <c r="G11" i="3" l="1"/>
  <c r="H10" i="3"/>
  <c r="W6" i="5"/>
  <c r="H11" i="3" l="1"/>
  <c r="O6" i="3"/>
  <c r="M6" i="3"/>
  <c r="N6" i="3"/>
  <c r="L6" i="3"/>
  <c r="P6" i="3" s="1"/>
  <c r="G6" i="3" l="1"/>
  <c r="O9" i="3"/>
  <c r="M9" i="3"/>
  <c r="N9" i="3"/>
  <c r="L9" i="3"/>
  <c r="P9" i="3" s="1"/>
  <c r="G9" i="3" l="1"/>
  <c r="H6" i="3"/>
  <c r="AC7" i="5"/>
  <c r="AA7" i="5" s="1"/>
  <c r="Q7" i="5"/>
  <c r="H9" i="3" l="1"/>
  <c r="K8" i="3"/>
  <c r="O7" i="5"/>
  <c r="N7" i="3"/>
  <c r="F8" i="3" l="1"/>
  <c r="N8" i="3"/>
  <c r="M8" i="3"/>
  <c r="O8" i="3"/>
  <c r="L8" i="3"/>
  <c r="P8" i="3" s="1"/>
  <c r="L7" i="3"/>
  <c r="P7" i="3" s="1"/>
  <c r="M7" i="3"/>
  <c r="O7" i="3"/>
  <c r="G7" i="3" l="1"/>
  <c r="G8" i="3"/>
  <c r="H8" i="3" s="1"/>
  <c r="H7" i="3" l="1"/>
  <c r="N19" i="3"/>
  <c r="K5" i="3"/>
  <c r="AJ5" i="3"/>
  <c r="AM5" i="3" s="1"/>
  <c r="F5" i="3"/>
  <c r="H8" i="5" l="1"/>
  <c r="H15" i="5"/>
  <c r="F18" i="5"/>
  <c r="D12" i="5"/>
  <c r="C18" i="5"/>
  <c r="C17" i="5"/>
  <c r="B8" i="5"/>
  <c r="B11" i="5"/>
  <c r="F12" i="5"/>
  <c r="D19" i="5"/>
  <c r="C13" i="5"/>
  <c r="E10" i="5"/>
  <c r="B6" i="5"/>
  <c r="D21" i="5"/>
  <c r="F17" i="5"/>
  <c r="A20" i="5"/>
  <c r="G8" i="5"/>
  <c r="F19" i="5"/>
  <c r="D22" i="5"/>
  <c r="A16" i="5"/>
  <c r="F15" i="5"/>
  <c r="A17" i="5"/>
  <c r="H9" i="5"/>
  <c r="C15" i="5"/>
  <c r="E18" i="5"/>
  <c r="G12" i="5"/>
  <c r="K12" i="5" s="1"/>
  <c r="D18" i="5"/>
  <c r="E13" i="5"/>
  <c r="B12" i="5"/>
  <c r="D16" i="5"/>
  <c r="A11" i="5"/>
  <c r="D10" i="5"/>
  <c r="G15" i="5"/>
  <c r="K15" i="5" s="1"/>
  <c r="G6" i="5"/>
  <c r="F16" i="5"/>
  <c r="A22" i="5"/>
  <c r="A8" i="5"/>
  <c r="F11" i="5"/>
  <c r="C12" i="5"/>
  <c r="A15" i="5"/>
  <c r="C16" i="5"/>
  <c r="B15" i="5"/>
  <c r="H16" i="5"/>
  <c r="B5" i="5"/>
  <c r="G22" i="5"/>
  <c r="C9" i="5"/>
  <c r="H10" i="5"/>
  <c r="B10" i="5"/>
  <c r="H18" i="5"/>
  <c r="F13" i="5"/>
  <c r="E19" i="5"/>
  <c r="F14" i="5"/>
  <c r="C8" i="5"/>
  <c r="A21" i="5"/>
  <c r="F6" i="5"/>
  <c r="A7" i="5"/>
  <c r="E15" i="5"/>
  <c r="C11" i="5"/>
  <c r="D17" i="5"/>
  <c r="F10" i="5"/>
  <c r="A12" i="5"/>
  <c r="G20" i="5"/>
  <c r="H19" i="5"/>
  <c r="C5" i="5"/>
  <c r="A6" i="5"/>
  <c r="F7" i="5"/>
  <c r="C19" i="5"/>
  <c r="A18" i="5"/>
  <c r="D7" i="5"/>
  <c r="AL7" i="5" s="1"/>
  <c r="D5" i="5"/>
  <c r="Z5" i="5" s="1"/>
  <c r="D6" i="5"/>
  <c r="AF6" i="5" s="1"/>
  <c r="D9" i="5"/>
  <c r="N9" i="5" s="1"/>
  <c r="E9" i="5"/>
  <c r="G11" i="5"/>
  <c r="K11" i="5" s="1"/>
  <c r="F21" i="5"/>
  <c r="A10" i="5"/>
  <c r="C20" i="5"/>
  <c r="G19" i="5"/>
  <c r="H22" i="5"/>
  <c r="G16" i="5"/>
  <c r="H6" i="5"/>
  <c r="B17" i="5"/>
  <c r="D14" i="5"/>
  <c r="G7" i="5"/>
  <c r="F22" i="5"/>
  <c r="H20" i="5"/>
  <c r="G18" i="5"/>
  <c r="A5" i="5"/>
  <c r="E17" i="5"/>
  <c r="C10" i="5"/>
  <c r="H12" i="5"/>
  <c r="E21" i="5"/>
  <c r="D15" i="5"/>
  <c r="F20" i="5"/>
  <c r="H11" i="5"/>
  <c r="E12" i="5"/>
  <c r="B22" i="5"/>
  <c r="V5" i="5"/>
  <c r="H21" i="5"/>
  <c r="B14" i="5"/>
  <c r="C6" i="5"/>
  <c r="A19" i="5"/>
  <c r="D13" i="5"/>
  <c r="B18" i="5"/>
  <c r="G14" i="5"/>
  <c r="K14" i="5" s="1"/>
  <c r="B16" i="5"/>
  <c r="E6" i="5"/>
  <c r="H7" i="5"/>
  <c r="H17" i="5"/>
  <c r="A9" i="5"/>
  <c r="P8" i="5"/>
  <c r="G9" i="5"/>
  <c r="C22" i="5"/>
  <c r="B21" i="5"/>
  <c r="AH7" i="5"/>
  <c r="E16" i="5"/>
  <c r="H14" i="5"/>
  <c r="B19" i="5"/>
  <c r="B7" i="5"/>
  <c r="C14" i="5"/>
  <c r="F5" i="5"/>
  <c r="B20" i="5"/>
  <c r="G13" i="5"/>
  <c r="K13" i="5" s="1"/>
  <c r="AB6" i="5"/>
  <c r="B9" i="5"/>
  <c r="D11" i="5"/>
  <c r="E22" i="5"/>
  <c r="D20" i="5"/>
  <c r="H13" i="5"/>
  <c r="A14" i="5"/>
  <c r="B13" i="5"/>
  <c r="G21" i="5"/>
  <c r="C7" i="5"/>
  <c r="F8" i="5"/>
  <c r="E20" i="5"/>
  <c r="G17" i="5"/>
  <c r="G10" i="5"/>
  <c r="K10" i="5" s="1"/>
  <c r="E11" i="5"/>
  <c r="E14" i="5"/>
  <c r="F9" i="5"/>
  <c r="A13" i="5"/>
  <c r="C21" i="5"/>
  <c r="E5" i="5"/>
  <c r="E8" i="5"/>
  <c r="D8" i="5"/>
  <c r="T8" i="5" s="1"/>
  <c r="E7" i="5"/>
  <c r="L5" i="3"/>
  <c r="P5" i="3" s="1"/>
  <c r="N5" i="3"/>
  <c r="O5" i="3"/>
  <c r="M5" i="3"/>
  <c r="AM11" i="5" l="1"/>
  <c r="AN11" i="5" s="1"/>
  <c r="J11" i="5"/>
  <c r="I11" i="5" s="1"/>
  <c r="AM12" i="5"/>
  <c r="AN12" i="5" s="1"/>
  <c r="J12" i="5"/>
  <c r="I12" i="5" s="1"/>
  <c r="AM13" i="5"/>
  <c r="AN13" i="5" s="1"/>
  <c r="J13" i="5"/>
  <c r="I13" i="5" s="1"/>
  <c r="AM14" i="5"/>
  <c r="AN14" i="5" s="1"/>
  <c r="J14" i="5"/>
  <c r="I14" i="5" s="1"/>
  <c r="AM15" i="5"/>
  <c r="AN15" i="5" s="1"/>
  <c r="J15" i="5"/>
  <c r="I15" i="5" s="1"/>
  <c r="AM10" i="5"/>
  <c r="AN10" i="5" s="1"/>
  <c r="J10" i="5"/>
  <c r="I10" i="5" s="1"/>
  <c r="G5" i="3"/>
  <c r="Q8" i="5"/>
  <c r="O8" i="5" s="1"/>
  <c r="I8" i="5" s="1"/>
  <c r="AC6" i="5"/>
  <c r="AM6" i="5" s="1"/>
  <c r="AN6" i="5" s="1"/>
  <c r="G5" i="5"/>
  <c r="W5" i="5" s="1"/>
  <c r="AI7" i="5"/>
  <c r="AM7" i="5" s="1"/>
  <c r="AN7" i="5" s="1"/>
  <c r="AM8" i="5"/>
  <c r="AN8" i="5" s="1"/>
  <c r="K9" i="5"/>
  <c r="H5" i="3" l="1"/>
  <c r="H5" i="5" s="1"/>
  <c r="AA6" i="5"/>
  <c r="I6" i="5" s="1"/>
  <c r="AG7" i="5"/>
  <c r="I7" i="5" s="1"/>
  <c r="J9" i="5"/>
  <c r="I9" i="5" s="1"/>
  <c r="AM9" i="5"/>
  <c r="AN9" i="5" s="1"/>
  <c r="AM5" i="5"/>
  <c r="AN5" i="5" s="1"/>
  <c r="U5" i="5"/>
  <c r="I5" i="5" s="1"/>
  <c r="D1" i="5" l="1"/>
  <c r="F1" i="5" s="1"/>
</calcChain>
</file>

<file path=xl/sharedStrings.xml><?xml version="1.0" encoding="utf-8"?>
<sst xmlns="http://schemas.openxmlformats.org/spreadsheetml/2006/main" count="270" uniqueCount="227">
  <si>
    <t>Adresse</t>
  </si>
  <si>
    <t>CP</t>
  </si>
  <si>
    <t>VILLE</t>
  </si>
  <si>
    <t>Montant TTC</t>
  </si>
  <si>
    <t>TVA 5,5</t>
  </si>
  <si>
    <t>TVA 7</t>
  </si>
  <si>
    <t>TVA 10</t>
  </si>
  <si>
    <t>TVA 20</t>
  </si>
  <si>
    <t>Date du jour</t>
  </si>
  <si>
    <t>Raison sociale</t>
  </si>
  <si>
    <t>N° facture</t>
  </si>
  <si>
    <t>Date facture</t>
  </si>
  <si>
    <t>Date d'échéance</t>
  </si>
  <si>
    <t>Majoration</t>
  </si>
  <si>
    <t>Solde restant dû</t>
  </si>
  <si>
    <t xml:space="preserve">Première relance </t>
  </si>
  <si>
    <t xml:space="preserve">Deuxième relance </t>
  </si>
  <si>
    <t xml:space="preserve">Troisième relance </t>
  </si>
  <si>
    <t>Observations</t>
  </si>
  <si>
    <t>Taux d’intérêt légal</t>
  </si>
  <si>
    <t>HT</t>
  </si>
  <si>
    <t>Date du Règlement</t>
  </si>
  <si>
    <t>Nbre de Jours en dépassement</t>
  </si>
  <si>
    <t>Montant Total Payé</t>
  </si>
  <si>
    <t>Majoration Payée</t>
  </si>
  <si>
    <t>▼  Réglée  ▼</t>
  </si>
  <si>
    <t>MODE DE PAIEMENT</t>
  </si>
  <si>
    <t>TITULAIRE DU COMPTE</t>
  </si>
  <si>
    <t>N° DE CHEQUE / DOMICILIATION</t>
  </si>
  <si>
    <t>TRANSACTION</t>
  </si>
  <si>
    <t>LIBELLE / ADRESSE MAIL</t>
  </si>
  <si>
    <t>CODE BANQUE</t>
  </si>
  <si>
    <t>CODE GUICHET</t>
  </si>
  <si>
    <t>NUMERO DE COMPTE</t>
  </si>
  <si>
    <t>CLE RIB</t>
  </si>
  <si>
    <t>CODE BIC/SWIFT</t>
  </si>
  <si>
    <t>CODE IBAN</t>
  </si>
  <si>
    <t>ESPECES</t>
  </si>
  <si>
    <t>Nom</t>
  </si>
  <si>
    <t>Code postal</t>
  </si>
  <si>
    <t xml:space="preserve">Ville </t>
  </si>
  <si>
    <t>Téléphone</t>
  </si>
  <si>
    <t>Adresse e-mail</t>
  </si>
  <si>
    <t>N° TVA</t>
  </si>
  <si>
    <t>Code Client</t>
  </si>
  <si>
    <t>Contact Principal</t>
  </si>
  <si>
    <t>Fax</t>
  </si>
  <si>
    <t>Numéro SIREN</t>
  </si>
  <si>
    <t>Numéro SIRET</t>
  </si>
  <si>
    <t>Secteur d'activité</t>
  </si>
  <si>
    <t>ST CLOUD</t>
  </si>
  <si>
    <t>01 46 02 09 09</t>
  </si>
  <si>
    <t>01 46 02 49 08</t>
  </si>
  <si>
    <t>EQUIPEMENTS</t>
  </si>
  <si>
    <t>ALIMENTAIRE</t>
  </si>
  <si>
    <t>PARIS 17</t>
  </si>
  <si>
    <t>01 48 16 27 83</t>
  </si>
  <si>
    <t>CONSOMMABLES</t>
  </si>
  <si>
    <t>NANTES CEDEX 4</t>
  </si>
  <si>
    <t>02 40 46 41 42</t>
  </si>
  <si>
    <t>02 40 46 17 76</t>
  </si>
  <si>
    <t>BOULOGNE BILLANCOURT</t>
  </si>
  <si>
    <t>01 55 38 95 70</t>
  </si>
  <si>
    <t>01 55 38 95 71</t>
  </si>
  <si>
    <t>POLIGNY</t>
  </si>
  <si>
    <t>03 84 73 70 10</t>
  </si>
  <si>
    <t>03 84 73 10 10</t>
  </si>
  <si>
    <t>WEYERSHEIM</t>
  </si>
  <si>
    <t>03 88 68 13 14</t>
  </si>
  <si>
    <t>03 88 68 10 56</t>
  </si>
  <si>
    <t>LILLE</t>
  </si>
  <si>
    <t>08 10 34 34 04</t>
  </si>
  <si>
    <t>08 10 34 34 01</t>
  </si>
  <si>
    <t>MACON</t>
  </si>
  <si>
    <t>03 85 29 11 74</t>
  </si>
  <si>
    <t>03 85 34 63 28</t>
  </si>
  <si>
    <t>PARIS LA DEFENSE CEDEX</t>
  </si>
  <si>
    <t>02 40 41 00 00</t>
  </si>
  <si>
    <t>LE POINCONNET</t>
  </si>
  <si>
    <t>02 54 29 78 33</t>
  </si>
  <si>
    <t>02 54 36 79 08</t>
  </si>
  <si>
    <t>CHEQUES</t>
  </si>
  <si>
    <t>AAA</t>
  </si>
  <si>
    <t>VIREMENT</t>
  </si>
  <si>
    <t>Fred</t>
  </si>
  <si>
    <t>X5444</t>
  </si>
  <si>
    <t>PAYPAL</t>
  </si>
  <si>
    <t>aldebert</t>
  </si>
  <si>
    <t>XXXX</t>
  </si>
  <si>
    <t>Lille</t>
  </si>
  <si>
    <t>Adresse Complète du Client Nom 1</t>
  </si>
  <si>
    <t>Adresse Complète du Client Nom 2</t>
  </si>
  <si>
    <t>Adresse Complète du Client Nom 3</t>
  </si>
  <si>
    <t>Adresse Complète du Client Nom 4</t>
  </si>
  <si>
    <t>Adresse Complète du Client Nom 5</t>
  </si>
  <si>
    <t>Adresse Complète du Client Nom 6</t>
  </si>
  <si>
    <t>Adresse Complète du Client Nom 7</t>
  </si>
  <si>
    <t>Adresse Complète du Client Nom 8</t>
  </si>
  <si>
    <t>Adresse Complète du Client Nom 9</t>
  </si>
  <si>
    <t>Adresse Complète du Client Nom 10</t>
  </si>
  <si>
    <t>Prénom du Contact 1</t>
  </si>
  <si>
    <t>Prénom du Contact 2</t>
  </si>
  <si>
    <t>Prénom du Contact 3</t>
  </si>
  <si>
    <t>Prénom du Contact 4</t>
  </si>
  <si>
    <t>Prénom du Contact 5</t>
  </si>
  <si>
    <t>Prénom du Contact 6</t>
  </si>
  <si>
    <t>Prénom du Contact 7</t>
  </si>
  <si>
    <t>Prénom du Contact 8</t>
  </si>
  <si>
    <t>Prénom du Contact 9</t>
  </si>
  <si>
    <t>Prénom du Contact 10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</si>
  <si>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</si>
  <si>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</si>
  <si>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</si>
  <si>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</si>
  <si>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</si>
  <si>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</si>
  <si>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</si>
  <si>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</si>
  <si>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</si>
  <si>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</si>
  <si>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BNPAFRPPLPD</t>
  </si>
  <si>
    <t>FR7630004022490001094179184</t>
  </si>
  <si>
    <t>FR22 337 588 148</t>
  </si>
  <si>
    <t>FR22 337 588 149</t>
  </si>
  <si>
    <t>FR22 337 588 150</t>
  </si>
  <si>
    <t>FR22 337 588 151</t>
  </si>
  <si>
    <t>FR22 337 588 152</t>
  </si>
  <si>
    <t>FR22 337 588 153</t>
  </si>
  <si>
    <t>FR22 337 588 154</t>
  </si>
  <si>
    <t>FR22 337 588 155</t>
  </si>
  <si>
    <t>FR22 337 588 156</t>
  </si>
  <si>
    <t>FR22 337 588 157</t>
  </si>
  <si>
    <t>prenom_du_contact 1@entreprise.fr</t>
  </si>
  <si>
    <t>prenom_du_contact 2@entreprise.fr</t>
  </si>
  <si>
    <t>prenom_du_contact 3@entreprise.fr</t>
  </si>
  <si>
    <t>prenom_du_contact 4@entreprise.fr</t>
  </si>
  <si>
    <t>prenom_du_contact 5@entreprise.fr</t>
  </si>
  <si>
    <t>prenom_du_contact 6@entreprise.fr</t>
  </si>
  <si>
    <t>prenom_du_contact 7@entreprise.fr</t>
  </si>
  <si>
    <t>prenom_du_contact 8@entreprise.fr</t>
  </si>
  <si>
    <t>prenom_du_contact 9@entreprise.fr</t>
  </si>
  <si>
    <t>prenom_du_contact 10@entreprise.fr</t>
  </si>
  <si>
    <t>Crédit Agricole</t>
  </si>
  <si>
    <t>Paiement Comptant</t>
  </si>
  <si>
    <t>Paiement Différé</t>
  </si>
  <si>
    <t>CHECKBOX</t>
  </si>
  <si>
    <t>IBAN</t>
  </si>
  <si>
    <t>N° TRANSACTION</t>
  </si>
  <si>
    <t>N° TRANSACTION 4</t>
  </si>
  <si>
    <t>NOMBRE ECHEANCE 4</t>
  </si>
  <si>
    <t>NOMBRE ECHEANCE 2</t>
  </si>
  <si>
    <t>NOMBRE ECHEANCE 3</t>
  </si>
  <si>
    <t>MONTANT ECHEANCE 3</t>
  </si>
  <si>
    <t>MONTANT ECHEANCE 2</t>
  </si>
  <si>
    <t>MONTANT ECHEANCE 4</t>
  </si>
  <si>
    <t>CALCUL</t>
  </si>
  <si>
    <t>NOMBRE ECHEANCE 1</t>
  </si>
  <si>
    <t>MONTANT ECHEANCE 1</t>
  </si>
  <si>
    <t>NOMBRE DE JOURS ENTRE ECHEANCE 1</t>
  </si>
  <si>
    <t>NOMBRE DE JOURS ENTRE ECHEANCE 2</t>
  </si>
  <si>
    <t>NOMBRE DE JOURS ENTRE ECHEANCE 4</t>
  </si>
  <si>
    <t>NOMBRE DE JOURS ENTRE ECHEANCE 3</t>
  </si>
  <si>
    <t>TOTAL VIREMENT</t>
  </si>
  <si>
    <t>TOTAL PAYPAL</t>
  </si>
  <si>
    <t>TOTAL CARTE BANCAIRE</t>
  </si>
  <si>
    <t>FIN  ECHEANCE 1</t>
  </si>
  <si>
    <t>FIN ECHEANCE 2</t>
  </si>
  <si>
    <t>FIN ECHEANCE 3</t>
  </si>
  <si>
    <t>NOMBRE DE JOURS ENTRE ECHEANCE 5</t>
  </si>
  <si>
    <t>FIN ECHEANCE 5</t>
  </si>
  <si>
    <t>FIN ECHEANCE 4</t>
  </si>
  <si>
    <t>TOTAL ESPECES</t>
  </si>
  <si>
    <t>NOMBRE ECHEANCE 5</t>
  </si>
  <si>
    <t>MONTANT ECHEANCE 5</t>
  </si>
  <si>
    <t>N° DU CHEQUES</t>
  </si>
  <si>
    <t>TOTAL CHEQUES</t>
  </si>
  <si>
    <t>TOTAL MENUEL</t>
  </si>
  <si>
    <t>DATE BUTEE</t>
  </si>
  <si>
    <t>BNP Paris Bas</t>
  </si>
  <si>
    <t>Reims</t>
  </si>
  <si>
    <t>X9521</t>
  </si>
  <si>
    <t>Société Générale</t>
  </si>
  <si>
    <t>SGNLFRPPNPH</t>
  </si>
  <si>
    <t>FR7630004022490001004519781</t>
  </si>
  <si>
    <t>aze@free.fr</t>
  </si>
  <si>
    <t>AZE ERTY</t>
  </si>
  <si>
    <t>X4235</t>
  </si>
  <si>
    <t>Crédit Mutuelle</t>
  </si>
  <si>
    <t>MPLGFD</t>
  </si>
  <si>
    <t>FACT-1</t>
  </si>
  <si>
    <t>FACT-2</t>
  </si>
  <si>
    <t>FACT-3</t>
  </si>
  <si>
    <t>FACT-4</t>
  </si>
  <si>
    <t>FACT-5</t>
  </si>
  <si>
    <t>FACT-6</t>
  </si>
  <si>
    <t>FACT-7</t>
  </si>
  <si>
    <t>FACT-8</t>
  </si>
  <si>
    <t>FACT-9</t>
  </si>
  <si>
    <t>FACT-10</t>
  </si>
  <si>
    <t>FACT-11</t>
  </si>
  <si>
    <t>FACT-12</t>
  </si>
  <si>
    <t>FACT-13</t>
  </si>
  <si>
    <t>FACT-14</t>
  </si>
  <si>
    <t>FACT-15</t>
  </si>
  <si>
    <t>FACT-16</t>
  </si>
  <si>
    <t>FACT-17</t>
  </si>
  <si>
    <t>FACT-18</t>
  </si>
  <si>
    <t>Appuyer sur paiement pour commencer.</t>
  </si>
  <si>
    <t>ALCOOL</t>
  </si>
  <si>
    <t>AUTOMOBILE</t>
  </si>
  <si>
    <t>BOISSONS</t>
  </si>
  <si>
    <t>BOUCHERIE</t>
  </si>
  <si>
    <t>BOULANGERIE</t>
  </si>
  <si>
    <t>ELECTRONIQUE</t>
  </si>
  <si>
    <t>JARDINERIE</t>
  </si>
  <si>
    <t>CARTE BANCAIRE</t>
  </si>
  <si>
    <t>TxtB_Nbr_ECHEANCE_ESPECES</t>
  </si>
  <si>
    <t>TxtB_ECHEANCE_ESPECES</t>
  </si>
  <si>
    <t>TxtB_ECHEANCE_CHEQUE</t>
  </si>
  <si>
    <t>TxtB_Nbr_ECHEANCE_CHEQUE</t>
  </si>
  <si>
    <t>TxtB_ECHEANCE_VIREMENT</t>
  </si>
  <si>
    <t>TxtB_Nbr_ECHEANCE_VIREMENT</t>
  </si>
  <si>
    <t>TxtB_ECHEANCE_PAYPAL</t>
  </si>
  <si>
    <t>TxtB_Nbr_ECHEANCE_PAYPAL</t>
  </si>
  <si>
    <t>TxtB_ECHEANCE_CARTE_BANCAIRE</t>
  </si>
  <si>
    <t>TxtB_Nbr_ECHEANCE_CARTE_BANCAIRE</t>
  </si>
  <si>
    <t>Nom1.paypal@gmail.com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</si>
</sst>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0"/>
    <numFmt numFmtId="167" formatCode="_-* #,##0.00\ [$€-40C]_-;\-* #,##0.00\ [$€-40C]_-;_-* &quot;-&quot;??\ [$€-40C]_-;_-@_-"/>
    <numFmt numFmtId="168" formatCode="#,##0.00\ [$€-40C];\-#,##0.00\ [$€-40C]"/>
    <numFmt numFmtId="169" formatCode="0#&quot; &quot;##&quot; &quot;##&quot; &quot;##&quot; &quot;##"/>
    <numFmt numFmtId="170" formatCode="000,000,000"/>
    <numFmt numFmtId="171" formatCode="00,000,000,000,000"/>
    <numFmt numFmtId="172" formatCode="00000\ 00\ 000"/>
    <numFmt numFmtId="173" formatCode="_(* #,##0_);_(* \(#,##0\);_(* &quot;-&quot;??_);_(@_)"/>
    <numFmt numFmtId="174" formatCode="0&quot; jours&quot;"/>
    <numFmt numFmtId="175" formatCode="&quot;X &quot;0"/>
    <numFmt numFmtId="176" formatCode="dd/mm/yyyy;@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Yu Gothic UI Semilight"/>
      <family val="2"/>
    </font>
    <font>
      <sz val="10"/>
      <name val="Arial"/>
      <family val="2"/>
    </font>
    <font>
      <u/>
      <sz val="10"/>
      <color theme="10"/>
      <name val="Yu Gothic UI Semilight"/>
      <family val="2"/>
    </font>
    <font>
      <sz val="11"/>
      <color indexed="8"/>
      <name val="Calibri"/>
      <family val="2"/>
    </font>
    <font>
      <sz val="10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b/>
      <sz val="10"/>
      <color rgb="FFFFFF66"/>
      <name val="Calibri"/>
      <family val="2"/>
    </font>
    <font>
      <sz val="11"/>
      <color theme="1"/>
      <name val="Century Gothic"/>
      <family val="2"/>
    </font>
    <font>
      <u/>
      <sz val="11"/>
      <color theme="1"/>
      <name val="Century Gothic"/>
      <family val="2"/>
    </font>
    <font>
      <b/>
      <sz val="11"/>
      <color rgb="FF3366FF"/>
      <name val="Calibri"/>
      <family val="2"/>
      <scheme val="minor"/>
    </font>
    <font>
      <sz val="11"/>
      <color rgb="FF3366FF"/>
      <name val="Calibri"/>
      <family val="2"/>
      <scheme val="minor"/>
    </font>
    <font>
      <sz val="11"/>
      <color rgb="FFFFFF66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rgb="FFFFFF66"/>
      <name val="Tahoma"/>
      <family val="2"/>
    </font>
    <font>
      <u/>
      <sz val="11"/>
      <color theme="1"/>
      <name val="Calibri"/>
      <family val="2"/>
      <scheme val="minor"/>
    </font>
    <font>
      <b/>
      <sz val="10"/>
      <color rgb="FFFFFF66"/>
      <name val="Calibri"/>
      <family val="2"/>
      <scheme val="minor"/>
    </font>
    <font>
      <sz val="10"/>
      <color rgb="FFFFFF66"/>
      <name val="Calibri"/>
      <family val="2"/>
      <scheme val="minor"/>
    </font>
    <font>
      <b/>
      <sz val="10"/>
      <color rgb="FF3366FF"/>
      <name val="Calibri"/>
      <family val="2"/>
      <scheme val="minor"/>
    </font>
    <font>
      <sz val="10"/>
      <color rgb="FF3366FF"/>
      <name val="Calibri"/>
      <family val="2"/>
      <scheme val="minor"/>
    </font>
    <font>
      <sz val="10"/>
      <color rgb="FF2E6A68"/>
      <name val="Calibri"/>
      <family val="2"/>
      <scheme val="minor"/>
    </font>
    <font>
      <sz val="11"/>
      <color rgb="FF2E6A68"/>
      <name val="Calibri"/>
      <family val="2"/>
      <scheme val="minor"/>
    </font>
    <font>
      <sz val="11"/>
      <color rgb="FF2E6A68"/>
      <name val="Century Gothic"/>
      <family val="2"/>
    </font>
    <font>
      <sz val="11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2"/>
      <color rgb="FFFFFD5D"/>
      <name val="Calibri"/>
      <family val="2"/>
      <scheme val="minor"/>
    </font>
    <font>
      <b/>
      <sz val="12"/>
      <color rgb="FFFFFF66"/>
      <name val="Calibri"/>
      <family val="2"/>
      <scheme val="minor"/>
    </font>
    <font>
      <b/>
      <sz val="12"/>
      <color rgb="FFFFFF66"/>
      <name val="Century Gothic"/>
      <family val="2"/>
    </font>
    <font>
      <sz val="10"/>
      <color theme="0" tint="-0.34998626667073579"/>
      <name val="Calibri"/>
      <family val="2"/>
      <scheme val="minor"/>
    </font>
    <font>
      <sz val="11"/>
      <color theme="0" tint="-0.34998626667073579"/>
      <name val="Century Gothic"/>
      <family val="2"/>
    </font>
    <font>
      <b/>
      <sz val="18"/>
      <color rgb="FF002060"/>
      <name val="Calibri"/>
      <family val="2"/>
      <scheme val="minor"/>
    </font>
    <font>
      <b/>
      <sz val="16"/>
      <color rgb="FF002060"/>
      <name val="Digital-7 Mono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002060"/>
      <name val="Century Gothic"/>
      <family val="2"/>
    </font>
    <font>
      <b/>
      <sz val="11"/>
      <color rgb="FF002060"/>
      <name val="Calibri"/>
      <family val="2"/>
      <scheme val="minor"/>
    </font>
    <font>
      <b/>
      <sz val="14"/>
      <color rgb="FF002060"/>
      <name val="Chromia"/>
    </font>
    <font>
      <sz val="14"/>
      <color rgb="FF002060"/>
      <name val="Chromia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2E6A6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D5D"/>
        <bgColor indexed="64"/>
      </patternFill>
    </fill>
  </fills>
  <borders count="20">
    <border>
      <left/>
      <right/>
      <top/>
      <bottom/>
      <diagonal/>
    </border>
    <border>
      <left style="hair">
        <color rgb="FF3366FF"/>
      </left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thin">
        <color rgb="FFFFFF66"/>
      </left>
      <right style="thin">
        <color rgb="FFFFFF66"/>
      </right>
      <top style="thin">
        <color rgb="FFFFFF66"/>
      </top>
      <bottom style="thin">
        <color rgb="FFFFFF66"/>
      </bottom>
      <diagonal/>
    </border>
    <border>
      <left/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hair">
        <color rgb="FF3366FF"/>
      </left>
      <right/>
      <top style="hair">
        <color rgb="FF3366FF"/>
      </top>
      <bottom style="hair">
        <color rgb="FF3366FF"/>
      </bottom>
      <diagonal/>
    </border>
    <border>
      <left style="hair">
        <color rgb="FF2E6A68"/>
      </left>
      <right style="hair">
        <color rgb="FF2E6A68"/>
      </right>
      <top style="hair">
        <color rgb="FF2E6A68"/>
      </top>
      <bottom style="hair">
        <color rgb="FF2E6A68"/>
      </bottom>
      <diagonal/>
    </border>
    <border>
      <left/>
      <right/>
      <top style="thin">
        <color rgb="FFFFFF66"/>
      </top>
      <bottom style="dotted">
        <color rgb="FF002060"/>
      </bottom>
      <diagonal/>
    </border>
    <border>
      <left/>
      <right/>
      <top style="dotted">
        <color rgb="FF002060"/>
      </top>
      <bottom style="dotted">
        <color rgb="FF002060"/>
      </bottom>
      <diagonal/>
    </border>
    <border>
      <left style="hair">
        <color rgb="FF2E6A68"/>
      </left>
      <right style="hair">
        <color rgb="FF2E6A68"/>
      </right>
      <top/>
      <bottom style="hair">
        <color rgb="FF2E6A68"/>
      </bottom>
      <diagonal/>
    </border>
    <border>
      <left style="thin">
        <color rgb="FFFFFFCC"/>
      </left>
      <right style="thin">
        <color rgb="FFFFFFCC"/>
      </right>
      <top style="thin">
        <color rgb="FFFFFFCC"/>
      </top>
      <bottom style="thin">
        <color rgb="FFFFFFCC"/>
      </bottom>
      <diagonal/>
    </border>
    <border>
      <left style="hair">
        <color rgb="FF002060"/>
      </left>
      <right style="hair">
        <color rgb="FF002060"/>
      </right>
      <top style="dotted">
        <color rgb="FF002060"/>
      </top>
      <bottom style="dotted">
        <color rgb="FF002060"/>
      </bottom>
      <diagonal/>
    </border>
    <border>
      <left style="hair">
        <color theme="3"/>
      </left>
      <right style="thin">
        <color rgb="FFFFFF66"/>
      </right>
      <top style="thin">
        <color rgb="FFFFFF66"/>
      </top>
      <bottom style="thin">
        <color rgb="FFFFFF66"/>
      </bottom>
      <diagonal/>
    </border>
    <border>
      <left style="thin">
        <color rgb="FFFFFF66"/>
      </left>
      <right style="hair">
        <color theme="3"/>
      </right>
      <top style="thin">
        <color rgb="FFFFFF66"/>
      </top>
      <bottom style="thin">
        <color rgb="FFFFFF66"/>
      </bottom>
      <diagonal/>
    </border>
    <border>
      <left style="hair">
        <color theme="3"/>
      </left>
      <right/>
      <top style="thin">
        <color rgb="FFFFFF66"/>
      </top>
      <bottom style="dotted">
        <color rgb="FF002060"/>
      </bottom>
      <diagonal/>
    </border>
    <border>
      <left/>
      <right style="hair">
        <color theme="3"/>
      </right>
      <top style="thin">
        <color rgb="FFFFFF66"/>
      </top>
      <bottom style="dotted">
        <color rgb="FF002060"/>
      </bottom>
      <diagonal/>
    </border>
    <border>
      <left style="hair">
        <color theme="3"/>
      </left>
      <right/>
      <top style="dotted">
        <color rgb="FF002060"/>
      </top>
      <bottom style="dotted">
        <color rgb="FF002060"/>
      </bottom>
      <diagonal/>
    </border>
    <border>
      <left/>
      <right style="hair">
        <color theme="3"/>
      </right>
      <top style="dotted">
        <color rgb="FF002060"/>
      </top>
      <bottom style="dotted">
        <color rgb="FF002060"/>
      </bottom>
      <diagonal/>
    </border>
    <border>
      <left/>
      <right/>
      <top/>
      <bottom style="thin">
        <color rgb="FFFFFFCC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rgb="FF3366FF"/>
      </right>
      <top style="hair">
        <color theme="3"/>
      </top>
      <bottom style="hair">
        <color theme="3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35">
    <xf numFmtId="0" fontId="0" fillId="0" borderId="0" xfId="0"/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166" fontId="8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horizontal="left" vertical="center"/>
    </xf>
    <xf numFmtId="169" fontId="8" fillId="4" borderId="0" xfId="0" applyNumberFormat="1" applyFont="1" applyFill="1" applyAlignment="1">
      <alignment horizontal="center" vertical="center"/>
    </xf>
    <xf numFmtId="0" fontId="8" fillId="4" borderId="0" xfId="0" applyNumberFormat="1" applyFont="1" applyFill="1" applyAlignment="1">
      <alignment vertical="center"/>
    </xf>
    <xf numFmtId="170" fontId="8" fillId="4" borderId="0" xfId="0" applyNumberFormat="1" applyFont="1" applyFill="1" applyAlignment="1">
      <alignment vertical="center"/>
    </xf>
    <xf numFmtId="171" fontId="8" fillId="4" borderId="0" xfId="0" applyNumberFormat="1" applyFont="1" applyFill="1" applyAlignment="1">
      <alignment vertical="center"/>
    </xf>
    <xf numFmtId="0" fontId="27" fillId="3" borderId="9" xfId="0" applyFont="1" applyFill="1" applyBorder="1" applyAlignment="1">
      <alignment horizontal="center" vertical="center" wrapText="1"/>
    </xf>
    <xf numFmtId="14" fontId="27" fillId="3" borderId="9" xfId="0" applyNumberFormat="1" applyFont="1" applyFill="1" applyBorder="1" applyAlignment="1">
      <alignment horizontal="center" vertical="center" wrapText="1"/>
    </xf>
    <xf numFmtId="167" fontId="27" fillId="3" borderId="9" xfId="0" applyNumberFormat="1" applyFont="1" applyFill="1" applyBorder="1" applyAlignment="1">
      <alignment horizontal="center" vertical="center" wrapText="1"/>
    </xf>
    <xf numFmtId="1" fontId="27" fillId="3" borderId="9" xfId="2" applyNumberFormat="1" applyFont="1" applyFill="1" applyBorder="1" applyAlignment="1">
      <alignment horizontal="center" vertical="center" wrapText="1"/>
    </xf>
    <xf numFmtId="167" fontId="27" fillId="3" borderId="9" xfId="2" applyNumberFormat="1" applyFont="1" applyFill="1" applyBorder="1" applyAlignment="1">
      <alignment horizontal="center" vertical="center" wrapText="1"/>
    </xf>
    <xf numFmtId="175" fontId="27" fillId="3" borderId="9" xfId="2" applyNumberFormat="1" applyFont="1" applyFill="1" applyBorder="1" applyAlignment="1">
      <alignment horizontal="center" vertical="center" wrapText="1"/>
    </xf>
    <xf numFmtId="174" fontId="27" fillId="3" borderId="9" xfId="2" applyNumberFormat="1" applyFont="1" applyFill="1" applyBorder="1" applyAlignment="1">
      <alignment horizontal="center" vertical="center" wrapText="1"/>
    </xf>
    <xf numFmtId="14" fontId="27" fillId="3" borderId="9" xfId="2" applyNumberFormat="1" applyFont="1" applyFill="1" applyBorder="1" applyAlignment="1">
      <alignment horizontal="center" vertical="center" wrapText="1"/>
    </xf>
    <xf numFmtId="170" fontId="27" fillId="3" borderId="9" xfId="0" applyNumberFormat="1" applyFont="1" applyFill="1" applyBorder="1" applyAlignment="1">
      <alignment horizontal="center" vertical="center" wrapText="1"/>
    </xf>
    <xf numFmtId="167" fontId="27" fillId="3" borderId="9" xfId="3" applyNumberFormat="1" applyFont="1" applyFill="1" applyBorder="1" applyAlignment="1">
      <alignment horizontal="center" vertical="center" wrapText="1"/>
    </xf>
    <xf numFmtId="175" fontId="27" fillId="3" borderId="9" xfId="0" applyNumberFormat="1" applyFont="1" applyFill="1" applyBorder="1" applyAlignment="1">
      <alignment horizontal="center" vertical="center" wrapText="1"/>
    </xf>
    <xf numFmtId="174" fontId="27" fillId="3" borderId="9" xfId="0" applyNumberFormat="1" applyFont="1" applyFill="1" applyBorder="1" applyAlignment="1">
      <alignment horizontal="center" vertical="center" wrapText="1"/>
    </xf>
    <xf numFmtId="0" fontId="27" fillId="3" borderId="9" xfId="0" applyNumberFormat="1" applyFont="1" applyFill="1" applyBorder="1" applyAlignment="1">
      <alignment horizontal="center" vertical="center" wrapText="1"/>
    </xf>
    <xf numFmtId="176" fontId="27" fillId="3" borderId="9" xfId="0" applyNumberFormat="1" applyFont="1" applyFill="1" applyBorder="1" applyAlignment="1">
      <alignment horizontal="center" vertical="center" wrapText="1"/>
    </xf>
    <xf numFmtId="1" fontId="21" fillId="4" borderId="0" xfId="0" applyNumberFormat="1" applyFont="1" applyFill="1"/>
    <xf numFmtId="168" fontId="21" fillId="4" borderId="0" xfId="1" applyNumberFormat="1" applyFont="1" applyFill="1"/>
    <xf numFmtId="0" fontId="21" fillId="4" borderId="0" xfId="0" applyNumberFormat="1" applyFont="1" applyFill="1"/>
    <xf numFmtId="167" fontId="21" fillId="4" borderId="0" xfId="3" applyNumberFormat="1" applyFont="1" applyFill="1"/>
    <xf numFmtId="167" fontId="21" fillId="4" borderId="0" xfId="0" applyNumberFormat="1" applyFont="1" applyFill="1"/>
    <xf numFmtId="0" fontId="21" fillId="4" borderId="0" xfId="0" applyNumberFormat="1" applyFont="1" applyFill="1" applyAlignment="1">
      <alignment horizontal="center" vertical="center"/>
    </xf>
    <xf numFmtId="164" fontId="7" fillId="4" borderId="0" xfId="15" applyNumberFormat="1" applyFill="1"/>
    <xf numFmtId="164" fontId="21" fillId="4" borderId="0" xfId="0" applyNumberFormat="1" applyFont="1" applyFill="1"/>
    <xf numFmtId="0" fontId="21" fillId="4" borderId="0" xfId="0" applyFont="1" applyFill="1"/>
    <xf numFmtId="166" fontId="21" fillId="4" borderId="0" xfId="2" applyNumberFormat="1" applyFont="1" applyFill="1"/>
    <xf numFmtId="0" fontId="21" fillId="4" borderId="0" xfId="0" applyFont="1" applyFill="1" applyAlignment="1">
      <alignment vertical="center"/>
    </xf>
    <xf numFmtId="171" fontId="21" fillId="4" borderId="0" xfId="0" applyNumberFormat="1" applyFont="1" applyFill="1" applyAlignment="1">
      <alignment horizontal="center" vertical="center"/>
    </xf>
    <xf numFmtId="49" fontId="21" fillId="4" borderId="0" xfId="0" applyNumberFormat="1" applyFont="1" applyFill="1" applyAlignment="1">
      <alignment vertical="center"/>
    </xf>
    <xf numFmtId="0" fontId="21" fillId="4" borderId="0" xfId="0" applyFont="1" applyFill="1" applyAlignment="1">
      <alignment horizontal="center" vertical="center"/>
    </xf>
    <xf numFmtId="166" fontId="21" fillId="4" borderId="0" xfId="0" applyNumberFormat="1" applyFont="1" applyFill="1" applyAlignment="1">
      <alignment horizontal="center" vertical="center"/>
    </xf>
    <xf numFmtId="172" fontId="21" fillId="4" borderId="0" xfId="0" applyNumberFormat="1" applyFont="1" applyFill="1"/>
    <xf numFmtId="173" fontId="21" fillId="4" borderId="0" xfId="2" applyNumberFormat="1" applyFont="1" applyFill="1"/>
    <xf numFmtId="0" fontId="13" fillId="4" borderId="0" xfId="0" applyFont="1" applyFill="1"/>
    <xf numFmtId="14" fontId="13" fillId="4" borderId="0" xfId="0" applyNumberFormat="1" applyFont="1" applyFill="1"/>
    <xf numFmtId="168" fontId="13" fillId="4" borderId="0" xfId="1" applyNumberFormat="1" applyFont="1" applyFill="1"/>
    <xf numFmtId="167" fontId="13" fillId="4" borderId="0" xfId="3" applyNumberFormat="1" applyFont="1" applyFill="1"/>
    <xf numFmtId="167" fontId="13" fillId="4" borderId="0" xfId="0" applyNumberFormat="1" applyFont="1" applyFill="1"/>
    <xf numFmtId="166" fontId="13" fillId="4" borderId="0" xfId="2" applyNumberFormat="1" applyFont="1" applyFill="1"/>
    <xf numFmtId="0" fontId="13" fillId="4" borderId="0" xfId="0" applyFont="1" applyFill="1" applyAlignment="1">
      <alignment vertical="center"/>
    </xf>
    <xf numFmtId="171" fontId="13" fillId="4" borderId="0" xfId="0" applyNumberFormat="1" applyFont="1" applyFill="1" applyAlignment="1">
      <alignment horizontal="center" vertical="center"/>
    </xf>
    <xf numFmtId="49" fontId="13" fillId="4" borderId="0" xfId="0" applyNumberFormat="1" applyFont="1" applyFill="1" applyAlignment="1">
      <alignment vertical="center"/>
    </xf>
    <xf numFmtId="0" fontId="13" fillId="4" borderId="0" xfId="0" applyFont="1" applyFill="1" applyAlignment="1">
      <alignment horizontal="center" vertical="center"/>
    </xf>
    <xf numFmtId="166" fontId="13" fillId="4" borderId="0" xfId="0" applyNumberFormat="1" applyFont="1" applyFill="1" applyAlignment="1">
      <alignment horizontal="center" vertical="center"/>
    </xf>
    <xf numFmtId="172" fontId="13" fillId="4" borderId="0" xfId="0" applyNumberFormat="1" applyFont="1" applyFill="1"/>
    <xf numFmtId="173" fontId="13" fillId="4" borderId="0" xfId="2" applyNumberFormat="1" applyFont="1" applyFill="1"/>
    <xf numFmtId="0" fontId="19" fillId="4" borderId="0" xfId="0" applyFont="1" applyFill="1" applyAlignment="1">
      <alignment vertical="center" wrapText="1"/>
    </xf>
    <xf numFmtId="0" fontId="14" fillId="4" borderId="0" xfId="0" applyFont="1" applyFill="1" applyAlignment="1">
      <alignment vertical="center" wrapText="1"/>
    </xf>
    <xf numFmtId="0" fontId="20" fillId="4" borderId="0" xfId="0" applyFont="1" applyFill="1"/>
    <xf numFmtId="14" fontId="21" fillId="4" borderId="0" xfId="0" applyNumberFormat="1" applyFont="1" applyFill="1"/>
    <xf numFmtId="173" fontId="19" fillId="4" borderId="0" xfId="2" applyNumberFormat="1" applyFont="1" applyFill="1" applyAlignment="1">
      <alignment vertical="center" wrapText="1"/>
    </xf>
    <xf numFmtId="0" fontId="12" fillId="4" borderId="0" xfId="0" applyFont="1" applyFill="1"/>
    <xf numFmtId="0" fontId="13" fillId="4" borderId="0" xfId="0" applyFont="1" applyFill="1" applyAlignment="1"/>
    <xf numFmtId="1" fontId="13" fillId="4" borderId="0" xfId="0" applyNumberFormat="1" applyFont="1" applyFill="1"/>
    <xf numFmtId="0" fontId="18" fillId="5" borderId="1" xfId="0" applyFont="1" applyFill="1" applyBorder="1" applyAlignment="1">
      <alignment horizontal="center" vertical="center"/>
    </xf>
    <xf numFmtId="14" fontId="30" fillId="4" borderId="0" xfId="0" applyNumberFormat="1" applyFont="1" applyFill="1" applyAlignment="1">
      <alignment wrapText="1"/>
    </xf>
    <xf numFmtId="14" fontId="10" fillId="4" borderId="0" xfId="0" applyNumberFormat="1" applyFont="1" applyFill="1" applyAlignment="1">
      <alignment horizontal="center" vertical="center"/>
    </xf>
    <xf numFmtId="167" fontId="10" fillId="4" borderId="0" xfId="0" applyNumberFormat="1" applyFont="1" applyFill="1" applyAlignment="1">
      <alignment horizontal="center" vertical="center"/>
    </xf>
    <xf numFmtId="175" fontId="10" fillId="4" borderId="0" xfId="2" applyNumberFormat="1" applyFont="1" applyFill="1" applyAlignment="1">
      <alignment horizontal="center" vertical="center"/>
    </xf>
    <xf numFmtId="174" fontId="10" fillId="4" borderId="0" xfId="2" applyNumberFormat="1" applyFont="1" applyFill="1" applyAlignment="1">
      <alignment horizontal="center" vertical="center"/>
    </xf>
    <xf numFmtId="14" fontId="10" fillId="4" borderId="0" xfId="2" applyNumberFormat="1" applyFont="1" applyFill="1" applyAlignment="1">
      <alignment horizontal="center" vertical="center"/>
    </xf>
    <xf numFmtId="170" fontId="10" fillId="4" borderId="0" xfId="0" applyNumberFormat="1" applyFont="1" applyFill="1" applyAlignment="1">
      <alignment horizontal="left" vertical="center"/>
    </xf>
    <xf numFmtId="167" fontId="10" fillId="4" borderId="0" xfId="3" applyNumberFormat="1" applyFont="1" applyFill="1" applyAlignment="1">
      <alignment horizontal="center" vertical="center"/>
    </xf>
    <xf numFmtId="175" fontId="10" fillId="4" borderId="0" xfId="0" applyNumberFormat="1" applyFont="1" applyFill="1" applyAlignment="1">
      <alignment horizontal="center" vertical="center"/>
    </xf>
    <xf numFmtId="174" fontId="10" fillId="4" borderId="0" xfId="0" applyNumberFormat="1" applyFont="1" applyFill="1" applyAlignment="1">
      <alignment horizontal="center" vertical="center"/>
    </xf>
    <xf numFmtId="0" fontId="10" fillId="4" borderId="0" xfId="0" applyNumberFormat="1" applyFont="1" applyFill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left" vertical="center"/>
    </xf>
    <xf numFmtId="167" fontId="10" fillId="4" borderId="0" xfId="2" applyNumberFormat="1" applyFont="1" applyFill="1" applyAlignment="1">
      <alignment horizontal="center" vertical="center"/>
    </xf>
    <xf numFmtId="176" fontId="10" fillId="4" borderId="0" xfId="0" applyNumberFormat="1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14" fontId="0" fillId="4" borderId="0" xfId="0" applyNumberFormat="1" applyFont="1" applyFill="1" applyAlignment="1">
      <alignment horizontal="center" vertical="center"/>
    </xf>
    <xf numFmtId="167" fontId="0" fillId="4" borderId="0" xfId="0" applyNumberFormat="1" applyFont="1" applyFill="1" applyAlignment="1">
      <alignment horizontal="center" vertical="center"/>
    </xf>
    <xf numFmtId="1" fontId="0" fillId="4" borderId="0" xfId="2" applyNumberFormat="1" applyFont="1" applyFill="1" applyAlignment="1">
      <alignment horizontal="center" vertical="center"/>
    </xf>
    <xf numFmtId="167" fontId="0" fillId="4" borderId="0" xfId="2" applyNumberFormat="1" applyFont="1" applyFill="1" applyAlignment="1">
      <alignment horizontal="center" vertical="center"/>
    </xf>
    <xf numFmtId="175" fontId="0" fillId="4" borderId="0" xfId="2" applyNumberFormat="1" applyFont="1" applyFill="1" applyAlignment="1">
      <alignment horizontal="center" vertical="center"/>
    </xf>
    <xf numFmtId="174" fontId="0" fillId="4" borderId="0" xfId="2" applyNumberFormat="1" applyFont="1" applyFill="1" applyAlignment="1">
      <alignment horizontal="center" vertical="center"/>
    </xf>
    <xf numFmtId="14" fontId="0" fillId="4" borderId="0" xfId="2" applyNumberFormat="1" applyFont="1" applyFill="1" applyAlignment="1">
      <alignment horizontal="center" vertical="center"/>
    </xf>
    <xf numFmtId="170" fontId="0" fillId="4" borderId="0" xfId="0" applyNumberFormat="1" applyFont="1" applyFill="1" applyAlignment="1">
      <alignment horizontal="left" vertical="center"/>
    </xf>
    <xf numFmtId="167" fontId="0" fillId="4" borderId="0" xfId="3" applyNumberFormat="1" applyFont="1" applyFill="1" applyAlignment="1">
      <alignment horizontal="center" vertical="center"/>
    </xf>
    <xf numFmtId="175" fontId="0" fillId="4" borderId="0" xfId="0" applyNumberFormat="1" applyFont="1" applyFill="1" applyAlignment="1">
      <alignment horizontal="center" vertical="center"/>
    </xf>
    <xf numFmtId="174" fontId="0" fillId="4" borderId="0" xfId="0" applyNumberFormat="1" applyFont="1" applyFill="1" applyAlignment="1">
      <alignment horizontal="center" vertical="center"/>
    </xf>
    <xf numFmtId="0" fontId="0" fillId="4" borderId="0" xfId="0" applyNumberFormat="1" applyFont="1" applyFill="1" applyAlignment="1">
      <alignment horizontal="left" vertical="center"/>
    </xf>
    <xf numFmtId="0" fontId="0" fillId="4" borderId="0" xfId="0" applyFont="1" applyFill="1" applyAlignment="1">
      <alignment horizontal="left" vertical="center"/>
    </xf>
    <xf numFmtId="176" fontId="0" fillId="4" borderId="0" xfId="0" applyNumberFormat="1" applyFont="1" applyFill="1" applyAlignment="1">
      <alignment horizontal="center" vertical="center"/>
    </xf>
    <xf numFmtId="0" fontId="28" fillId="4" borderId="0" xfId="0" applyFont="1" applyFill="1" applyAlignment="1">
      <alignment horizontal="center" vertical="center" wrapText="1"/>
    </xf>
    <xf numFmtId="0" fontId="29" fillId="4" borderId="0" xfId="0" applyFont="1" applyFill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0" fillId="4" borderId="0" xfId="0" applyFont="1" applyFill="1" applyBorder="1" applyAlignment="1">
      <alignment horizontal="center" vertical="center" wrapText="1"/>
    </xf>
    <xf numFmtId="175" fontId="0" fillId="4" borderId="0" xfId="2" applyNumberFormat="1" applyFont="1" applyFill="1" applyBorder="1" applyAlignment="1">
      <alignment horizontal="center" vertical="center" wrapText="1"/>
    </xf>
    <xf numFmtId="174" fontId="0" fillId="4" borderId="0" xfId="2" applyNumberFormat="1" applyFont="1" applyFill="1" applyBorder="1" applyAlignment="1">
      <alignment horizontal="center" vertical="center" wrapText="1"/>
    </xf>
    <xf numFmtId="14" fontId="0" fillId="4" borderId="0" xfId="2" applyNumberFormat="1" applyFont="1" applyFill="1" applyBorder="1" applyAlignment="1">
      <alignment horizontal="center" vertical="center" wrapText="1"/>
    </xf>
    <xf numFmtId="167" fontId="0" fillId="4" borderId="0" xfId="0" applyNumberFormat="1" applyFont="1" applyFill="1" applyBorder="1" applyAlignment="1">
      <alignment horizontal="center" vertical="center"/>
    </xf>
    <xf numFmtId="175" fontId="0" fillId="4" borderId="0" xfId="2" applyNumberFormat="1" applyFont="1" applyFill="1" applyBorder="1" applyAlignment="1">
      <alignment horizontal="center" vertical="center"/>
    </xf>
    <xf numFmtId="174" fontId="0" fillId="4" borderId="0" xfId="2" applyNumberFormat="1" applyFont="1" applyFill="1" applyBorder="1" applyAlignment="1">
      <alignment horizontal="center" vertical="center"/>
    </xf>
    <xf numFmtId="14" fontId="0" fillId="4" borderId="0" xfId="2" applyNumberFormat="1" applyFont="1" applyFill="1" applyBorder="1" applyAlignment="1">
      <alignment horizontal="center" vertical="center"/>
    </xf>
    <xf numFmtId="167" fontId="17" fillId="4" borderId="0" xfId="0" applyNumberFormat="1" applyFont="1" applyFill="1" applyBorder="1" applyAlignment="1">
      <alignment horizontal="center" vertical="center"/>
    </xf>
    <xf numFmtId="1" fontId="10" fillId="4" borderId="0" xfId="2" applyNumberFormat="1" applyFont="1" applyFill="1" applyAlignment="1">
      <alignment horizontal="center" vertical="center"/>
    </xf>
    <xf numFmtId="167" fontId="11" fillId="4" borderId="0" xfId="0" applyNumberFormat="1" applyFont="1" applyFill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9" fontId="31" fillId="4" borderId="0" xfId="1" applyFont="1" applyFill="1" applyAlignment="1">
      <alignment horizontal="center" vertical="center"/>
    </xf>
    <xf numFmtId="14" fontId="24" fillId="6" borderId="1" xfId="0" applyNumberFormat="1" applyFont="1" applyFill="1" applyBorder="1" applyAlignment="1">
      <alignment horizontal="center" vertical="center"/>
    </xf>
    <xf numFmtId="0" fontId="32" fillId="4" borderId="0" xfId="0" applyFont="1" applyFill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35" fillId="4" borderId="0" xfId="0" applyFont="1" applyFill="1" applyAlignment="1">
      <alignment vertical="center" wrapText="1"/>
    </xf>
    <xf numFmtId="0" fontId="36" fillId="4" borderId="0" xfId="0" applyFont="1" applyFill="1" applyAlignment="1">
      <alignment vertical="center" wrapText="1"/>
    </xf>
    <xf numFmtId="0" fontId="35" fillId="4" borderId="0" xfId="0" applyFont="1" applyFill="1" applyAlignment="1">
      <alignment vertical="center"/>
    </xf>
    <xf numFmtId="0" fontId="36" fillId="4" borderId="0" xfId="0" applyFont="1" applyFill="1" applyAlignment="1">
      <alignment vertical="center"/>
    </xf>
    <xf numFmtId="0" fontId="6" fillId="7" borderId="6" xfId="0" applyFont="1" applyFill="1" applyBorder="1" applyAlignment="1">
      <alignment vertical="center"/>
    </xf>
    <xf numFmtId="166" fontId="6" fillId="7" borderId="6" xfId="0" applyNumberFormat="1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left" vertical="center"/>
    </xf>
    <xf numFmtId="169" fontId="6" fillId="7" borderId="6" xfId="0" applyNumberFormat="1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170" fontId="6" fillId="7" borderId="6" xfId="0" applyNumberFormat="1" applyFont="1" applyFill="1" applyBorder="1" applyAlignment="1">
      <alignment vertical="center"/>
    </xf>
    <xf numFmtId="0" fontId="6" fillId="7" borderId="7" xfId="0" applyFont="1" applyFill="1" applyBorder="1" applyAlignment="1">
      <alignment vertical="center"/>
    </xf>
    <xf numFmtId="166" fontId="6" fillId="7" borderId="7" xfId="0" applyNumberFormat="1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left" vertical="center"/>
    </xf>
    <xf numFmtId="169" fontId="6" fillId="7" borderId="7" xfId="0" applyNumberFormat="1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170" fontId="6" fillId="7" borderId="7" xfId="0" applyNumberFormat="1" applyFont="1" applyFill="1" applyBorder="1" applyAlignment="1">
      <alignment vertical="center"/>
    </xf>
    <xf numFmtId="14" fontId="34" fillId="7" borderId="1" xfId="0" applyNumberFormat="1" applyFont="1" applyFill="1" applyBorder="1" applyAlignment="1">
      <alignment horizontal="center" vertical="center"/>
    </xf>
    <xf numFmtId="9" fontId="35" fillId="7" borderId="1" xfId="1" applyNumberFormat="1" applyFont="1" applyFill="1" applyBorder="1" applyAlignment="1">
      <alignment vertical="center"/>
    </xf>
    <xf numFmtId="0" fontId="22" fillId="7" borderId="8" xfId="0" applyFont="1" applyFill="1" applyBorder="1" applyAlignment="1">
      <alignment horizontal="center" vertical="center"/>
    </xf>
    <xf numFmtId="14" fontId="22" fillId="7" borderId="8" xfId="0" applyNumberFormat="1" applyFont="1" applyFill="1" applyBorder="1" applyAlignment="1">
      <alignment horizontal="center" vertical="center"/>
    </xf>
    <xf numFmtId="167" fontId="22" fillId="7" borderId="8" xfId="0" applyNumberFormat="1" applyFont="1" applyFill="1" applyBorder="1" applyAlignment="1">
      <alignment horizontal="center" vertical="center"/>
    </xf>
    <xf numFmtId="1" fontId="22" fillId="7" borderId="8" xfId="2" applyNumberFormat="1" applyFont="1" applyFill="1" applyBorder="1" applyAlignment="1">
      <alignment horizontal="center" vertical="center"/>
    </xf>
    <xf numFmtId="175" fontId="22" fillId="7" borderId="8" xfId="2" applyNumberFormat="1" applyFont="1" applyFill="1" applyBorder="1" applyAlignment="1">
      <alignment horizontal="center" vertical="center"/>
    </xf>
    <xf numFmtId="174" fontId="22" fillId="7" borderId="8" xfId="2" applyNumberFormat="1" applyFont="1" applyFill="1" applyBorder="1" applyAlignment="1">
      <alignment horizontal="center" vertical="center"/>
    </xf>
    <xf numFmtId="14" fontId="22" fillId="7" borderId="8" xfId="2" applyNumberFormat="1" applyFont="1" applyFill="1" applyBorder="1" applyAlignment="1">
      <alignment horizontal="center" vertical="center"/>
    </xf>
    <xf numFmtId="170" fontId="22" fillId="7" borderId="8" xfId="0" applyNumberFormat="1" applyFont="1" applyFill="1" applyBorder="1" applyAlignment="1">
      <alignment horizontal="left" vertical="center"/>
    </xf>
    <xf numFmtId="167" fontId="22" fillId="7" borderId="8" xfId="3" applyNumberFormat="1" applyFont="1" applyFill="1" applyBorder="1" applyAlignment="1">
      <alignment horizontal="center" vertical="center"/>
    </xf>
    <xf numFmtId="175" fontId="22" fillId="7" borderId="8" xfId="0" applyNumberFormat="1" applyFont="1" applyFill="1" applyBorder="1" applyAlignment="1">
      <alignment horizontal="center" vertical="center"/>
    </xf>
    <xf numFmtId="174" fontId="22" fillId="7" borderId="8" xfId="0" applyNumberFormat="1" applyFont="1" applyFill="1" applyBorder="1" applyAlignment="1">
      <alignment horizontal="center" vertical="center"/>
    </xf>
    <xf numFmtId="0" fontId="22" fillId="7" borderId="8" xfId="0" applyNumberFormat="1" applyFont="1" applyFill="1" applyBorder="1" applyAlignment="1">
      <alignment horizontal="left" vertical="center"/>
    </xf>
    <xf numFmtId="0" fontId="22" fillId="7" borderId="8" xfId="0" applyFont="1" applyFill="1" applyBorder="1" applyAlignment="1">
      <alignment horizontal="left" vertical="center"/>
    </xf>
    <xf numFmtId="167" fontId="22" fillId="7" borderId="8" xfId="2" applyNumberFormat="1" applyFont="1" applyFill="1" applyBorder="1" applyAlignment="1">
      <alignment horizontal="center" vertical="center"/>
    </xf>
    <xf numFmtId="176" fontId="22" fillId="7" borderId="8" xfId="2" applyNumberFormat="1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14" fontId="22" fillId="7" borderId="5" xfId="0" applyNumberFormat="1" applyFont="1" applyFill="1" applyBorder="1" applyAlignment="1">
      <alignment horizontal="center" vertical="center"/>
    </xf>
    <xf numFmtId="167" fontId="22" fillId="7" borderId="5" xfId="0" applyNumberFormat="1" applyFont="1" applyFill="1" applyBorder="1" applyAlignment="1">
      <alignment horizontal="center" vertical="center"/>
    </xf>
    <xf numFmtId="1" fontId="22" fillId="7" borderId="5" xfId="2" applyNumberFormat="1" applyFont="1" applyFill="1" applyBorder="1" applyAlignment="1">
      <alignment horizontal="center" vertical="center"/>
    </xf>
    <xf numFmtId="167" fontId="22" fillId="7" borderId="5" xfId="2" applyNumberFormat="1" applyFont="1" applyFill="1" applyBorder="1" applyAlignment="1">
      <alignment horizontal="center" vertical="center"/>
    </xf>
    <xf numFmtId="175" fontId="22" fillId="7" borderId="5" xfId="2" applyNumberFormat="1" applyFont="1" applyFill="1" applyBorder="1" applyAlignment="1">
      <alignment horizontal="center" vertical="center"/>
    </xf>
    <xf numFmtId="174" fontId="22" fillId="7" borderId="5" xfId="2" applyNumberFormat="1" applyFont="1" applyFill="1" applyBorder="1" applyAlignment="1">
      <alignment horizontal="center" vertical="center"/>
    </xf>
    <xf numFmtId="14" fontId="22" fillId="7" borderId="5" xfId="2" applyNumberFormat="1" applyFont="1" applyFill="1" applyBorder="1" applyAlignment="1">
      <alignment horizontal="center" vertical="center"/>
    </xf>
    <xf numFmtId="170" fontId="22" fillId="7" borderId="5" xfId="0" applyNumberFormat="1" applyFont="1" applyFill="1" applyBorder="1" applyAlignment="1">
      <alignment horizontal="left" vertical="center"/>
    </xf>
    <xf numFmtId="167" fontId="22" fillId="7" borderId="5" xfId="3" applyNumberFormat="1" applyFont="1" applyFill="1" applyBorder="1" applyAlignment="1">
      <alignment horizontal="center" vertical="center"/>
    </xf>
    <xf numFmtId="175" fontId="22" fillId="7" borderId="5" xfId="0" applyNumberFormat="1" applyFont="1" applyFill="1" applyBorder="1" applyAlignment="1">
      <alignment horizontal="center" vertical="center"/>
    </xf>
    <xf numFmtId="174" fontId="22" fillId="7" borderId="5" xfId="0" applyNumberFormat="1" applyFont="1" applyFill="1" applyBorder="1" applyAlignment="1">
      <alignment horizontal="center" vertical="center"/>
    </xf>
    <xf numFmtId="0" fontId="22" fillId="7" borderId="5" xfId="0" applyNumberFormat="1" applyFont="1" applyFill="1" applyBorder="1" applyAlignment="1">
      <alignment horizontal="left" vertical="center"/>
    </xf>
    <xf numFmtId="0" fontId="22" fillId="7" borderId="5" xfId="0" applyFont="1" applyFill="1" applyBorder="1" applyAlignment="1">
      <alignment horizontal="left" vertical="center"/>
    </xf>
    <xf numFmtId="176" fontId="22" fillId="7" borderId="5" xfId="2" applyNumberFormat="1" applyFont="1" applyFill="1" applyBorder="1" applyAlignment="1">
      <alignment horizontal="center" vertical="center"/>
    </xf>
    <xf numFmtId="0" fontId="22" fillId="7" borderId="5" xfId="0" applyNumberFormat="1" applyFont="1" applyFill="1" applyBorder="1" applyAlignment="1">
      <alignment horizontal="center" vertical="center"/>
    </xf>
    <xf numFmtId="2" fontId="22" fillId="7" borderId="5" xfId="2" applyNumberFormat="1" applyFont="1" applyFill="1" applyBorder="1" applyAlignment="1">
      <alignment horizontal="center" vertical="center"/>
    </xf>
    <xf numFmtId="167" fontId="22" fillId="7" borderId="5" xfId="0" applyNumberFormat="1" applyFont="1" applyFill="1" applyBorder="1" applyAlignment="1" applyProtection="1">
      <alignment horizontal="center" vertical="center"/>
    </xf>
    <xf numFmtId="174" fontId="22" fillId="7" borderId="5" xfId="2" applyNumberFormat="1" applyFont="1" applyFill="1" applyBorder="1" applyAlignment="1" applyProtection="1">
      <alignment horizontal="center" vertical="center"/>
    </xf>
    <xf numFmtId="14" fontId="22" fillId="7" borderId="5" xfId="2" applyNumberFormat="1" applyFont="1" applyFill="1" applyBorder="1" applyAlignment="1" applyProtection="1">
      <alignment horizontal="center" vertical="center"/>
    </xf>
    <xf numFmtId="0" fontId="6" fillId="7" borderId="10" xfId="0" applyFont="1" applyFill="1" applyBorder="1"/>
    <xf numFmtId="0" fontId="9" fillId="2" borderId="11" xfId="0" applyNumberFormat="1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vertical="center"/>
    </xf>
    <xf numFmtId="171" fontId="6" fillId="7" borderId="14" xfId="0" applyNumberFormat="1" applyFont="1" applyFill="1" applyBorder="1" applyAlignment="1">
      <alignment vertical="center"/>
    </xf>
    <xf numFmtId="0" fontId="6" fillId="7" borderId="15" xfId="0" applyFont="1" applyFill="1" applyBorder="1" applyAlignment="1">
      <alignment vertical="center"/>
    </xf>
    <xf numFmtId="0" fontId="6" fillId="7" borderId="16" xfId="0" applyFont="1" applyFill="1" applyBorder="1" applyAlignment="1">
      <alignment vertical="center"/>
    </xf>
    <xf numFmtId="0" fontId="26" fillId="7" borderId="6" xfId="15" applyNumberFormat="1" applyFont="1" applyFill="1" applyBorder="1" applyAlignment="1">
      <alignment vertical="center"/>
    </xf>
    <xf numFmtId="0" fontId="26" fillId="7" borderId="7" xfId="15" applyNumberFormat="1" applyFont="1" applyFill="1" applyBorder="1" applyAlignment="1">
      <alignment vertical="center"/>
    </xf>
    <xf numFmtId="167" fontId="37" fillId="4" borderId="0" xfId="0" applyNumberFormat="1" applyFont="1" applyFill="1" applyAlignment="1">
      <alignment horizontal="center" vertical="center"/>
    </xf>
    <xf numFmtId="167" fontId="37" fillId="4" borderId="0" xfId="3" applyNumberFormat="1" applyFont="1" applyFill="1" applyAlignment="1">
      <alignment horizontal="center" vertical="center"/>
    </xf>
    <xf numFmtId="0" fontId="37" fillId="4" borderId="0" xfId="0" applyFont="1" applyFill="1" applyAlignment="1">
      <alignment horizontal="center" vertical="center"/>
    </xf>
    <xf numFmtId="0" fontId="37" fillId="4" borderId="0" xfId="0" applyFont="1" applyFill="1" applyAlignment="1">
      <alignment horizontal="left" vertical="center"/>
    </xf>
    <xf numFmtId="167" fontId="38" fillId="4" borderId="0" xfId="0" applyNumberFormat="1" applyFont="1" applyFill="1" applyAlignment="1">
      <alignment horizontal="center" vertical="center"/>
    </xf>
    <xf numFmtId="0" fontId="38" fillId="4" borderId="0" xfId="0" applyFont="1" applyFill="1" applyAlignment="1">
      <alignment horizontal="center" vertical="center"/>
    </xf>
    <xf numFmtId="14" fontId="38" fillId="4" borderId="0" xfId="0" applyNumberFormat="1" applyFont="1" applyFill="1" applyAlignment="1">
      <alignment horizontal="center" vertical="center"/>
    </xf>
    <xf numFmtId="175" fontId="38" fillId="4" borderId="17" xfId="2" applyNumberFormat="1" applyFont="1" applyFill="1" applyBorder="1" applyAlignment="1">
      <alignment vertical="center"/>
    </xf>
    <xf numFmtId="174" fontId="38" fillId="4" borderId="17" xfId="2" applyNumberFormat="1" applyFont="1" applyFill="1" applyBorder="1" applyAlignment="1">
      <alignment vertical="center"/>
    </xf>
    <xf numFmtId="170" fontId="38" fillId="4" borderId="0" xfId="0" applyNumberFormat="1" applyFont="1" applyFill="1" applyAlignment="1">
      <alignment horizontal="left" vertical="center"/>
    </xf>
    <xf numFmtId="167" fontId="38" fillId="4" borderId="0" xfId="3" applyNumberFormat="1" applyFont="1" applyFill="1" applyAlignment="1">
      <alignment horizontal="center" vertical="center"/>
    </xf>
    <xf numFmtId="174" fontId="38" fillId="4" borderId="0" xfId="0" applyNumberFormat="1" applyFont="1" applyFill="1" applyAlignment="1">
      <alignment horizontal="center" vertical="center"/>
    </xf>
    <xf numFmtId="0" fontId="38" fillId="4" borderId="0" xfId="0" applyNumberFormat="1" applyFont="1" applyFill="1" applyAlignment="1">
      <alignment horizontal="left" vertical="center"/>
    </xf>
    <xf numFmtId="175" fontId="38" fillId="4" borderId="0" xfId="0" applyNumberFormat="1" applyFont="1" applyFill="1" applyAlignment="1">
      <alignment horizontal="center" vertical="center"/>
    </xf>
    <xf numFmtId="0" fontId="38" fillId="4" borderId="0" xfId="0" applyFont="1" applyFill="1" applyAlignment="1">
      <alignment horizontal="left" vertical="center"/>
    </xf>
    <xf numFmtId="173" fontId="39" fillId="4" borderId="0" xfId="2" applyNumberFormat="1" applyFont="1" applyFill="1" applyAlignment="1">
      <alignment horizontal="center" vertical="center"/>
    </xf>
    <xf numFmtId="173" fontId="40" fillId="4" borderId="0" xfId="2" applyNumberFormat="1" applyFont="1" applyFill="1" applyAlignment="1">
      <alignment horizontal="center"/>
    </xf>
    <xf numFmtId="0" fontId="34" fillId="7" borderId="18" xfId="0" applyFont="1" applyFill="1" applyBorder="1" applyAlignment="1">
      <alignment vertical="center"/>
    </xf>
    <xf numFmtId="0" fontId="35" fillId="7" borderId="18" xfId="0" applyFont="1" applyFill="1" applyBorder="1" applyAlignment="1">
      <alignment vertical="center"/>
    </xf>
    <xf numFmtId="14" fontId="35" fillId="7" borderId="18" xfId="0" applyNumberFormat="1" applyFont="1" applyFill="1" applyBorder="1" applyAlignment="1">
      <alignment horizontal="right" vertical="center" wrapText="1"/>
    </xf>
    <xf numFmtId="168" fontId="35" fillId="7" borderId="18" xfId="1" applyNumberFormat="1" applyFont="1" applyFill="1" applyBorder="1" applyAlignment="1">
      <alignment horizontal="right" vertical="center"/>
    </xf>
    <xf numFmtId="1" fontId="35" fillId="7" borderId="18" xfId="0" applyNumberFormat="1" applyFont="1" applyFill="1" applyBorder="1" applyAlignment="1">
      <alignment horizontal="right" vertical="center"/>
    </xf>
    <xf numFmtId="0" fontId="35" fillId="7" borderId="18" xfId="0" applyNumberFormat="1" applyFont="1" applyFill="1" applyBorder="1" applyAlignment="1">
      <alignment vertical="center"/>
    </xf>
    <xf numFmtId="14" fontId="35" fillId="7" borderId="18" xfId="0" applyNumberFormat="1" applyFont="1" applyFill="1" applyBorder="1" applyAlignment="1">
      <alignment vertical="center"/>
    </xf>
    <xf numFmtId="167" fontId="35" fillId="7" borderId="18" xfId="3" applyNumberFormat="1" applyFont="1" applyFill="1" applyBorder="1" applyAlignment="1">
      <alignment vertical="center"/>
    </xf>
    <xf numFmtId="167" fontId="35" fillId="7" borderId="18" xfId="0" applyNumberFormat="1" applyFont="1" applyFill="1" applyBorder="1" applyAlignment="1">
      <alignment vertical="center"/>
    </xf>
    <xf numFmtId="0" fontId="35" fillId="7" borderId="18" xfId="2" applyNumberFormat="1" applyFont="1" applyFill="1" applyBorder="1" applyAlignment="1">
      <alignment horizontal="center" vertical="center"/>
    </xf>
    <xf numFmtId="0" fontId="35" fillId="7" borderId="18" xfId="0" applyNumberFormat="1" applyFont="1" applyFill="1" applyBorder="1" applyAlignment="1">
      <alignment horizontal="center" vertical="center"/>
    </xf>
    <xf numFmtId="164" fontId="35" fillId="7" borderId="18" xfId="0" applyNumberFormat="1" applyFont="1" applyFill="1" applyBorder="1" applyAlignment="1">
      <alignment vertical="center"/>
    </xf>
    <xf numFmtId="166" fontId="35" fillId="7" borderId="18" xfId="2" applyNumberFormat="1" applyFont="1" applyFill="1" applyBorder="1" applyAlignment="1">
      <alignment vertical="center"/>
    </xf>
    <xf numFmtId="171" fontId="35" fillId="7" borderId="18" xfId="2" applyNumberFormat="1" applyFont="1" applyFill="1" applyBorder="1" applyAlignment="1">
      <alignment horizontal="center" vertical="center"/>
    </xf>
    <xf numFmtId="49" fontId="35" fillId="7" borderId="18" xfId="2" applyNumberFormat="1" applyFont="1" applyFill="1" applyBorder="1" applyAlignment="1">
      <alignment vertical="center"/>
    </xf>
    <xf numFmtId="166" fontId="35" fillId="7" borderId="18" xfId="2" applyNumberFormat="1" applyFont="1" applyFill="1" applyBorder="1" applyAlignment="1">
      <alignment horizontal="center" vertical="center"/>
    </xf>
    <xf numFmtId="172" fontId="35" fillId="7" borderId="18" xfId="2" applyNumberFormat="1" applyFont="1" applyFill="1" applyBorder="1" applyAlignment="1">
      <alignment vertical="center"/>
    </xf>
    <xf numFmtId="167" fontId="35" fillId="7" borderId="18" xfId="2" applyNumberFormat="1" applyFont="1" applyFill="1" applyBorder="1" applyAlignment="1">
      <alignment vertical="center"/>
    </xf>
    <xf numFmtId="173" fontId="35" fillId="7" borderId="18" xfId="2" applyNumberFormat="1" applyFont="1" applyFill="1" applyBorder="1" applyAlignment="1">
      <alignment vertical="center"/>
    </xf>
    <xf numFmtId="0" fontId="36" fillId="7" borderId="18" xfId="0" applyFont="1" applyFill="1" applyBorder="1"/>
    <xf numFmtId="0" fontId="35" fillId="7" borderId="18" xfId="0" applyFont="1" applyFill="1" applyBorder="1"/>
    <xf numFmtId="14" fontId="35" fillId="7" borderId="18" xfId="0" applyNumberFormat="1" applyFont="1" applyFill="1" applyBorder="1" applyAlignment="1">
      <alignment horizontal="right" vertical="center"/>
    </xf>
    <xf numFmtId="0" fontId="18" fillId="5" borderId="18" xfId="0" applyFont="1" applyFill="1" applyBorder="1" applyAlignment="1">
      <alignment horizontal="center" vertical="center" wrapText="1"/>
    </xf>
    <xf numFmtId="14" fontId="18" fillId="5" borderId="18" xfId="0" applyNumberFormat="1" applyFont="1" applyFill="1" applyBorder="1" applyAlignment="1">
      <alignment horizontal="center" vertical="center" wrapText="1"/>
    </xf>
    <xf numFmtId="168" fontId="18" fillId="5" borderId="18" xfId="1" applyNumberFormat="1" applyFont="1" applyFill="1" applyBorder="1" applyAlignment="1">
      <alignment horizontal="center" vertical="center" wrapText="1"/>
    </xf>
    <xf numFmtId="1" fontId="18" fillId="5" borderId="18" xfId="0" applyNumberFormat="1" applyFont="1" applyFill="1" applyBorder="1" applyAlignment="1">
      <alignment horizontal="center" vertical="center" wrapText="1"/>
    </xf>
    <xf numFmtId="0" fontId="18" fillId="5" borderId="18" xfId="0" applyNumberFormat="1" applyFont="1" applyFill="1" applyBorder="1" applyAlignment="1">
      <alignment horizontal="center" vertical="center" wrapText="1"/>
    </xf>
    <xf numFmtId="167" fontId="18" fillId="5" borderId="18" xfId="3" applyNumberFormat="1" applyFont="1" applyFill="1" applyBorder="1" applyAlignment="1">
      <alignment horizontal="center" vertical="center" wrapText="1"/>
    </xf>
    <xf numFmtId="167" fontId="18" fillId="5" borderId="18" xfId="0" applyNumberFormat="1" applyFont="1" applyFill="1" applyBorder="1" applyAlignment="1">
      <alignment horizontal="center" vertical="center" wrapText="1"/>
    </xf>
    <xf numFmtId="164" fontId="18" fillId="5" borderId="18" xfId="0" applyNumberFormat="1" applyFont="1" applyFill="1" applyBorder="1" applyAlignment="1">
      <alignment horizontal="center" vertical="center" wrapText="1"/>
    </xf>
    <xf numFmtId="166" fontId="18" fillId="5" borderId="18" xfId="2" applyNumberFormat="1" applyFont="1" applyFill="1" applyBorder="1" applyAlignment="1">
      <alignment horizontal="center" vertical="center" wrapText="1"/>
    </xf>
    <xf numFmtId="171" fontId="18" fillId="5" borderId="18" xfId="2" applyNumberFormat="1" applyFont="1" applyFill="1" applyBorder="1" applyAlignment="1">
      <alignment horizontal="center" vertical="center" wrapText="1"/>
    </xf>
    <xf numFmtId="49" fontId="18" fillId="5" borderId="18" xfId="2" applyNumberFormat="1" applyFont="1" applyFill="1" applyBorder="1" applyAlignment="1">
      <alignment horizontal="center" vertical="center" wrapText="1"/>
    </xf>
    <xf numFmtId="172" fontId="18" fillId="5" borderId="18" xfId="2" applyNumberFormat="1" applyFont="1" applyFill="1" applyBorder="1" applyAlignment="1">
      <alignment horizontal="center" vertical="center" wrapText="1"/>
    </xf>
    <xf numFmtId="167" fontId="18" fillId="5" borderId="18" xfId="2" applyNumberFormat="1" applyFont="1" applyFill="1" applyBorder="1" applyAlignment="1">
      <alignment horizontal="center" vertical="center" wrapText="1"/>
    </xf>
    <xf numFmtId="173" fontId="18" fillId="5" borderId="19" xfId="2" applyNumberFormat="1" applyFont="1" applyFill="1" applyBorder="1" applyAlignment="1">
      <alignment horizontal="center" vertical="center" wrapText="1"/>
    </xf>
    <xf numFmtId="14" fontId="18" fillId="5" borderId="4" xfId="1" applyNumberFormat="1" applyFont="1" applyFill="1" applyBorder="1" applyAlignment="1">
      <alignment horizontal="center" vertical="center"/>
    </xf>
    <xf numFmtId="14" fontId="18" fillId="5" borderId="3" xfId="1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 wrapText="1"/>
    </xf>
    <xf numFmtId="9" fontId="15" fillId="4" borderId="0" xfId="1" applyFont="1" applyFill="1" applyBorder="1" applyAlignment="1">
      <alignment horizontal="center" vertical="center"/>
    </xf>
  </cellXfs>
  <cellStyles count="16">
    <cellStyle name="%" xfId="11"/>
    <cellStyle name="Lien hypertexte" xfId="15" builtinId="8"/>
    <cellStyle name="Lien hypertexte 2" xfId="13"/>
    <cellStyle name="Milliers" xfId="2" builtinId="3"/>
    <cellStyle name="Milliers 2" xfId="8"/>
    <cellStyle name="Milliers 3" xfId="14"/>
    <cellStyle name="Monétaire" xfId="3" builtinId="4"/>
    <cellStyle name="Monétaire 2" xfId="5"/>
    <cellStyle name="Monétaire 3" xfId="10"/>
    <cellStyle name="Normal" xfId="0" builtinId="0"/>
    <cellStyle name="Normal 2" xfId="4"/>
    <cellStyle name="Normal 2 2" xfId="6"/>
    <cellStyle name="Normal 3" xfId="7"/>
    <cellStyle name="Normal 4" xfId="9"/>
    <cellStyle name="Normal 5" xfId="12"/>
    <cellStyle name="Pourcentage" xfId="1" builtinId="5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6" formatCode="dd/mm/yyyy;@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4" formatCode="0&quot; jours&quot;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5" formatCode="&quot;X &quot;0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4" formatCode="0&quot; jours&quot;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5" formatCode="&quot;X &quot;0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4" formatCode="0&quot; jours&quot;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5" formatCode="&quot;X &quot;0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4" formatCode="0&quot; jours&quot;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5" formatCode="&quot;X &quot;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0" formatCode="000,000,000"/>
      <fill>
        <patternFill patternType="solid">
          <fgColor indexed="64"/>
          <bgColor rgb="FFFFFD5D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4" formatCode="0&quot; jours&quot;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5" formatCode="&quot;X &quot;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" formatCode="0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2E6A68"/>
        </left>
        <right style="hair">
          <color rgb="FF2E6A68"/>
        </right>
        <top style="hair">
          <color rgb="FF2E6A68"/>
        </top>
        <bottom style="hair">
          <color rgb="FF2E6A6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6A68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indent="0" justifyLastLine="0" shrinkToFit="0" readingOrder="0"/>
    </dxf>
    <dxf>
      <border>
        <bottom style="thin">
          <color rgb="FFFFFF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D5D"/>
        <name val="Calibri"/>
        <family val="2"/>
        <scheme val="minor"/>
      </font>
      <fill>
        <patternFill patternType="solid">
          <fgColor indexed="64"/>
          <bgColor rgb="FF2E6A6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CC"/>
        </left>
        <right style="thin">
          <color rgb="FFFFFFCC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3300"/>
      </font>
      <fill>
        <patternFill>
          <bgColor rgb="FFFFC993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499984740745262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6E583"/>
        </patternFill>
      </fill>
    </dxf>
    <dxf>
      <font>
        <color rgb="FF7030A0"/>
      </font>
      <fill>
        <patternFill>
          <bgColor rgb="FFE2CFF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73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72" formatCode="00000\ 00\ 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30" formatCode="@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71" formatCode="00,000,000,000,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71" formatCode="00,000,000,000,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horizontal="center"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7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8" formatCode="#,##0.00\ [$€-40C];\-#,##0.00\ [$€-40C]"/>
      <fill>
        <patternFill patternType="solid">
          <fgColor indexed="64"/>
          <bgColor rgb="FFFFFD5D"/>
        </patternFill>
      </fill>
      <alignment horizontal="right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8" formatCode="#,##0.00\ [$€-40C];\-#,##0.00\ [$€-40C]"/>
      <fill>
        <patternFill patternType="solid">
          <fgColor indexed="64"/>
          <bgColor rgb="FFFFFD5D"/>
        </patternFill>
      </fill>
      <alignment horizontal="right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" formatCode="0"/>
      <fill>
        <patternFill patternType="solid">
          <fgColor indexed="64"/>
          <bgColor rgb="FFFFFD5D"/>
        </patternFill>
      </fill>
      <alignment horizontal="right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8" formatCode="#,##0.00\ [$€-40C];\-#,##0.00\ [$€-40C]"/>
      <fill>
        <patternFill patternType="solid">
          <fgColor indexed="64"/>
          <bgColor rgb="FFFFFD5D"/>
        </patternFill>
      </fill>
      <alignment horizontal="right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77" formatCode="m/d/yyyy"/>
      <fill>
        <patternFill patternType="solid">
          <fgColor indexed="64"/>
          <bgColor rgb="FFFFFD5D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border outline="0">
        <left style="hair">
          <color rgb="FF3366FF"/>
        </left>
        <right style="hair">
          <color rgb="FF3366FF"/>
        </right>
        <top style="hair">
          <color rgb="FF3366FF"/>
        </top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6" formatCode="00000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</dxf>
    <dxf>
      <border>
        <bottom style="hair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66"/>
        <name val="Calibri"/>
        <family val="2"/>
        <scheme val="minor"/>
      </font>
      <numFmt numFmtId="166" formatCode="00000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3"/>
        </left>
        <right style="hair">
          <color theme="3"/>
        </right>
        <top/>
        <bottom/>
        <vertical style="hair">
          <color theme="3"/>
        </vertical>
        <horizontal/>
      </border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color rgb="FF2E6A68"/>
      </font>
      <fill>
        <patternFill>
          <fgColor auto="1"/>
          <bgColor rgb="FFB2F8D2"/>
        </patternFill>
      </fill>
    </dxf>
    <dxf>
      <font>
        <color rgb="FF7030A0"/>
      </font>
      <fill>
        <patternFill>
          <bgColor rgb="FFF496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499984740745262"/>
      </font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59996337778862885"/>
        </patternFill>
      </fill>
    </dxf>
    <dxf>
      <font>
        <color rgb="FF7030A0"/>
      </font>
      <fill>
        <patternFill>
          <bgColor rgb="FFCFAFE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ABC7FF"/>
        </patternFill>
      </fill>
    </dxf>
    <dxf>
      <font>
        <b val="0"/>
        <i val="0"/>
        <color theme="5" tint="-0.499984740745262"/>
      </font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FD5D"/>
      <color rgb="FF002060"/>
      <color rgb="FFFFFF99"/>
      <color rgb="FF2E6A68"/>
      <color rgb="FFFFFFCC"/>
      <color rgb="FF3366FF"/>
      <color rgb="FF96E583"/>
      <color rgb="FFFFC993"/>
      <color rgb="FF663300"/>
      <color rgb="FFE2CF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85725</xdr:colOff>
          <xdr:row>0</xdr:row>
          <xdr:rowOff>57150</xdr:rowOff>
        </xdr:from>
        <xdr:to>
          <xdr:col>6</xdr:col>
          <xdr:colOff>657225</xdr:colOff>
          <xdr:row>1</xdr:row>
          <xdr:rowOff>85724</xdr:rowOff>
        </xdr:to>
        <xdr:sp macro="" textlink="">
          <xdr:nvSpPr>
            <xdr:cNvPr id="30729" name="CommandButton2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1</xdr:row>
          <xdr:rowOff>276225</xdr:rowOff>
        </xdr:from>
        <xdr:to>
          <xdr:col>0</xdr:col>
          <xdr:colOff>1190625</xdr:colOff>
          <xdr:row>2</xdr:row>
          <xdr:rowOff>180975</xdr:rowOff>
        </xdr:to>
        <xdr:sp macro="" textlink="">
          <xdr:nvSpPr>
            <xdr:cNvPr id="30730" name="CheckBox1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</xdr:row>
          <xdr:rowOff>171450</xdr:rowOff>
        </xdr:from>
        <xdr:to>
          <xdr:col>6</xdr:col>
          <xdr:colOff>257175</xdr:colOff>
          <xdr:row>2</xdr:row>
          <xdr:rowOff>123825</xdr:rowOff>
        </xdr:to>
        <xdr:sp macro="" textlink="">
          <xdr:nvSpPr>
            <xdr:cNvPr id="33793" name="CheckBox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SUIVI_DES_FACTURES" displayName="SUIVI_DES_FACTURES" ref="A4:AM22" totalsRowShown="0" headerRowDxfId="93" dataDxfId="91" headerRowBorderDxfId="92" tableBorderDxfId="90" headerRowCellStyle="Milliers">
  <autoFilter ref="A4:AM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name="Raison sociale" dataDxfId="89"/>
    <tableColumn id="2" name="N° facture" dataDxfId="88"/>
    <tableColumn id="3" name="Date facture" dataDxfId="87"/>
    <tableColumn id="4" name="Date d'échéance" dataDxfId="86"/>
    <tableColumn id="5" name="Montant TTC" dataDxfId="85" dataCellStyle="Pourcentage"/>
    <tableColumn id="6" name="Nbre de Jours en dépassement" dataDxfId="84">
      <calculatedColumnFormula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calculatedColumnFormula>
    </tableColumn>
    <tableColumn id="7" name="Majoration" dataDxfId="83" dataCellStyle="Pourcentage">
      <calculatedColumnFormula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calculatedColumnFormula>
    </tableColumn>
    <tableColumn id="8" name="Solde restant dû" dataDxfId="82" dataCellStyle="Pourcentage">
      <calculatedColumnFormula>IF(SUIVI_DES_FACTURES[[#This Row],[Date facture]]="","",ROUNDDOWN(SUIVI_DES_FACTURES[[#This Row],[Montant TTC]]+SUIVI_DES_FACTURES[[#This Row],[Majoration]],2))</calculatedColumnFormula>
    </tableColumn>
    <tableColumn id="9" name="▼  Réglée  ▼" dataDxfId="81">
      <calculatedColumnFormula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calculatedColumnFormula>
    </tableColumn>
    <tableColumn id="10" name="Date du Règlement" dataDxfId="80"/>
    <tableColumn id="11" name="Montant Total Payé" dataDxfId="79" dataCellStyle="Monétaire">
      <calculatedColumnFormula>IF(AND(SUIVI_DES_FACTURES[[#This Row],[Paiement Comptant]]="",SUIVI_DES_FACTURES[[#This Row],[Paiement Différé]]=""),"",(SUIVI_DES_FACTURES[[#This Row],[Paiement Comptant]]+SUIVI_DES_FACTURES[[#This Row],[Paiement Différé]]))</calculatedColumnFormula>
    </tableColumn>
    <tableColumn id="12" name="Majoration Payée" dataDxfId="78">
      <calculatedColumnFormula>IFERROR(IF(SUIVI_DES_FACTURES[[#This Row],[▼  Réglée  ▼]]="Validée",SUIVI_DES_FACTURES[[#This Row],[Montant Total Payé]]-SUIVI_DES_FACTURES[[#This Row],[Montant TTC]],""),"")</calculatedColumnFormula>
    </tableColumn>
    <tableColumn id="13" name="Première relance " dataDxfId="77" dataCellStyle="Milliers">
      <calculatedColumnFormula>IF(SUIVI_DES_FACTURES[[#This Row],[▼  Réglée  ▼]]= "Validée","",IF(SUIVI_DES_FACTURES[[#This Row],[Raison sociale]]&lt;&gt;"",IF(TODAY()&gt;SUIVI_DES_FACTURES[[#This Row],[Date d''échéance]]+15,"Relance1",""),""))</calculatedColumnFormula>
    </tableColumn>
    <tableColumn id="14" name="Deuxième relance " dataDxfId="76">
      <calculatedColumnFormula>IF(SUIVI_DES_FACTURES[[#This Row],[▼  Réglée  ▼]]="Validée","",IF(SUIVI_DES_FACTURES[[#This Row],[Raison sociale]]&lt;&gt;"",IF(TODAY()&gt;SUIVI_DES_FACTURES[[#This Row],[Date d''échéance]]+45,"Relance2",""),""))</calculatedColumnFormula>
    </tableColumn>
    <tableColumn id="15" name="Troisième relance " dataDxfId="75">
      <calculatedColumnFormula>IF(SUIVI_DES_FACTURES[[#This Row],[▼  Réglée  ▼]]="Validée","",IF(SUIVI_DES_FACTURES[[#This Row],[Raison sociale]]&lt;&gt;"",IF(TODAY()&gt;SUIVI_DES_FACTURES[[#This Row],[Date d''échéance]]+75,"Relance3",""),""))</calculatedColumnFormula>
    </tableColumn>
    <tableColumn id="16" name="Observations" dataDxfId="74">
      <calculatedColumnFormula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calculatedColumnFormula>
    </tableColumn>
    <tableColumn id="17" name="TVA 5,5" dataDxfId="73"/>
    <tableColumn id="18" name="TVA 7" dataDxfId="72"/>
    <tableColumn id="19" name="TVA 10" dataDxfId="71"/>
    <tableColumn id="20" name="TVA 20" dataDxfId="70"/>
    <tableColumn id="21" name="HT" dataDxfId="69">
      <calculatedColumnFormula>IF(SUIVI_DES_FACTURES[[#This Row],[Date facture]]="","",ROUNDDOWN(-SUM(-SUIVI_DES_FACTURES[[#This Row],[Montant TTC]],(SUIVI_DES_FACTURES[[#This Row],[TVA 5,5]:[TVA 20]])),2))</calculatedColumnFormula>
    </tableColumn>
    <tableColumn id="22" name="Adresse" dataDxfId="68">
      <calculatedColumnFormula>IF(SUIVI_DES_FACTURES[[#This Row],[Raison sociale]]="","",VLOOKUP(SUIVI_DES_FACTURES[[#This Row],[Raison sociale]],CLIENTS_PLAGE_CLIENTS,2,FALSE))</calculatedColumnFormula>
    </tableColumn>
    <tableColumn id="23" name="CP" dataDxfId="67" dataCellStyle="Milliers">
      <calculatedColumnFormula>IF(SUIVI_DES_FACTURES[[#This Row],[Raison sociale]]="","",VLOOKUP(SUIVI_DES_FACTURES[[#This Row],[Raison sociale]],CLIENTS_PLAGE_CLIENTS,3,FALSE))</calculatedColumnFormula>
    </tableColumn>
    <tableColumn id="24" name="VILLE" dataDxfId="66" dataCellStyle="Milliers">
      <calculatedColumnFormula>IF(SUIVI_DES_FACTURES[[#This Row],[Raison sociale]]="","",VLOOKUP(SUIVI_DES_FACTURES[[#This Row],[Raison sociale]],CLIENTS_PLAGE_CLIENTS,4,FALSE))</calculatedColumnFormula>
    </tableColumn>
    <tableColumn id="25" name="MODE DE PAIEMENT" dataDxfId="65" dataCellStyle="Milliers"/>
    <tableColumn id="26" name="TITULAIRE DU COMPTE" dataDxfId="64" dataCellStyle="Milliers"/>
    <tableColumn id="27" name="N° DE CHEQUE / DOMICILIATION" dataDxfId="63" dataCellStyle="Milliers"/>
    <tableColumn id="28" name="TRANSACTION" dataDxfId="62" dataCellStyle="Milliers"/>
    <tableColumn id="29" name="LIBELLE / ADRESSE MAIL" dataDxfId="61" dataCellStyle="Milliers"/>
    <tableColumn id="30" name="CODE BANQUE" dataDxfId="60" dataCellStyle="Milliers"/>
    <tableColumn id="31" name="CODE GUICHET" dataDxfId="59" dataCellStyle="Milliers"/>
    <tableColumn id="32" name="NUMERO DE COMPTE" dataDxfId="58" dataCellStyle="Milliers"/>
    <tableColumn id="33" name="CLE RIB" dataDxfId="57" dataCellStyle="Milliers"/>
    <tableColumn id="34" name="CODE BIC/SWIFT" dataDxfId="56" dataCellStyle="Milliers"/>
    <tableColumn id="35" name="CODE IBAN" dataDxfId="55" dataCellStyle="Milliers"/>
    <tableColumn id="38" name="CHECKBOX" dataDxfId="54" dataCellStyle="Milliers"/>
    <tableColumn id="36" name="Paiement Comptant" dataDxfId="53"/>
    <tableColumn id="37" name="Paiement Différé" dataDxfId="52">
      <calculatedColumnFormula>SUM(SUIVI_DES_CREANCES[[#This Row],[TOTAL MENUEL]])</calculatedColumnFormula>
    </tableColumn>
    <tableColumn id="39" name="CALCUL" dataDxfId="51" dataCellStyle="Milliers">
      <calculatedColumnFormula>IF(AJ5="","",IF(AJ5="OUI"=TRUE,ROWS($A$5:G5),""))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SUIVI_DES_CREANCES" displayName="SUIVI_DES_CREANCES" ref="A4:AN22" totalsRowShown="0" headerRowDxfId="42" dataDxfId="40" headerRowBorderDxfId="41">
  <autoFilter ref="A4:AN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</autoFilter>
  <tableColumns count="40">
    <tableColumn id="1" name="Raison sociale" dataDxfId="39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Row],[CALCUL]])),1))</calculatedColumnFormula>
    </tableColumn>
    <tableColumn id="2" name="N° facture" dataDxfId="38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Row],[CALCUL]])),2))</calculatedColumnFormula>
    </tableColumn>
    <tableColumn id="3" name="Date facture" dataDxfId="37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Row],[CALCUL]])),3))</calculatedColumnFormula>
    </tableColumn>
    <tableColumn id="4" name="Date d'échéance" dataDxfId="36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Row],[CALCUL]])),4))</calculatedColumnFormula>
    </tableColumn>
    <tableColumn id="5" name="Montant TTC" dataDxfId="35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Row],[CALCUL]])),5))</calculatedColumnFormula>
    </tableColumn>
    <tableColumn id="6" name="Nbre de Jours en dépassement" dataDxfId="34" dataCellStyle="Milliers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Row],[CALCUL]])),6))</calculatedColumnFormula>
    </tableColumn>
    <tableColumn id="7" name="Majoration" dataDxfId="33" dataCellStyle="Milliers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Row],[CALCUL]])),7))</calculatedColumnFormula>
    </tableColumn>
    <tableColumn id="8" name="Solde restant dû" dataDxfId="32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Row],[CALCUL]])),8))</calculatedColumnFormula>
    </tableColumn>
    <tableColumn id="9" name="Montant Total Payé" dataDxfId="31">
      <calculatedColumnFormula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calculatedColumnFormula>
    </tableColumn>
    <tableColumn id="26" name="TOTAL ESPECES" dataDxfId="30">
      <calculatedColumnFormula>IF(SUIVI_DES_CREANCES[[#This Row],[NOMBRE ECHEANCE 1]]="","",SUIVI_DES_CREANCES[[#This Row],[MONTANT ECHEANCE 1]]*SUIVI_DES_CREANCES[[#This Row],[NOMBRE ECHEANCE 1]])</calculatedColumnFormula>
    </tableColumn>
    <tableColumn id="25" name="MONTANT ECHEANCE 1" dataDxfId="29">
      <calculatedColumnFormula>IF(SUIVI_DES_CREANCES[[#This Row],[NOMBRE ECHEANCE 1]]="","",(SUIVI_DES_CREANCES[[#This Row],[Montant TTC]]+SUIVI_DES_CREANCES[[#This Row],[Majoration]])/SUIVI_DES_CREANCES[[#This Row],[NOMBRE ECHEANCE 1]])</calculatedColumnFormula>
    </tableColumn>
    <tableColumn id="23" name="NOMBRE ECHEANCE 1" dataDxfId="28" dataCellStyle="Milliers"/>
    <tableColumn id="27" name="NOMBRE DE JOURS ENTRE ECHEANCE 1" dataDxfId="27" dataCellStyle="Milliers"/>
    <tableColumn id="24" name="FIN  ECHEANCE 1" dataDxfId="26" dataCellStyle="Milliers">
      <calculatedColumnFormula>IF(SUIVI_DES_CREANCES[[#This Row],[NOMBRE ECHEANCE 1]]="","",SUIVI_DES_CREANCES[[#This Row],[Date d''échéance]]+(SUIVI_DES_CREANCES[[#This Row],[NOMBRE DE JOURS ENTRE ECHEANCE 1]]*SUIVI_DES_CREANCES[[#This Row],[NOMBRE ECHEANCE 1]]))</calculatedColumnFormula>
    </tableColumn>
    <tableColumn id="10" name="TOTAL CHEQUES" dataDxfId="25">
      <calculatedColumnFormula>IF(SUIVI_DES_CREANCES[[#This Row],[NOMBRE ECHEANCE 2]]="","",SUIVI_DES_CREANCES[[#This Row],[MONTANT ECHEANCE 2]]*SUIVI_DES_CREANCES[[#This Row],[NOMBRE ECHEANCE 2]])</calculatedColumnFormula>
    </tableColumn>
    <tableColumn id="34" name="N° DU CHEQUES" dataDxfId="24">
      <calculatedColumnFormula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calculatedColumnFormula>
    </tableColumn>
    <tableColumn id="35" name="MONTANT ECHEANCE 2" dataDxfId="23" dataCellStyle="Monétaire">
      <calculatedColumnFormula>IF(SUIVI_DES_CREANCES[[#This Row],[NOMBRE ECHEANCE 2]]="","",(SUIVI_DES_CREANCES[[#This Row],[Montant TTC]]+SUIVI_DES_CREANCES[[#This Row],[Majoration]])/SUIVI_DES_CREANCES[[#This Row],[NOMBRE ECHEANCE 2]])</calculatedColumnFormula>
    </tableColumn>
    <tableColumn id="36" name="NOMBRE ECHEANCE 2" dataDxfId="22"/>
    <tableColumn id="37" name="NOMBRE DE JOURS ENTRE ECHEANCE 2" dataDxfId="21"/>
    <tableColumn id="38" name="FIN ECHEANCE 2" dataDxfId="20">
      <calculatedColumnFormula>IF(SUIVI_DES_CREANCES[[#This Row],[NOMBRE ECHEANCE 2]]="","",SUIVI_DES_CREANCES[[#This Row],[Date d''échéance]]+(SUIVI_DES_CREANCES[[#This Row],[NOMBRE DE JOURS ENTRE ECHEANCE 2]]*SUIVI_DES_CREANCES[[#This Row],[NOMBRE ECHEANCE 2]]))</calculatedColumnFormula>
    </tableColumn>
    <tableColumn id="39" name="TOTAL VIREMENT" dataDxfId="19">
      <calculatedColumnFormula>IF(SUIVI_DES_CREANCES[[#This Row],[NOMBRE ECHEANCE 3]]="","",SUIVI_DES_CREANCES[[#This Row],[MONTANT ECHEANCE 3]]*SUIVI_DES_CREANCES[[#This Row],[NOMBRE ECHEANCE 3]])</calculatedColumnFormula>
    </tableColumn>
    <tableColumn id="11" name="IBAN" dataDxfId="18">
      <calculatedColumnFormula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calculatedColumnFormula>
    </tableColumn>
    <tableColumn id="12" name="MONTANT ECHEANCE 3" dataDxfId="17">
      <calculatedColumnFormula>IF(SUIVI_DES_CREANCES[[#This Row],[NOMBRE ECHEANCE 3]]="","",(SUIVI_DES_CREANCES[[#This Row],[Montant TTC]]+SUIVI_DES_CREANCES[[#This Row],[Majoration]])/SUIVI_DES_CREANCES[[#This Row],[NOMBRE ECHEANCE 3]])</calculatedColumnFormula>
    </tableColumn>
    <tableColumn id="13" name="NOMBRE ECHEANCE 3" dataDxfId="16"/>
    <tableColumn id="28" name="NOMBRE DE JOURS ENTRE ECHEANCE 3" dataDxfId="15"/>
    <tableColumn id="31" name="FIN ECHEANCE 3" dataDxfId="14">
      <calculatedColumnFormula>IF(SUIVI_DES_CREANCES[[#This Row],[NOMBRE ECHEANCE 3]]="","",SUIVI_DES_CREANCES[[#This Row],[Date d''échéance]]+(SUIVI_DES_CREANCES[[#This Row],[NOMBRE DE JOURS ENTRE ECHEANCE 3]]*SUIVI_DES_CREANCES[[#This Row],[NOMBRE ECHEANCE 3]]))</calculatedColumnFormula>
    </tableColumn>
    <tableColumn id="14" name="TOTAL PAYPAL" dataDxfId="13">
      <calculatedColumnFormula>IF(SUIVI_DES_CREANCES[[#This Row],[NOMBRE ECHEANCE 4]]="","",SUIVI_DES_CREANCES[[#This Row],[MONTANT ECHEANCE 4]]*SUIVI_DES_CREANCES[[#This Row],[NOMBRE ECHEANCE 4]])</calculatedColumnFormula>
    </tableColumn>
    <tableColumn id="15" name="N° TRANSACTION" dataDxfId="12">
      <calculatedColumnFormula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calculatedColumnFormula>
    </tableColumn>
    <tableColumn id="16" name="MONTANT ECHEANCE 4" dataDxfId="11">
      <calculatedColumnFormula>IF(SUIVI_DES_CREANCES[[#This Row],[NOMBRE ECHEANCE 4]]="","",(SUIVI_DES_CREANCES[[#This Row],[Montant TTC]]+SUIVI_DES_CREANCES[[#This Row],[Majoration]])/SUIVI_DES_CREANCES[[#This Row],[NOMBRE ECHEANCE 4]])</calculatedColumnFormula>
    </tableColumn>
    <tableColumn id="17" name="NOMBRE ECHEANCE 4" dataDxfId="10"/>
    <tableColumn id="29" name="NOMBRE DE JOURS ENTRE ECHEANCE 4" dataDxfId="9"/>
    <tableColumn id="32" name="FIN ECHEANCE 4" dataDxfId="8">
      <calculatedColumnFormula>IF(SUIVI_DES_CREANCES[[#This Row],[NOMBRE ECHEANCE 4]]="","",SUIVI_DES_CREANCES[[#This Row],[Date d''échéance]]+(SUIVI_DES_CREANCES[[#This Row],[NOMBRE DE JOURS ENTRE ECHEANCE 4]]*SUIVI_DES_CREANCES[[#This Row],[NOMBRE ECHEANCE 4]]))</calculatedColumnFormula>
    </tableColumn>
    <tableColumn id="18" name="TOTAL CARTE BANCAIRE" dataDxfId="7">
      <calculatedColumnFormula>IF(SUIVI_DES_CREANCES[[#This Row],[NOMBRE ECHEANCE 5]]="","",SUIVI_DES_CREANCES[[#This Row],[MONTANT ECHEANCE 5]]*SUIVI_DES_CREANCES[[#This Row],[NOMBRE ECHEANCE 5]])</calculatedColumnFormula>
    </tableColumn>
    <tableColumn id="19" name="N° TRANSACTION 4" dataDxfId="6">
      <calculatedColumnFormula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calculatedColumnFormula>
    </tableColumn>
    <tableColumn id="20" name="MONTANT ECHEANCE 5" dataDxfId="5">
      <calculatedColumnFormula>IF(SUIVI_DES_CREANCES[[#This Row],[NOMBRE ECHEANCE 5]]="","",(SUIVI_DES_CREANCES[[#This Row],[Montant TTC]]+SUIVI_DES_CREANCES[[#This Row],[Majoration]])/SUIVI_DES_CREANCES[[#This Row],[NOMBRE ECHEANCE 5]])</calculatedColumnFormula>
    </tableColumn>
    <tableColumn id="21" name="NOMBRE ECHEANCE 5" dataDxfId="4"/>
    <tableColumn id="30" name="NOMBRE DE JOURS ENTRE ECHEANCE 5" dataDxfId="3"/>
    <tableColumn id="33" name="FIN ECHEANCE 5" dataDxfId="2">
      <calculatedColumnFormula>IF(SUIVI_DES_CREANCES[[#This Row],[NOMBRE ECHEANCE 5]]="","",SUIVI_DES_CREANCES[[#This Row],[Date d''échéance]]+(SUIVI_DES_CREANCES[[#This Row],[NOMBRE DE JOURS ENTRE ECHEANCE 5]]*SUIVI_DES_CREANCES[[#This Row],[NOMBRE ECHEANCE 5]]))</calculatedColumnFormula>
    </tableColumn>
    <tableColumn id="22" name="TOTAL MENUEL" dataDxfId="1" dataCellStyle="Milliers">
      <calculatedColumnFormula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calculatedColumnFormula>
    </tableColumn>
    <tableColumn id="40" name="DATE BUTEE" dataDxfId="0">
      <calculatedColumnFormula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gradFill flip="none" rotWithShape="1">
          <a:gsLst>
            <a:gs pos="0">
              <a:schemeClr val="accent1">
                <a:satMod val="103000"/>
                <a:lumMod val="102000"/>
                <a:tint val="94000"/>
              </a:schemeClr>
            </a:gs>
            <a:gs pos="50000">
              <a:schemeClr val="accent1">
                <a:satMod val="110000"/>
                <a:lumMod val="100000"/>
                <a:shade val="100000"/>
              </a:schemeClr>
            </a:gs>
            <a:gs pos="100000">
              <a:schemeClr val="accent1">
                <a:lumMod val="99000"/>
                <a:satMod val="120000"/>
                <a:shade val="78000"/>
              </a:schemeClr>
            </a:gs>
          </a:gsLst>
          <a:path path="circle">
            <a:fillToRect t="100000" r="100000"/>
          </a:path>
          <a:tileRect l="-100000" b="-100000"/>
        </a:gra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slope"/>
        </a:sp3d>
      </a:spPr>
      <a:bodyPr vertOverflow="clip" horzOverflow="clip" wrap="square" rtlCol="0" anchor="ctr"/>
      <a:lstStyle>
        <a:defPPr algn="ctr">
          <a:defRPr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3">
    <tabColor theme="3"/>
  </sheetPr>
  <dimension ref="A1:T21"/>
  <sheetViews>
    <sheetView showGridLines="0" workbookViewId="0">
      <pane xSplit="1" ySplit="1" topLeftCell="J2" activePane="bottomRight" state="frozen"/>
      <selection pane="topRight" activeCell="B1" sqref="B1"/>
      <selection pane="bottomLeft" activeCell="A2" sqref="A2"/>
      <selection pane="bottomRight" activeCell="R3" sqref="R3"/>
    </sheetView>
  </sheetViews>
  <sheetFormatPr baseColWidth="10" defaultRowHeight="12.75" x14ac:dyDescent="0.25"/>
  <cols>
    <col min="1" max="1" width="31.28515625" style="5" bestFit="1" customWidth="1"/>
    <col min="2" max="2" width="31" style="5" bestFit="1" customWidth="1"/>
    <col min="3" max="3" width="6.42578125" style="6" bestFit="1" customWidth="1"/>
    <col min="4" max="4" width="26.5703125" style="7" bestFit="1" customWidth="1"/>
    <col min="5" max="5" width="12.7109375" style="8" bestFit="1" customWidth="1"/>
    <col min="6" max="6" width="37.42578125" style="9" bestFit="1" customWidth="1"/>
    <col min="7" max="7" width="20.7109375" style="5" bestFit="1" customWidth="1"/>
    <col min="8" max="8" width="11.5703125" style="5" customWidth="1"/>
    <col min="9" max="9" width="24.5703125" style="5" bestFit="1" customWidth="1"/>
    <col min="10" max="10" width="12.7109375" style="5" bestFit="1" customWidth="1"/>
    <col min="11" max="11" width="13.85546875" style="3" bestFit="1" customWidth="1"/>
    <col min="12" max="12" width="16.85546875" style="10" bestFit="1" customWidth="1"/>
    <col min="13" max="13" width="17.28515625" style="11" bestFit="1" customWidth="1"/>
    <col min="14" max="19" width="5.7109375" style="5" customWidth="1"/>
    <col min="20" max="20" width="21.85546875" style="5" customWidth="1"/>
    <col min="21" max="21" width="17.28515625" style="5" customWidth="1"/>
    <col min="22" max="16384" width="11.42578125" style="5"/>
  </cols>
  <sheetData>
    <row r="1" spans="1:20" s="3" customFormat="1" ht="30.75" customHeight="1" x14ac:dyDescent="0.25">
      <c r="A1" s="170" t="s">
        <v>38</v>
      </c>
      <c r="B1" s="1" t="s">
        <v>0</v>
      </c>
      <c r="C1" s="1" t="s">
        <v>39</v>
      </c>
      <c r="D1" s="1" t="s">
        <v>40</v>
      </c>
      <c r="E1" s="1" t="s">
        <v>41</v>
      </c>
      <c r="F1" s="1" t="s">
        <v>42</v>
      </c>
      <c r="G1" s="1" t="s">
        <v>43</v>
      </c>
      <c r="H1" s="1" t="s">
        <v>44</v>
      </c>
      <c r="I1" s="1" t="s">
        <v>45</v>
      </c>
      <c r="J1" s="1" t="s">
        <v>46</v>
      </c>
      <c r="K1" s="1" t="s">
        <v>47</v>
      </c>
      <c r="L1" s="2" t="s">
        <v>48</v>
      </c>
      <c r="M1" s="171" t="s">
        <v>49</v>
      </c>
    </row>
    <row r="2" spans="1:20" x14ac:dyDescent="0.2">
      <c r="A2" s="172" t="s">
        <v>110</v>
      </c>
      <c r="B2" s="120" t="s">
        <v>90</v>
      </c>
      <c r="C2" s="121">
        <v>92210</v>
      </c>
      <c r="D2" s="122" t="s">
        <v>50</v>
      </c>
      <c r="E2" s="123" t="s">
        <v>51</v>
      </c>
      <c r="F2" s="176" t="s">
        <v>132</v>
      </c>
      <c r="G2" s="120" t="s">
        <v>122</v>
      </c>
      <c r="H2" s="120">
        <v>70101138</v>
      </c>
      <c r="I2" s="120" t="s">
        <v>100</v>
      </c>
      <c r="J2" s="124" t="s">
        <v>52</v>
      </c>
      <c r="K2" s="125">
        <v>344772539</v>
      </c>
      <c r="L2" s="125">
        <v>34477253800072</v>
      </c>
      <c r="M2" s="173" t="s">
        <v>208</v>
      </c>
      <c r="N2" s="4"/>
      <c r="O2" s="4"/>
      <c r="P2" s="4"/>
      <c r="Q2" s="4"/>
      <c r="R2" s="4"/>
      <c r="S2" s="4"/>
      <c r="T2" s="169" t="s">
        <v>208</v>
      </c>
    </row>
    <row r="3" spans="1:20" x14ac:dyDescent="0.2">
      <c r="A3" s="174" t="s">
        <v>111</v>
      </c>
      <c r="B3" s="126" t="s">
        <v>91</v>
      </c>
      <c r="C3" s="127">
        <v>75017</v>
      </c>
      <c r="D3" s="128" t="s">
        <v>55</v>
      </c>
      <c r="E3" s="129" t="s">
        <v>56</v>
      </c>
      <c r="F3" s="177" t="s">
        <v>133</v>
      </c>
      <c r="G3" s="126" t="s">
        <v>123</v>
      </c>
      <c r="H3" s="126">
        <v>70101139</v>
      </c>
      <c r="I3" s="126" t="s">
        <v>101</v>
      </c>
      <c r="J3" s="130" t="s">
        <v>56</v>
      </c>
      <c r="K3" s="131">
        <v>344772538</v>
      </c>
      <c r="L3" s="131">
        <v>34477253800073</v>
      </c>
      <c r="M3" s="175" t="s">
        <v>54</v>
      </c>
      <c r="N3" s="4"/>
      <c r="O3" s="4"/>
      <c r="P3" s="4"/>
      <c r="Q3" s="4"/>
      <c r="R3" s="4"/>
      <c r="S3" s="4"/>
      <c r="T3" s="169" t="s">
        <v>54</v>
      </c>
    </row>
    <row r="4" spans="1:20" x14ac:dyDescent="0.2">
      <c r="A4" s="174" t="s">
        <v>112</v>
      </c>
      <c r="B4" s="126" t="s">
        <v>92</v>
      </c>
      <c r="C4" s="127">
        <v>44105</v>
      </c>
      <c r="D4" s="128" t="s">
        <v>58</v>
      </c>
      <c r="E4" s="129" t="s">
        <v>59</v>
      </c>
      <c r="F4" s="177" t="s">
        <v>134</v>
      </c>
      <c r="G4" s="126" t="s">
        <v>124</v>
      </c>
      <c r="H4" s="126">
        <v>70101140</v>
      </c>
      <c r="I4" s="126" t="s">
        <v>102</v>
      </c>
      <c r="J4" s="130" t="s">
        <v>60</v>
      </c>
      <c r="K4" s="131">
        <v>344772537</v>
      </c>
      <c r="L4" s="131">
        <v>34477253800074</v>
      </c>
      <c r="M4" s="175" t="s">
        <v>209</v>
      </c>
      <c r="N4" s="4"/>
      <c r="O4" s="4"/>
      <c r="P4" s="4"/>
      <c r="Q4" s="4"/>
      <c r="R4" s="4"/>
      <c r="S4" s="4"/>
      <c r="T4" s="169" t="s">
        <v>209</v>
      </c>
    </row>
    <row r="5" spans="1:20" x14ac:dyDescent="0.2">
      <c r="A5" s="174" t="s">
        <v>113</v>
      </c>
      <c r="B5" s="126" t="s">
        <v>93</v>
      </c>
      <c r="C5" s="127">
        <v>92100</v>
      </c>
      <c r="D5" s="128" t="s">
        <v>61</v>
      </c>
      <c r="E5" s="129" t="s">
        <v>62</v>
      </c>
      <c r="F5" s="177" t="s">
        <v>135</v>
      </c>
      <c r="G5" s="126" t="s">
        <v>125</v>
      </c>
      <c r="H5" s="126">
        <v>70101141</v>
      </c>
      <c r="I5" s="126" t="s">
        <v>103</v>
      </c>
      <c r="J5" s="130" t="s">
        <v>63</v>
      </c>
      <c r="K5" s="131">
        <v>344772536</v>
      </c>
      <c r="L5" s="131">
        <v>34477253800075</v>
      </c>
      <c r="M5" s="175" t="s">
        <v>210</v>
      </c>
      <c r="N5" s="4"/>
      <c r="O5" s="4"/>
      <c r="P5" s="4"/>
      <c r="Q5" s="4"/>
      <c r="R5" s="4"/>
      <c r="S5" s="4"/>
      <c r="T5" s="169" t="s">
        <v>210</v>
      </c>
    </row>
    <row r="6" spans="1:20" x14ac:dyDescent="0.2">
      <c r="A6" s="174" t="s">
        <v>114</v>
      </c>
      <c r="B6" s="126" t="s">
        <v>94</v>
      </c>
      <c r="C6" s="127">
        <v>39800</v>
      </c>
      <c r="D6" s="128" t="s">
        <v>64</v>
      </c>
      <c r="E6" s="129" t="s">
        <v>65</v>
      </c>
      <c r="F6" s="177" t="s">
        <v>136</v>
      </c>
      <c r="G6" s="126" t="s">
        <v>126</v>
      </c>
      <c r="H6" s="126">
        <v>70101142</v>
      </c>
      <c r="I6" s="126" t="s">
        <v>104</v>
      </c>
      <c r="J6" s="130" t="s">
        <v>66</v>
      </c>
      <c r="K6" s="131">
        <v>344772535</v>
      </c>
      <c r="L6" s="131">
        <v>34477253800076</v>
      </c>
      <c r="M6" s="175" t="s">
        <v>211</v>
      </c>
      <c r="N6" s="4"/>
      <c r="O6" s="4"/>
      <c r="P6" s="4"/>
      <c r="Q6" s="4"/>
      <c r="R6" s="4"/>
      <c r="S6" s="4"/>
      <c r="T6" s="169" t="s">
        <v>211</v>
      </c>
    </row>
    <row r="7" spans="1:20" x14ac:dyDescent="0.2">
      <c r="A7" s="174" t="s">
        <v>115</v>
      </c>
      <c r="B7" s="126" t="s">
        <v>95</v>
      </c>
      <c r="C7" s="127">
        <v>67720</v>
      </c>
      <c r="D7" s="128" t="s">
        <v>67</v>
      </c>
      <c r="E7" s="129" t="s">
        <v>68</v>
      </c>
      <c r="F7" s="177" t="s">
        <v>137</v>
      </c>
      <c r="G7" s="126" t="s">
        <v>127</v>
      </c>
      <c r="H7" s="126">
        <v>70101143</v>
      </c>
      <c r="I7" s="126" t="s">
        <v>105</v>
      </c>
      <c r="J7" s="130" t="s">
        <v>69</v>
      </c>
      <c r="K7" s="131">
        <v>344772534</v>
      </c>
      <c r="L7" s="131">
        <v>34477253800077</v>
      </c>
      <c r="M7" s="175" t="s">
        <v>212</v>
      </c>
      <c r="N7" s="4"/>
      <c r="O7" s="4"/>
      <c r="P7" s="4"/>
      <c r="Q7" s="4"/>
      <c r="R7" s="4"/>
      <c r="S7" s="4"/>
      <c r="T7" s="169" t="s">
        <v>212</v>
      </c>
    </row>
    <row r="8" spans="1:20" x14ac:dyDescent="0.2">
      <c r="A8" s="174" t="s">
        <v>116</v>
      </c>
      <c r="B8" s="126" t="s">
        <v>96</v>
      </c>
      <c r="C8" s="127">
        <v>59000</v>
      </c>
      <c r="D8" s="128" t="s">
        <v>70</v>
      </c>
      <c r="E8" s="129" t="s">
        <v>71</v>
      </c>
      <c r="F8" s="177" t="s">
        <v>138</v>
      </c>
      <c r="G8" s="126" t="s">
        <v>128</v>
      </c>
      <c r="H8" s="126">
        <v>70101144</v>
      </c>
      <c r="I8" s="126" t="s">
        <v>106</v>
      </c>
      <c r="J8" s="130" t="s">
        <v>72</v>
      </c>
      <c r="K8" s="131">
        <v>344772533</v>
      </c>
      <c r="L8" s="131">
        <v>34477253800078</v>
      </c>
      <c r="M8" s="175" t="s">
        <v>57</v>
      </c>
      <c r="N8" s="4"/>
      <c r="O8" s="4"/>
      <c r="P8" s="4"/>
      <c r="Q8" s="4"/>
      <c r="R8" s="4"/>
      <c r="S8" s="4"/>
      <c r="T8" s="169" t="s">
        <v>57</v>
      </c>
    </row>
    <row r="9" spans="1:20" x14ac:dyDescent="0.2">
      <c r="A9" s="174" t="s">
        <v>117</v>
      </c>
      <c r="B9" s="126" t="s">
        <v>97</v>
      </c>
      <c r="C9" s="127">
        <v>71000</v>
      </c>
      <c r="D9" s="128" t="s">
        <v>73</v>
      </c>
      <c r="E9" s="129" t="s">
        <v>74</v>
      </c>
      <c r="F9" s="177" t="s">
        <v>139</v>
      </c>
      <c r="G9" s="126" t="s">
        <v>129</v>
      </c>
      <c r="H9" s="126">
        <v>70101145</v>
      </c>
      <c r="I9" s="126" t="s">
        <v>107</v>
      </c>
      <c r="J9" s="130" t="s">
        <v>75</v>
      </c>
      <c r="K9" s="131">
        <v>344772532</v>
      </c>
      <c r="L9" s="131">
        <v>34477253800079</v>
      </c>
      <c r="M9" s="175" t="s">
        <v>213</v>
      </c>
      <c r="N9" s="4"/>
      <c r="O9" s="4"/>
      <c r="P9" s="4"/>
      <c r="Q9" s="4"/>
      <c r="R9" s="4"/>
      <c r="S9" s="4"/>
      <c r="T9" s="169" t="s">
        <v>213</v>
      </c>
    </row>
    <row r="10" spans="1:20" x14ac:dyDescent="0.2">
      <c r="A10" s="174" t="s">
        <v>118</v>
      </c>
      <c r="B10" s="126" t="s">
        <v>98</v>
      </c>
      <c r="C10" s="127">
        <v>92059</v>
      </c>
      <c r="D10" s="128" t="s">
        <v>76</v>
      </c>
      <c r="E10" s="129" t="s">
        <v>77</v>
      </c>
      <c r="F10" s="177" t="s">
        <v>140</v>
      </c>
      <c r="G10" s="126" t="s">
        <v>130</v>
      </c>
      <c r="H10" s="126">
        <v>70101146</v>
      </c>
      <c r="I10" s="126" t="s">
        <v>108</v>
      </c>
      <c r="J10" s="130" t="s">
        <v>77</v>
      </c>
      <c r="K10" s="131">
        <v>344772531</v>
      </c>
      <c r="L10" s="131">
        <v>34477253800080</v>
      </c>
      <c r="M10" s="175" t="s">
        <v>53</v>
      </c>
      <c r="N10" s="4"/>
      <c r="O10" s="4"/>
      <c r="P10" s="4"/>
      <c r="Q10" s="4"/>
      <c r="R10" s="4"/>
      <c r="S10" s="4"/>
      <c r="T10" s="169" t="s">
        <v>53</v>
      </c>
    </row>
    <row r="11" spans="1:20" x14ac:dyDescent="0.2">
      <c r="A11" s="174" t="s">
        <v>119</v>
      </c>
      <c r="B11" s="126" t="s">
        <v>99</v>
      </c>
      <c r="C11" s="127">
        <v>36330</v>
      </c>
      <c r="D11" s="128" t="s">
        <v>78</v>
      </c>
      <c r="E11" s="129" t="s">
        <v>79</v>
      </c>
      <c r="F11" s="177" t="s">
        <v>141</v>
      </c>
      <c r="G11" s="126" t="s">
        <v>131</v>
      </c>
      <c r="H11" s="126">
        <v>70101147</v>
      </c>
      <c r="I11" s="126" t="s">
        <v>109</v>
      </c>
      <c r="J11" s="130" t="s">
        <v>80</v>
      </c>
      <c r="K11" s="131">
        <v>344772530</v>
      </c>
      <c r="L11" s="131">
        <v>34477253800081</v>
      </c>
      <c r="M11" s="175" t="s">
        <v>214</v>
      </c>
      <c r="N11" s="4"/>
      <c r="O11" s="4"/>
      <c r="P11" s="4"/>
      <c r="Q11" s="4"/>
      <c r="R11" s="4"/>
      <c r="S11" s="4"/>
      <c r="T11" s="169" t="s">
        <v>214</v>
      </c>
    </row>
    <row r="12" spans="1:20" x14ac:dyDescent="0.2">
      <c r="N12" s="4"/>
      <c r="O12" s="4"/>
      <c r="P12" s="4"/>
      <c r="Q12" s="4"/>
      <c r="R12" s="4"/>
      <c r="S12" s="4"/>
      <c r="T12" s="169"/>
    </row>
    <row r="13" spans="1:20" x14ac:dyDescent="0.2">
      <c r="N13" s="4"/>
      <c r="O13" s="4"/>
      <c r="P13" s="4"/>
      <c r="Q13" s="4"/>
      <c r="R13" s="4"/>
      <c r="S13" s="4"/>
      <c r="T13" s="169"/>
    </row>
    <row r="14" spans="1:20" x14ac:dyDescent="0.2">
      <c r="N14" s="4"/>
      <c r="O14" s="4"/>
      <c r="P14" s="4"/>
      <c r="Q14" s="4"/>
      <c r="R14" s="4"/>
      <c r="S14" s="4"/>
      <c r="T14" s="169"/>
    </row>
    <row r="15" spans="1:20" x14ac:dyDescent="0.2">
      <c r="N15" s="4"/>
      <c r="O15" s="4"/>
      <c r="P15" s="4"/>
      <c r="Q15" s="4"/>
      <c r="R15" s="4"/>
      <c r="S15" s="4"/>
      <c r="T15" s="169"/>
    </row>
    <row r="16" spans="1:20" x14ac:dyDescent="0.2">
      <c r="N16" s="4"/>
      <c r="O16" s="4"/>
      <c r="P16" s="4"/>
      <c r="Q16" s="4"/>
      <c r="R16" s="4"/>
      <c r="S16" s="4"/>
      <c r="T16" s="169"/>
    </row>
    <row r="17" spans="14:20" x14ac:dyDescent="0.2">
      <c r="N17" s="4"/>
      <c r="O17" s="4"/>
      <c r="P17" s="4"/>
      <c r="Q17" s="4"/>
      <c r="R17" s="4"/>
      <c r="S17" s="4"/>
      <c r="T17" s="169"/>
    </row>
    <row r="18" spans="14:20" x14ac:dyDescent="0.2">
      <c r="N18" s="4"/>
      <c r="O18" s="4"/>
      <c r="P18" s="4"/>
      <c r="Q18" s="4"/>
      <c r="R18" s="4"/>
      <c r="S18" s="4"/>
      <c r="T18" s="169"/>
    </row>
    <row r="19" spans="14:20" x14ac:dyDescent="0.2">
      <c r="N19" s="4"/>
      <c r="O19" s="4"/>
      <c r="P19" s="4"/>
      <c r="Q19" s="4"/>
      <c r="R19" s="4"/>
      <c r="S19" s="4"/>
      <c r="T19" s="169"/>
    </row>
    <row r="20" spans="14:20" x14ac:dyDescent="0.2">
      <c r="N20" s="4"/>
      <c r="O20" s="4"/>
      <c r="P20" s="4"/>
      <c r="Q20" s="4"/>
      <c r="R20" s="4"/>
      <c r="S20" s="4"/>
      <c r="T20" s="169"/>
    </row>
    <row r="21" spans="14:20" x14ac:dyDescent="0.2">
      <c r="N21" s="4"/>
      <c r="O21" s="4"/>
      <c r="P21" s="4"/>
      <c r="Q21" s="4"/>
      <c r="R21" s="4"/>
      <c r="S21" s="4"/>
      <c r="T21" s="16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7">
    <tabColor rgb="FF2E6A68"/>
  </sheetPr>
  <dimension ref="A1:AO45"/>
  <sheetViews>
    <sheetView showRowColHeader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24" sqref="F24"/>
    </sheetView>
  </sheetViews>
  <sheetFormatPr baseColWidth="10" defaultRowHeight="15" customHeight="1" x14ac:dyDescent="0.25"/>
  <cols>
    <col min="1" max="1" width="29.140625" style="61" customWidth="1"/>
    <col min="2" max="2" width="16" style="43" customWidth="1"/>
    <col min="3" max="4" width="14.28515625" style="43" customWidth="1"/>
    <col min="5" max="5" width="15.5703125" style="45" customWidth="1"/>
    <col min="6" max="6" width="18.140625" style="63" customWidth="1"/>
    <col min="7" max="7" width="12.28515625" style="45" customWidth="1"/>
    <col min="8" max="8" width="16" style="45" customWidth="1"/>
    <col min="9" max="9" width="15.7109375" style="43" customWidth="1"/>
    <col min="10" max="10" width="15.140625" style="44" customWidth="1"/>
    <col min="11" max="11" width="18.5703125" style="46" customWidth="1"/>
    <col min="12" max="12" width="13.42578125" style="47" customWidth="1"/>
    <col min="13" max="15" width="12" style="52" customWidth="1"/>
    <col min="16" max="16" width="16.7109375" style="43" customWidth="1"/>
    <col min="17" max="20" width="12.85546875" style="43" customWidth="1"/>
    <col min="21" max="21" width="17.140625" style="43" customWidth="1"/>
    <col min="22" max="22" width="36" style="43" customWidth="1"/>
    <col min="23" max="23" width="8.140625" style="48" customWidth="1"/>
    <col min="24" max="24" width="24.28515625" style="43" customWidth="1"/>
    <col min="25" max="25" width="18.42578125" style="43" customWidth="1"/>
    <col min="26" max="26" width="22.5703125" style="49" customWidth="1"/>
    <col min="27" max="28" width="21.7109375" style="50" customWidth="1"/>
    <col min="29" max="29" width="23.7109375" style="51" customWidth="1"/>
    <col min="30" max="30" width="10.140625" style="52" customWidth="1"/>
    <col min="31" max="31" width="10.140625" style="53" customWidth="1"/>
    <col min="32" max="32" width="15.85546875" style="54" customWidth="1"/>
    <col min="33" max="33" width="7.85546875" style="53" customWidth="1"/>
    <col min="34" max="34" width="17.28515625" style="43" customWidth="1"/>
    <col min="35" max="35" width="29.85546875" style="43" customWidth="1"/>
    <col min="36" max="36" width="12.7109375" style="47" customWidth="1"/>
    <col min="37" max="37" width="18.5703125" style="47" customWidth="1"/>
    <col min="38" max="38" width="13.140625" style="43" customWidth="1"/>
    <col min="39" max="39" width="10.5703125" style="55" customWidth="1"/>
    <col min="40" max="16384" width="11.42578125" style="43"/>
  </cols>
  <sheetData>
    <row r="1" spans="1:41" s="34" customFormat="1" ht="21.75" customHeight="1" x14ac:dyDescent="0.25">
      <c r="A1" s="64" t="s">
        <v>8</v>
      </c>
      <c r="B1" s="132">
        <f ca="1">TODAY()</f>
        <v>42431</v>
      </c>
      <c r="C1" s="231" t="s">
        <v>19</v>
      </c>
      <c r="D1" s="232"/>
      <c r="E1" s="133">
        <v>0.04</v>
      </c>
      <c r="F1" s="26"/>
      <c r="G1" s="27"/>
      <c r="H1" s="27"/>
      <c r="I1" s="28"/>
      <c r="J1" s="65" t="s">
        <v>207</v>
      </c>
      <c r="K1" s="29"/>
      <c r="L1" s="30"/>
      <c r="M1" s="31"/>
      <c r="N1" s="31"/>
      <c r="O1" s="31"/>
      <c r="P1" s="28"/>
      <c r="Q1" s="32"/>
      <c r="R1" s="33"/>
      <c r="S1" s="33"/>
      <c r="T1" s="33"/>
      <c r="U1" s="33"/>
      <c r="W1" s="35"/>
      <c r="Z1" s="36"/>
      <c r="AA1" s="37"/>
      <c r="AB1" s="37"/>
      <c r="AC1" s="38"/>
      <c r="AD1" s="39"/>
      <c r="AE1" s="40"/>
      <c r="AF1" s="41"/>
      <c r="AG1" s="40"/>
      <c r="AJ1" s="30"/>
      <c r="AK1" s="30"/>
      <c r="AM1" s="42"/>
    </row>
    <row r="2" spans="1:41" s="194" customFormat="1" ht="25.5" customHeight="1" x14ac:dyDescent="0.25">
      <c r="A2" s="193">
        <v>1</v>
      </c>
      <c r="B2" s="193">
        <v>2</v>
      </c>
      <c r="C2" s="193">
        <v>3</v>
      </c>
      <c r="D2" s="193">
        <v>4</v>
      </c>
      <c r="E2" s="193">
        <v>5</v>
      </c>
      <c r="F2" s="193">
        <v>6</v>
      </c>
      <c r="G2" s="193">
        <v>7</v>
      </c>
      <c r="H2" s="193">
        <v>8</v>
      </c>
      <c r="I2" s="193">
        <v>9</v>
      </c>
      <c r="J2" s="193">
        <v>10</v>
      </c>
      <c r="K2" s="193">
        <v>11</v>
      </c>
      <c r="L2" s="193">
        <v>12</v>
      </c>
      <c r="M2" s="193">
        <v>13</v>
      </c>
      <c r="N2" s="193">
        <v>14</v>
      </c>
      <c r="O2" s="193">
        <v>15</v>
      </c>
      <c r="P2" s="193">
        <v>16</v>
      </c>
      <c r="Q2" s="193">
        <v>17</v>
      </c>
      <c r="R2" s="193">
        <v>18</v>
      </c>
      <c r="S2" s="193">
        <v>19</v>
      </c>
      <c r="T2" s="193">
        <v>20</v>
      </c>
      <c r="U2" s="193">
        <v>21</v>
      </c>
      <c r="V2" s="193">
        <v>22</v>
      </c>
      <c r="W2" s="193">
        <v>23</v>
      </c>
      <c r="X2" s="193">
        <v>24</v>
      </c>
      <c r="Y2" s="193">
        <v>25</v>
      </c>
      <c r="Z2" s="193">
        <v>26</v>
      </c>
      <c r="AA2" s="193">
        <v>27</v>
      </c>
      <c r="AB2" s="193">
        <v>28</v>
      </c>
      <c r="AC2" s="193">
        <v>29</v>
      </c>
      <c r="AD2" s="193">
        <v>30</v>
      </c>
      <c r="AE2" s="193">
        <v>31</v>
      </c>
      <c r="AF2" s="193">
        <v>32</v>
      </c>
      <c r="AG2" s="193">
        <v>33</v>
      </c>
      <c r="AH2" s="193">
        <v>34</v>
      </c>
      <c r="AI2" s="193">
        <v>35</v>
      </c>
      <c r="AJ2" s="193">
        <v>36</v>
      </c>
      <c r="AK2" s="193"/>
      <c r="AL2" s="193">
        <v>38</v>
      </c>
      <c r="AM2" s="193"/>
    </row>
    <row r="3" spans="1:41" s="114" customFormat="1" ht="19.5" customHeight="1" x14ac:dyDescent="0.2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41" s="57" customFormat="1" ht="30" customHeight="1" x14ac:dyDescent="0.25">
      <c r="A4" s="217" t="s">
        <v>9</v>
      </c>
      <c r="B4" s="217" t="s">
        <v>10</v>
      </c>
      <c r="C4" s="218" t="s">
        <v>11</v>
      </c>
      <c r="D4" s="218" t="s">
        <v>12</v>
      </c>
      <c r="E4" s="219" t="s">
        <v>3</v>
      </c>
      <c r="F4" s="220" t="s">
        <v>22</v>
      </c>
      <c r="G4" s="219" t="s">
        <v>13</v>
      </c>
      <c r="H4" s="219" t="s">
        <v>14</v>
      </c>
      <c r="I4" s="221" t="s">
        <v>25</v>
      </c>
      <c r="J4" s="218" t="s">
        <v>21</v>
      </c>
      <c r="K4" s="222" t="s">
        <v>23</v>
      </c>
      <c r="L4" s="223" t="s">
        <v>24</v>
      </c>
      <c r="M4" s="221" t="s">
        <v>15</v>
      </c>
      <c r="N4" s="221" t="s">
        <v>16</v>
      </c>
      <c r="O4" s="221" t="s">
        <v>17</v>
      </c>
      <c r="P4" s="221" t="s">
        <v>18</v>
      </c>
      <c r="Q4" s="224" t="s">
        <v>4</v>
      </c>
      <c r="R4" s="224" t="s">
        <v>5</v>
      </c>
      <c r="S4" s="224" t="s">
        <v>6</v>
      </c>
      <c r="T4" s="224" t="s">
        <v>7</v>
      </c>
      <c r="U4" s="224" t="s">
        <v>20</v>
      </c>
      <c r="V4" s="217" t="s">
        <v>0</v>
      </c>
      <c r="W4" s="225" t="s">
        <v>1</v>
      </c>
      <c r="X4" s="225" t="s">
        <v>2</v>
      </c>
      <c r="Y4" s="225" t="s">
        <v>26</v>
      </c>
      <c r="Z4" s="225" t="s">
        <v>27</v>
      </c>
      <c r="AA4" s="226" t="s">
        <v>28</v>
      </c>
      <c r="AB4" s="226" t="s">
        <v>29</v>
      </c>
      <c r="AC4" s="227" t="s">
        <v>30</v>
      </c>
      <c r="AD4" s="225" t="s">
        <v>31</v>
      </c>
      <c r="AE4" s="225" t="s">
        <v>32</v>
      </c>
      <c r="AF4" s="228" t="s">
        <v>33</v>
      </c>
      <c r="AG4" s="225" t="s">
        <v>34</v>
      </c>
      <c r="AH4" s="225" t="s">
        <v>35</v>
      </c>
      <c r="AI4" s="225" t="s">
        <v>36</v>
      </c>
      <c r="AJ4" s="225" t="s">
        <v>145</v>
      </c>
      <c r="AK4" s="229" t="s">
        <v>143</v>
      </c>
      <c r="AL4" s="229" t="s">
        <v>144</v>
      </c>
      <c r="AM4" s="230" t="s">
        <v>155</v>
      </c>
      <c r="AN4" s="56"/>
      <c r="AO4" s="56"/>
    </row>
    <row r="5" spans="1:41" s="117" customFormat="1" ht="15" customHeight="1" x14ac:dyDescent="0.25">
      <c r="A5" s="195" t="s">
        <v>110</v>
      </c>
      <c r="B5" s="196" t="s">
        <v>189</v>
      </c>
      <c r="C5" s="197">
        <v>42155</v>
      </c>
      <c r="D5" s="197">
        <f>IF(SUIVI_DES_FACTURES[[#This Row],[Date facture]]="","",EOMONTH(SUIVI_DES_FACTURES[[#This Row],[Date facture]]+30,0))</f>
        <v>42185</v>
      </c>
      <c r="E5" s="198">
        <v>2304</v>
      </c>
      <c r="F5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5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5" s="198">
        <f ca="1">IF(SUIVI_DES_FACTURES[[#This Row],[Date facture]]="","",ROUNDDOWN(SUIVI_DES_FACTURES[[#This Row],[Montant TTC]]+SUIVI_DES_FACTURES[[#This Row],[Majoration]],2))</f>
        <v>2304</v>
      </c>
      <c r="I5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Validée</v>
      </c>
      <c r="J5" s="201">
        <v>42384</v>
      </c>
      <c r="K5" s="202">
        <f>IF(AND(SUIVI_DES_FACTURES[[#This Row],[Paiement Comptant]]="",SUIVI_DES_FACTURES[[#This Row],[Paiement Différé]]=""),"",(SUIVI_DES_FACTURES[[#This Row],[Paiement Comptant]]+SUIVI_DES_FACTURES[[#This Row],[Paiement Différé]]))</f>
        <v>2397.27</v>
      </c>
      <c r="L5" s="203">
        <f ca="1">IFERROR(IF(SUIVI_DES_FACTURES[[#This Row],[▼  Réglée  ▼]]="Validée",SUIVI_DES_FACTURES[[#This Row],[Montant Total Payé]]-SUIVI_DES_FACTURES[[#This Row],[Montant TTC]],""),"")</f>
        <v>93.269999999999982</v>
      </c>
      <c r="M5" s="204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5" s="205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5" s="205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5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5" s="206">
        <v>51.62</v>
      </c>
      <c r="R5" s="206">
        <v>0</v>
      </c>
      <c r="S5" s="206">
        <v>0</v>
      </c>
      <c r="T5" s="206">
        <v>351.21</v>
      </c>
      <c r="U5" s="206">
        <f>IF(SUIVI_DES_FACTURES[[#This Row],[Date facture]]="","",ROUNDDOWN(-SUM(-SUIVI_DES_FACTURES[[#This Row],[Montant TTC]],(SUIVI_DES_FACTURES[[#This Row],[TVA 5,5]:[TVA 20]])),2))</f>
        <v>1901.17</v>
      </c>
      <c r="V5" s="203" t="str">
        <f ca="1">IF(SUIVI_DES_FACTURES[[#This Row],[Raison sociale]]="","",VLOOKUP(SUIVI_DES_FACTURES[[#This Row],[Raison sociale]],CLIENTS_PLAGE_CLIENTS,2,FALSE))</f>
        <v>Adresse Complète du Client Nom 1</v>
      </c>
      <c r="W5" s="207">
        <f ca="1">IF(SUIVI_DES_FACTURES[[#This Row],[Raison sociale]]="","",VLOOKUP(SUIVI_DES_FACTURES[[#This Row],[Raison sociale]],CLIENTS_PLAGE_CLIENTS,3,FALSE))</f>
        <v>92210</v>
      </c>
      <c r="X5" s="207" t="str">
        <f ca="1">IF(SUIVI_DES_FACTURES[[#This Row],[Raison sociale]]="","",VLOOKUP(SUIVI_DES_FACTURES[[#This Row],[Raison sociale]],CLIENTS_PLAGE_CLIENTS,4,FALSE))</f>
        <v>ST CLOUD</v>
      </c>
      <c r="Y5" s="207" t="s">
        <v>37</v>
      </c>
      <c r="Z5" s="207"/>
      <c r="AA5" s="208"/>
      <c r="AB5" s="208"/>
      <c r="AC5" s="209"/>
      <c r="AD5" s="210"/>
      <c r="AE5" s="210"/>
      <c r="AF5" s="211"/>
      <c r="AG5" s="210"/>
      <c r="AH5" s="207"/>
      <c r="AI5" s="207"/>
      <c r="AJ5" s="207" t="str">
        <f>IF(SUIVI_DES_FACTURES[[#This Row],[Paiement Comptant]]&lt;&gt;0,"NON","OUI")</f>
        <v>NON</v>
      </c>
      <c r="AK5" s="198">
        <v>2397.27</v>
      </c>
      <c r="AL5" s="212"/>
      <c r="AM5" s="213" t="str">
        <f>IF(AJ5="","",IF(AJ5="OUI"=TRUE,ROWS($A$5:G5),""))</f>
        <v/>
      </c>
      <c r="AN5" s="116"/>
      <c r="AO5" s="116"/>
    </row>
    <row r="6" spans="1:41" s="119" customFormat="1" x14ac:dyDescent="0.25">
      <c r="A6" s="195" t="s">
        <v>111</v>
      </c>
      <c r="B6" s="196" t="s">
        <v>190</v>
      </c>
      <c r="C6" s="197">
        <v>42155</v>
      </c>
      <c r="D6" s="197">
        <f>IF(SUIVI_DES_FACTURES[[#This Row],[Date facture]]="","",EOMONTH(SUIVI_DES_FACTURES[[#This Row],[Date facture]]+30,0))</f>
        <v>42185</v>
      </c>
      <c r="E6" s="198">
        <v>2464</v>
      </c>
      <c r="F6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6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6" s="198">
        <f ca="1">IF(SUIVI_DES_FACTURES[[#This Row],[Date facture]]="","",ROUNDDOWN(SUIVI_DES_FACTURES[[#This Row],[Montant TTC]]+SUIVI_DES_FACTURES[[#This Row],[Majoration]],2))</f>
        <v>2464</v>
      </c>
      <c r="I6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Validée</v>
      </c>
      <c r="J6" s="201">
        <v>42385</v>
      </c>
      <c r="K6" s="202">
        <f>IF(AND(SUIVI_DES_FACTURES[[#This Row],[Paiement Comptant]]="",SUIVI_DES_FACTURES[[#This Row],[Paiement Différé]]=""),"",(SUIVI_DES_FACTURES[[#This Row],[Paiement Comptant]]+SUIVI_DES_FACTURES[[#This Row],[Paiement Différé]]))</f>
        <v>2559.08</v>
      </c>
      <c r="L6" s="203">
        <f ca="1">IFERROR(IF(SUIVI_DES_FACTURES[[#This Row],[▼  Réglée  ▼]]="Validée",SUIVI_DES_FACTURES[[#This Row],[Montant Total Payé]]-SUIVI_DES_FACTURES[[#This Row],[Montant TTC]],""),"")</f>
        <v>95.079999999999927</v>
      </c>
      <c r="M6" s="204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6" s="205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6" s="205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6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6" s="206">
        <v>0</v>
      </c>
      <c r="R6" s="206">
        <v>89.91</v>
      </c>
      <c r="S6" s="206">
        <v>157.16999999999999</v>
      </c>
      <c r="T6" s="206">
        <v>245</v>
      </c>
      <c r="U6" s="206">
        <f>IF(SUIVI_DES_FACTURES[[#This Row],[Date facture]]="","",ROUNDDOWN(-SUM(-SUIVI_DES_FACTURES[[#This Row],[Montant TTC]],(SUIVI_DES_FACTURES[[#This Row],[TVA 5,5]:[TVA 20]])),2))</f>
        <v>1971.92</v>
      </c>
      <c r="V6" s="203" t="str">
        <f ca="1">IF(SUIVI_DES_FACTURES[[#This Row],[Raison sociale]]="","",VLOOKUP(SUIVI_DES_FACTURES[[#This Row],[Raison sociale]],CLIENTS_PLAGE_CLIENTS,2,FALSE))</f>
        <v>Adresse Complète du Client Nom 2</v>
      </c>
      <c r="W6" s="207">
        <f ca="1">IF(SUIVI_DES_FACTURES[[#This Row],[Raison sociale]]="","",VLOOKUP(SUIVI_DES_FACTURES[[#This Row],[Raison sociale]],CLIENTS_PLAGE_CLIENTS,3,FALSE))</f>
        <v>75017</v>
      </c>
      <c r="X6" s="207" t="str">
        <f ca="1">IF(SUIVI_DES_FACTURES[[#This Row],[Raison sociale]]="","",VLOOKUP(SUIVI_DES_FACTURES[[#This Row],[Raison sociale]],CLIENTS_PLAGE_CLIENTS,4,FALSE))</f>
        <v>PARIS 17</v>
      </c>
      <c r="Y6" s="207" t="s">
        <v>83</v>
      </c>
      <c r="Z6" s="207" t="s">
        <v>84</v>
      </c>
      <c r="AA6" s="208" t="s">
        <v>89</v>
      </c>
      <c r="AB6" s="208" t="s">
        <v>85</v>
      </c>
      <c r="AC6" s="214" t="s">
        <v>178</v>
      </c>
      <c r="AD6" s="210">
        <v>30004</v>
      </c>
      <c r="AE6" s="210">
        <v>2249</v>
      </c>
      <c r="AF6" s="211">
        <v>9876543</v>
      </c>
      <c r="AG6" s="210">
        <v>3212</v>
      </c>
      <c r="AH6" s="207" t="s">
        <v>120</v>
      </c>
      <c r="AI6" s="207" t="s">
        <v>121</v>
      </c>
      <c r="AJ6" s="207" t="str">
        <f>IF(SUIVI_DES_FACTURES[[#This Row],[Paiement Comptant]]&lt;&gt;0,"NON","OUI")</f>
        <v>NON</v>
      </c>
      <c r="AK6" s="212">
        <v>2559.08</v>
      </c>
      <c r="AL6" s="212"/>
      <c r="AM6" s="213" t="str">
        <f>IF(AJ6="","",IF(AJ6="OUI"=TRUE,ROWS($A$5:G6),""))</f>
        <v/>
      </c>
      <c r="AN6" s="116"/>
      <c r="AO6" s="118"/>
    </row>
    <row r="7" spans="1:41" s="119" customFormat="1" ht="15" customHeight="1" x14ac:dyDescent="0.2">
      <c r="A7" s="195" t="s">
        <v>110</v>
      </c>
      <c r="B7" s="196" t="s">
        <v>191</v>
      </c>
      <c r="C7" s="197">
        <v>42216</v>
      </c>
      <c r="D7" s="197">
        <f>IF(SUIVI_DES_FACTURES[[#This Row],[Date facture]]="","",EOMONTH(SUIVI_DES_FACTURES[[#This Row],[Date facture]]+30,0))</f>
        <v>42247</v>
      </c>
      <c r="E7" s="198">
        <v>1984</v>
      </c>
      <c r="F7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184</v>
      </c>
      <c r="G7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80.006136986301371</v>
      </c>
      <c r="H7" s="198">
        <f ca="1">IF(SUIVI_DES_FACTURES[[#This Row],[Date facture]]="","",ROUNDDOWN(SUIVI_DES_FACTURES[[#This Row],[Montant TTC]]+SUIVI_DES_FACTURES[[#This Row],[Majoration]],2))</f>
        <v>2064</v>
      </c>
      <c r="I7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7" s="201"/>
      <c r="K7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7" s="203" t="str">
        <f ca="1">IFERROR(IF(SUIVI_DES_FACTURES[[#This Row],[▼  Réglée  ▼]]="Validée",SUIVI_DES_FACTURES[[#This Row],[Montant Total Payé]]-SUIVI_DES_FACTURES[[#This Row],[Montant TTC]],""),"")</f>
        <v/>
      </c>
      <c r="M7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7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7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7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7" s="206">
        <v>24.55</v>
      </c>
      <c r="R7" s="206">
        <v>0</v>
      </c>
      <c r="S7" s="206">
        <v>50.45</v>
      </c>
      <c r="T7" s="206">
        <v>248.92</v>
      </c>
      <c r="U7" s="206">
        <f>IF(SUIVI_DES_FACTURES[[#This Row],[Date facture]]="","",ROUNDDOWN(-SUM(-SUIVI_DES_FACTURES[[#This Row],[Montant TTC]],(SUIVI_DES_FACTURES[[#This Row],[TVA 5,5]:[TVA 20]])),2))</f>
        <v>1660.08</v>
      </c>
      <c r="V7" s="203" t="str">
        <f ca="1">IF(SUIVI_DES_FACTURES[[#This Row],[Raison sociale]]="","",VLOOKUP(SUIVI_DES_FACTURES[[#This Row],[Raison sociale]],CLIENTS_PLAGE_CLIENTS,2,FALSE))</f>
        <v>Adresse Complète du Client Nom 1</v>
      </c>
      <c r="W7" s="207">
        <f ca="1">IF(SUIVI_DES_FACTURES[[#This Row],[Raison sociale]]="","",VLOOKUP(SUIVI_DES_FACTURES[[#This Row],[Raison sociale]],CLIENTS_PLAGE_CLIENTS,3,FALSE))</f>
        <v>92210</v>
      </c>
      <c r="X7" s="207" t="str">
        <f ca="1">IF(SUIVI_DES_FACTURES[[#This Row],[Raison sociale]]="","",VLOOKUP(SUIVI_DES_FACTURES[[#This Row],[Raison sociale]],CLIENTS_PLAGE_CLIENTS,4,FALSE))</f>
        <v>ST CLOUD</v>
      </c>
      <c r="Y7" s="207"/>
      <c r="Z7" s="207" t="s">
        <v>87</v>
      </c>
      <c r="AA7" s="208"/>
      <c r="AB7" s="208">
        <v>666666</v>
      </c>
      <c r="AC7" s="215" t="s">
        <v>226</v>
      </c>
      <c r="AD7" s="210"/>
      <c r="AE7" s="210"/>
      <c r="AF7" s="211"/>
      <c r="AG7" s="210"/>
      <c r="AH7" s="207"/>
      <c r="AI7" s="207"/>
      <c r="AJ7" s="207" t="str">
        <f>IF(SUIVI_DES_FACTURES[[#This Row],[Paiement Comptant]]&lt;&gt;0,"NON","OUI")</f>
        <v>OUI</v>
      </c>
      <c r="AK7" s="212"/>
      <c r="AL7" s="212"/>
      <c r="AM7" s="213">
        <f>IF(AJ7="","",IF(AJ7="OUI"=TRUE,ROWS($A$5:G7),""))</f>
        <v>3</v>
      </c>
      <c r="AN7" s="116"/>
      <c r="AO7" s="118"/>
    </row>
    <row r="8" spans="1:41" s="119" customFormat="1" ht="15" customHeight="1" x14ac:dyDescent="0.25">
      <c r="A8" s="195" t="s">
        <v>111</v>
      </c>
      <c r="B8" s="196" t="s">
        <v>192</v>
      </c>
      <c r="C8" s="197">
        <v>42277</v>
      </c>
      <c r="D8" s="197">
        <f>IF(SUIVI_DES_FACTURES[[#This Row],[Date facture]]="","",EOMONTH(SUIVI_DES_FACTURES[[#This Row],[Date facture]]+30,0))</f>
        <v>42308</v>
      </c>
      <c r="E8" s="198">
        <v>1910</v>
      </c>
      <c r="F8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123</v>
      </c>
      <c r="G8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65.745753424657536</v>
      </c>
      <c r="H8" s="198">
        <f ca="1">IF(SUIVI_DES_FACTURES[[#This Row],[Date facture]]="","",ROUNDDOWN(SUIVI_DES_FACTURES[[#This Row],[Montant TTC]]+SUIVI_DES_FACTURES[[#This Row],[Majoration]],2))</f>
        <v>1975.74</v>
      </c>
      <c r="I8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cours</v>
      </c>
      <c r="J8" s="201">
        <v>42547</v>
      </c>
      <c r="K8" s="202">
        <f>IF(AND(SUIVI_DES_FACTURES[[#This Row],[Paiement Comptant]]="",SUIVI_DES_FACTURES[[#This Row],[Paiement Différé]]=""),"",(SUIVI_DES_FACTURES[[#This Row],[Paiement Comptant]]+SUIVI_DES_FACTURES[[#This Row],[Paiement Différé]]))</f>
        <v>1909.9999999999998</v>
      </c>
      <c r="L8" s="203" t="str">
        <f ca="1">IFERROR(IF(SUIVI_DES_FACTURES[[#This Row],[▼  Réglée  ▼]]="Validée",SUIVI_DES_FACTURES[[#This Row],[Montant Total Payé]]-SUIVI_DES_FACTURES[[#This Row],[Montant TTC]],""),"")</f>
        <v/>
      </c>
      <c r="M8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8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8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8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8" s="206"/>
      <c r="R8" s="206">
        <v>159.83000000000001</v>
      </c>
      <c r="S8" s="206"/>
      <c r="T8" s="206">
        <v>364.75</v>
      </c>
      <c r="U8" s="206">
        <f>IF(SUIVI_DES_FACTURES[[#This Row],[Date facture]]="","",ROUNDDOWN(-SUM(-SUIVI_DES_FACTURES[[#This Row],[Montant TTC]],(SUIVI_DES_FACTURES[[#This Row],[TVA 5,5]:[TVA 20]])),2))</f>
        <v>1385.42</v>
      </c>
      <c r="V8" s="203" t="str">
        <f ca="1">IF(SUIVI_DES_FACTURES[[#This Row],[Raison sociale]]="","",VLOOKUP(SUIVI_DES_FACTURES[[#This Row],[Raison sociale]],CLIENTS_PLAGE_CLIENTS,2,FALSE))</f>
        <v>Adresse Complète du Client Nom 2</v>
      </c>
      <c r="W8" s="207">
        <f ca="1">IF(SUIVI_DES_FACTURES[[#This Row],[Raison sociale]]="","",VLOOKUP(SUIVI_DES_FACTURES[[#This Row],[Raison sociale]],CLIENTS_PLAGE_CLIENTS,3,FALSE))</f>
        <v>75017</v>
      </c>
      <c r="X8" s="207" t="str">
        <f ca="1">IF(SUIVI_DES_FACTURES[[#This Row],[Raison sociale]]="","",VLOOKUP(SUIVI_DES_FACTURES[[#This Row],[Raison sociale]],CLIENTS_PLAGE_CLIENTS,4,FALSE))</f>
        <v>PARIS 17</v>
      </c>
      <c r="Y8" s="207" t="s">
        <v>83</v>
      </c>
      <c r="Z8" s="207" t="s">
        <v>82</v>
      </c>
      <c r="AA8" s="208" t="s">
        <v>179</v>
      </c>
      <c r="AB8" s="208" t="s">
        <v>180</v>
      </c>
      <c r="AC8" s="209" t="s">
        <v>181</v>
      </c>
      <c r="AD8" s="210">
        <v>30004</v>
      </c>
      <c r="AE8" s="210">
        <v>2249</v>
      </c>
      <c r="AF8" s="211">
        <v>4519871</v>
      </c>
      <c r="AG8" s="210">
        <v>87</v>
      </c>
      <c r="AH8" s="207" t="s">
        <v>182</v>
      </c>
      <c r="AI8" s="207" t="s">
        <v>183</v>
      </c>
      <c r="AJ8" s="207" t="str">
        <f>IF(SUIVI_DES_FACTURES[[#This Row],[Paiement Comptant]]&lt;&gt;0,"NON","OUI")</f>
        <v>OUI</v>
      </c>
      <c r="AK8" s="212"/>
      <c r="AL8" s="212">
        <v>1909.9999999999998</v>
      </c>
      <c r="AM8" s="213">
        <f>IF(AJ8="","",IF(AJ8="OUI"=TRUE,ROWS($A$5:G8),""))</f>
        <v>4</v>
      </c>
      <c r="AN8" s="116"/>
      <c r="AO8" s="118"/>
    </row>
    <row r="9" spans="1:41" s="119" customFormat="1" ht="15" customHeight="1" x14ac:dyDescent="0.25">
      <c r="A9" s="195" t="s">
        <v>112</v>
      </c>
      <c r="B9" s="196" t="s">
        <v>193</v>
      </c>
      <c r="C9" s="216">
        <v>42248</v>
      </c>
      <c r="D9" s="197">
        <f>IF(SUIVI_DES_FACTURES[[#This Row],[Date facture]]="","",EOMONTH(SUIVI_DES_FACTURES[[#This Row],[Date facture]]+30,0))</f>
        <v>42308</v>
      </c>
      <c r="E9" s="198">
        <v>3484</v>
      </c>
      <c r="F9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123</v>
      </c>
      <c r="G9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86.962410958904115</v>
      </c>
      <c r="H9" s="198">
        <f ca="1">IF(SUIVI_DES_FACTURES[[#This Row],[Date facture]]="","",ROUNDDOWN(SUIVI_DES_FACTURES[[#This Row],[Montant TTC]]+SUIVI_DES_FACTURES[[#This Row],[Majoration]],2))</f>
        <v>3570.96</v>
      </c>
      <c r="I9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cours</v>
      </c>
      <c r="J9" s="201">
        <v>42532</v>
      </c>
      <c r="K9" s="202">
        <f>IF(AND(SUIVI_DES_FACTURES[[#This Row],[Paiement Comptant]]="",SUIVI_DES_FACTURES[[#This Row],[Paiement Différé]]=""),"",(SUIVI_DES_FACTURES[[#This Row],[Paiement Comptant]]+SUIVI_DES_FACTURES[[#This Row],[Paiement Différé]]))</f>
        <v>3484</v>
      </c>
      <c r="L9" s="203" t="str">
        <f ca="1">IFERROR(IF(SUIVI_DES_FACTURES[[#This Row],[▼  Réglée  ▼]]="Validée",SUIVI_DES_FACTURES[[#This Row],[Montant Total Payé]]-SUIVI_DES_FACTURES[[#This Row],[Montant TTC]],""),"")</f>
        <v/>
      </c>
      <c r="M9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9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9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9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9" s="206">
        <v>157.76</v>
      </c>
      <c r="R9" s="206">
        <v>192.77</v>
      </c>
      <c r="S9" s="206">
        <v>259.75</v>
      </c>
      <c r="T9" s="206">
        <v>324.81</v>
      </c>
      <c r="U9" s="206">
        <f>IF(SUIVI_DES_FACTURES[[#This Row],[Date facture]]="","",ROUNDDOWN(-SUM(-SUIVI_DES_FACTURES[[#This Row],[Montant TTC]],(SUIVI_DES_FACTURES[[#This Row],[TVA 5,5]:[TVA 20]])),2))</f>
        <v>2548.91</v>
      </c>
      <c r="V9" s="203" t="str">
        <f ca="1">IF(SUIVI_DES_FACTURES[[#This Row],[Raison sociale]]="","",VLOOKUP(SUIVI_DES_FACTURES[[#This Row],[Raison sociale]],CLIENTS_PLAGE_CLIENTS,2,FALSE))</f>
        <v>Adresse Complète du Client Nom 3</v>
      </c>
      <c r="W9" s="207">
        <f ca="1">IF(SUIVI_DES_FACTURES[[#This Row],[Raison sociale]]="","",VLOOKUP(SUIVI_DES_FACTURES[[#This Row],[Raison sociale]],CLIENTS_PLAGE_CLIENTS,3,FALSE))</f>
        <v>44105</v>
      </c>
      <c r="X9" s="207" t="str">
        <f ca="1">IF(SUIVI_DES_FACTURES[[#This Row],[Raison sociale]]="","",VLOOKUP(SUIVI_DES_FACTURES[[#This Row],[Raison sociale]],CLIENTS_PLAGE_CLIENTS,4,FALSE))</f>
        <v>NANTES CEDEX 4</v>
      </c>
      <c r="Y9" s="207" t="s">
        <v>86</v>
      </c>
      <c r="Z9" s="207" t="s">
        <v>88</v>
      </c>
      <c r="AA9" s="208"/>
      <c r="AB9" s="208">
        <v>5491124536</v>
      </c>
      <c r="AC9" s="209" t="s">
        <v>184</v>
      </c>
      <c r="AD9" s="210"/>
      <c r="AE9" s="210"/>
      <c r="AF9" s="211"/>
      <c r="AG9" s="210"/>
      <c r="AH9" s="207"/>
      <c r="AI9" s="207"/>
      <c r="AJ9" s="207" t="str">
        <f>IF(SUIVI_DES_FACTURES[[#This Row],[Paiement Comptant]]&lt;&gt;0,"NON","OUI")</f>
        <v>OUI</v>
      </c>
      <c r="AK9" s="212"/>
      <c r="AL9" s="212">
        <v>3484</v>
      </c>
      <c r="AM9" s="213">
        <f>IF(AJ9="","",IF(AJ9="OUI"=TRUE,ROWS($A$5:G9),""))</f>
        <v>5</v>
      </c>
      <c r="AN9" s="116"/>
      <c r="AO9" s="118"/>
    </row>
    <row r="10" spans="1:41" s="119" customFormat="1" ht="15" customHeight="1" x14ac:dyDescent="0.25">
      <c r="A10" s="195" t="s">
        <v>113</v>
      </c>
      <c r="B10" s="196" t="s">
        <v>194</v>
      </c>
      <c r="C10" s="197">
        <v>42278</v>
      </c>
      <c r="D10" s="197">
        <f>IF(SUIVI_DES_FACTURES[[#This Row],[Date facture]]="","",EOMONTH(SUIVI_DES_FACTURES[[#This Row],[Date facture]]+30,0))</f>
        <v>42308</v>
      </c>
      <c r="E10" s="198">
        <v>5058</v>
      </c>
      <c r="F10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123</v>
      </c>
      <c r="G10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108.17906849315068</v>
      </c>
      <c r="H10" s="198">
        <f ca="1">IF(SUIVI_DES_FACTURES[[#This Row],[Date facture]]="","",ROUNDDOWN(SUIVI_DES_FACTURES[[#This Row],[Montant TTC]]+SUIVI_DES_FACTURES[[#This Row],[Majoration]],2))</f>
        <v>5166.17</v>
      </c>
      <c r="I10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cours</v>
      </c>
      <c r="J10" s="201">
        <v>42488</v>
      </c>
      <c r="K10" s="202">
        <f>IF(AND(SUIVI_DES_FACTURES[[#This Row],[Paiement Comptant]]="",SUIVI_DES_FACTURES[[#This Row],[Paiement Différé]]=""),"",(SUIVI_DES_FACTURES[[#This Row],[Paiement Comptant]]+SUIVI_DES_FACTURES[[#This Row],[Paiement Différé]]))</f>
        <v>5058</v>
      </c>
      <c r="L10" s="203" t="str">
        <f ca="1">IFERROR(IF(SUIVI_DES_FACTURES[[#This Row],[▼  Réglée  ▼]]="Validée",SUIVI_DES_FACTURES[[#This Row],[Montant Total Payé]]-SUIVI_DES_FACTURES[[#This Row],[Montant TTC]],""),"")</f>
        <v/>
      </c>
      <c r="M10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0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0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0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0" s="206">
        <v>154.5</v>
      </c>
      <c r="R10" s="206">
        <v>225.71</v>
      </c>
      <c r="S10" s="206">
        <v>24.89</v>
      </c>
      <c r="T10" s="206">
        <v>284.87</v>
      </c>
      <c r="U10" s="206">
        <f>IF(SUIVI_DES_FACTURES[[#This Row],[Date facture]]="","",ROUNDDOWN(-SUM(-SUIVI_DES_FACTURES[[#This Row],[Montant TTC]],(SUIVI_DES_FACTURES[[#This Row],[TVA 5,5]:[TVA 20]])),2))</f>
        <v>4368.03</v>
      </c>
      <c r="V10" s="203" t="str">
        <f ca="1">IF(SUIVI_DES_FACTURES[[#This Row],[Raison sociale]]="","",VLOOKUP(SUIVI_DES_FACTURES[[#This Row],[Raison sociale]],CLIENTS_PLAGE_CLIENTS,2,FALSE))</f>
        <v>Adresse Complète du Client Nom 4</v>
      </c>
      <c r="W10" s="207">
        <f ca="1">IF(SUIVI_DES_FACTURES[[#This Row],[Raison sociale]]="","",VLOOKUP(SUIVI_DES_FACTURES[[#This Row],[Raison sociale]],CLIENTS_PLAGE_CLIENTS,3,FALSE))</f>
        <v>92100</v>
      </c>
      <c r="X10" s="207" t="str">
        <f ca="1">IF(SUIVI_DES_FACTURES[[#This Row],[Raison sociale]]="","",VLOOKUP(SUIVI_DES_FACTURES[[#This Row],[Raison sociale]],CLIENTS_PLAGE_CLIENTS,4,FALSE))</f>
        <v>BOULOGNE BILLANCOURT</v>
      </c>
      <c r="Y10" s="207" t="s">
        <v>215</v>
      </c>
      <c r="Z10" s="207" t="s">
        <v>185</v>
      </c>
      <c r="AA10" s="208"/>
      <c r="AB10" s="208" t="s">
        <v>186</v>
      </c>
      <c r="AC10" s="209" t="s">
        <v>187</v>
      </c>
      <c r="AD10" s="210"/>
      <c r="AE10" s="210"/>
      <c r="AF10" s="211"/>
      <c r="AG10" s="210"/>
      <c r="AH10" s="207"/>
      <c r="AI10" s="207"/>
      <c r="AJ10" s="207" t="str">
        <f>IF(SUIVI_DES_FACTURES[[#This Row],[Paiement Comptant]]&lt;&gt;0,"NON","OUI")</f>
        <v>OUI</v>
      </c>
      <c r="AK10" s="212"/>
      <c r="AL10" s="212">
        <v>5058</v>
      </c>
      <c r="AM10" s="213">
        <f>IF(AJ10="","",IF(AJ10="OUI"=TRUE,ROWS($A$5:G10),""))</f>
        <v>6</v>
      </c>
      <c r="AN10" s="116"/>
      <c r="AO10" s="118"/>
    </row>
    <row r="11" spans="1:41" s="119" customFormat="1" ht="15" customHeight="1" x14ac:dyDescent="0.25">
      <c r="A11" s="195" t="s">
        <v>114</v>
      </c>
      <c r="B11" s="196" t="s">
        <v>195</v>
      </c>
      <c r="C11" s="197">
        <v>42155</v>
      </c>
      <c r="D11" s="197">
        <f>IF(SUIVI_DES_FACTURES[[#This Row],[Date facture]]="","",EOMONTH(SUIVI_DES_FACTURES[[#This Row],[Date facture]]+30,0))</f>
        <v>42185</v>
      </c>
      <c r="E11" s="198">
        <v>6632</v>
      </c>
      <c r="F11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246</v>
      </c>
      <c r="G11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218.79145205479455</v>
      </c>
      <c r="H11" s="198">
        <f ca="1">IF(SUIVI_DES_FACTURES[[#This Row],[Date facture]]="","",ROUNDDOWN(SUIVI_DES_FACTURES[[#This Row],[Montant TTC]]+SUIVI_DES_FACTURES[[#This Row],[Majoration]],2))</f>
        <v>6850.79</v>
      </c>
      <c r="I11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cours</v>
      </c>
      <c r="J11" s="201">
        <v>42485</v>
      </c>
      <c r="K11" s="202">
        <f>IF(AND(SUIVI_DES_FACTURES[[#This Row],[Paiement Comptant]]="",SUIVI_DES_FACTURES[[#This Row],[Paiement Différé]]=""),"",(SUIVI_DES_FACTURES[[#This Row],[Paiement Comptant]]+SUIVI_DES_FACTURES[[#This Row],[Paiement Différé]]))</f>
        <v>6632</v>
      </c>
      <c r="L11" s="203" t="str">
        <f ca="1">IFERROR(IF(SUIVI_DES_FACTURES[[#This Row],[▼  Réglée  ▼]]="Validée",SUIVI_DES_FACTURES[[#This Row],[Montant Total Payé]]-SUIVI_DES_FACTURES[[#This Row],[Montant TTC]],""),"")</f>
        <v/>
      </c>
      <c r="M11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1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1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1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1" s="206">
        <v>157.76</v>
      </c>
      <c r="R11" s="206">
        <v>0</v>
      </c>
      <c r="S11" s="206">
        <v>259.75</v>
      </c>
      <c r="T11" s="206">
        <v>244.93</v>
      </c>
      <c r="U11" s="206">
        <f>IF(SUIVI_DES_FACTURES[[#This Row],[Date facture]]="","",ROUNDDOWN(-SUM(-SUIVI_DES_FACTURES[[#This Row],[Montant TTC]],(SUIVI_DES_FACTURES[[#This Row],[TVA 5,5]:[TVA 20]])),2))</f>
        <v>5969.56</v>
      </c>
      <c r="V11" s="203" t="str">
        <f ca="1">IF(SUIVI_DES_FACTURES[[#This Row],[Raison sociale]]="","",VLOOKUP(SUIVI_DES_FACTURES[[#This Row],[Raison sociale]],CLIENTS_PLAGE_CLIENTS,2,FALSE))</f>
        <v>Adresse Complète du Client Nom 5</v>
      </c>
      <c r="W11" s="207">
        <f ca="1">IF(SUIVI_DES_FACTURES[[#This Row],[Raison sociale]]="","",VLOOKUP(SUIVI_DES_FACTURES[[#This Row],[Raison sociale]],CLIENTS_PLAGE_CLIENTS,3,FALSE))</f>
        <v>39800</v>
      </c>
      <c r="X11" s="207" t="str">
        <f ca="1">IF(SUIVI_DES_FACTURES[[#This Row],[Raison sociale]]="","",VLOOKUP(SUIVI_DES_FACTURES[[#This Row],[Raison sociale]],CLIENTS_PLAGE_CLIENTS,4,FALSE))</f>
        <v>POLIGNY</v>
      </c>
      <c r="Y11" s="207" t="s">
        <v>81</v>
      </c>
      <c r="Z11" s="207" t="s">
        <v>188</v>
      </c>
      <c r="AA11" s="208">
        <v>9024785311</v>
      </c>
      <c r="AB11" s="208"/>
      <c r="AC11" s="209" t="s">
        <v>142</v>
      </c>
      <c r="AD11" s="210"/>
      <c r="AE11" s="210"/>
      <c r="AF11" s="211"/>
      <c r="AG11" s="210"/>
      <c r="AH11" s="207"/>
      <c r="AI11" s="207"/>
      <c r="AJ11" s="207" t="str">
        <f>IF(SUIVI_DES_FACTURES[[#This Row],[Paiement Comptant]]&lt;&gt;0,"NON","OUI")</f>
        <v>OUI</v>
      </c>
      <c r="AK11" s="212"/>
      <c r="AL11" s="212">
        <v>6632</v>
      </c>
      <c r="AM11" s="213">
        <f>IF(AJ11="","",IF(AJ11="OUI"=TRUE,ROWS($A$5:G11),""))</f>
        <v>7</v>
      </c>
      <c r="AN11" s="116"/>
      <c r="AO11" s="118"/>
    </row>
    <row r="12" spans="1:41" s="119" customFormat="1" ht="15" customHeight="1" x14ac:dyDescent="0.25">
      <c r="A12" s="195" t="s">
        <v>115</v>
      </c>
      <c r="B12" s="196" t="s">
        <v>196</v>
      </c>
      <c r="C12" s="197">
        <v>42216</v>
      </c>
      <c r="D12" s="197">
        <f>IF(SUIVI_DES_FACTURES[[#This Row],[Date facture]]="","",EOMONTH(SUIVI_DES_FACTURES[[#This Row],[Date facture]]+30,0))</f>
        <v>42247</v>
      </c>
      <c r="E12" s="198">
        <v>5624.12</v>
      </c>
      <c r="F12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2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2" s="198">
        <f ca="1">IF(SUIVI_DES_FACTURES[[#This Row],[Date facture]]="","",ROUNDDOWN(SUIVI_DES_FACTURES[[#This Row],[Montant TTC]]+SUIVI_DES_FACTURES[[#This Row],[Majoration]],2))</f>
        <v>5624.12</v>
      </c>
      <c r="I12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Validée</v>
      </c>
      <c r="J12" s="201">
        <v>42397</v>
      </c>
      <c r="K12" s="202">
        <f>IF(AND(SUIVI_DES_FACTURES[[#This Row],[Paiement Comptant]]="",SUIVI_DES_FACTURES[[#This Row],[Paiement Différé]]=""),"",(SUIVI_DES_FACTURES[[#This Row],[Paiement Comptant]]+SUIVI_DES_FACTURES[[#This Row],[Paiement Différé]]))</f>
        <v>5624.1200000000008</v>
      </c>
      <c r="L12" s="203">
        <f ca="1">IFERROR(IF(SUIVI_DES_FACTURES[[#This Row],[▼  Réglée  ▼]]="Validée",SUIVI_DES_FACTURES[[#This Row],[Montant Total Payé]]-SUIVI_DES_FACTURES[[#This Row],[Montant TTC]],""),"")</f>
        <v>9.0949470177292824E-13</v>
      </c>
      <c r="M12" s="204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2" s="205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2" s="205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2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2" s="206">
        <v>157.76</v>
      </c>
      <c r="R12" s="206">
        <v>159.83000000000001</v>
      </c>
      <c r="S12" s="206">
        <v>628.67999999999995</v>
      </c>
      <c r="T12" s="206">
        <v>313.60500000000002</v>
      </c>
      <c r="U12" s="206">
        <f>IF(SUIVI_DES_FACTURES[[#This Row],[Date facture]]="","",ROUNDDOWN(-SUM(-SUIVI_DES_FACTURES[[#This Row],[Montant TTC]],(SUIVI_DES_FACTURES[[#This Row],[TVA 5,5]:[TVA 20]])),2))</f>
        <v>4364.24</v>
      </c>
      <c r="V12" s="203" t="str">
        <f ca="1">IF(SUIVI_DES_FACTURES[[#This Row],[Raison sociale]]="","",VLOOKUP(SUIVI_DES_FACTURES[[#This Row],[Raison sociale]],CLIENTS_PLAGE_CLIENTS,2,FALSE))</f>
        <v>Adresse Complète du Client Nom 6</v>
      </c>
      <c r="W12" s="207">
        <f ca="1">IF(SUIVI_DES_FACTURES[[#This Row],[Raison sociale]]="","",VLOOKUP(SUIVI_DES_FACTURES[[#This Row],[Raison sociale]],CLIENTS_PLAGE_CLIENTS,3,FALSE))</f>
        <v>67720</v>
      </c>
      <c r="X12" s="207" t="str">
        <f ca="1">IF(SUIVI_DES_FACTURES[[#This Row],[Raison sociale]]="","",VLOOKUP(SUIVI_DES_FACTURES[[#This Row],[Raison sociale]],CLIENTS_PLAGE_CLIENTS,4,FALSE))</f>
        <v>WEYERSHEIM</v>
      </c>
      <c r="Y12" s="207" t="s">
        <v>37</v>
      </c>
      <c r="Z12" s="207"/>
      <c r="AA12" s="208"/>
      <c r="AB12" s="208"/>
      <c r="AC12" s="209"/>
      <c r="AD12" s="210"/>
      <c r="AE12" s="210"/>
      <c r="AF12" s="211"/>
      <c r="AG12" s="210"/>
      <c r="AH12" s="207"/>
      <c r="AI12" s="207"/>
      <c r="AJ12" s="207" t="str">
        <f>IF(SUIVI_DES_FACTURES[[#This Row],[Paiement Comptant]]&lt;&gt;0,"NON","OUI")</f>
        <v>OUI</v>
      </c>
      <c r="AK12" s="212"/>
      <c r="AL12" s="212">
        <v>5624.1200000000008</v>
      </c>
      <c r="AM12" s="213">
        <f>IF(AJ12="","",IF(AJ12="OUI"=TRUE,ROWS($A$5:G12),""))</f>
        <v>8</v>
      </c>
      <c r="AN12" s="116"/>
      <c r="AO12" s="118"/>
    </row>
    <row r="13" spans="1:41" s="119" customFormat="1" ht="15" customHeight="1" x14ac:dyDescent="0.25">
      <c r="A13" s="195" t="s">
        <v>110</v>
      </c>
      <c r="B13" s="196" t="s">
        <v>197</v>
      </c>
      <c r="C13" s="197">
        <v>42246</v>
      </c>
      <c r="D13" s="197">
        <f>IF(SUIVI_DES_FACTURES[[#This Row],[Date facture]]="","",EOMONTH(SUIVI_DES_FACTURES[[#This Row],[Date facture]]+30,0))</f>
        <v>42277</v>
      </c>
      <c r="E13" s="198">
        <v>5402.75</v>
      </c>
      <c r="F13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154</v>
      </c>
      <c r="G13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131.18065753424656</v>
      </c>
      <c r="H13" s="198">
        <f ca="1">IF(SUIVI_DES_FACTURES[[#This Row],[Date facture]]="","",ROUNDDOWN(SUIVI_DES_FACTURES[[#This Row],[Montant TTC]]+SUIVI_DES_FACTURES[[#This Row],[Majoration]],2))</f>
        <v>5533.93</v>
      </c>
      <c r="I13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13" s="201"/>
      <c r="K13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3" s="203" t="str">
        <f ca="1">IFERROR(IF(SUIVI_DES_FACTURES[[#This Row],[▼  Réglée  ▼]]="Validée",SUIVI_DES_FACTURES[[#This Row],[Montant Total Payé]]-SUIVI_DES_FACTURES[[#This Row],[Montant TTC]],""),"")</f>
        <v/>
      </c>
      <c r="M13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3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3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3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3" s="206">
        <v>159.051428571429</v>
      </c>
      <c r="R13" s="206">
        <v>198.78800000000001</v>
      </c>
      <c r="S13" s="206">
        <v>785.85</v>
      </c>
      <c r="T13" s="206">
        <v>318.05900000000003</v>
      </c>
      <c r="U13" s="206">
        <f>IF(SUIVI_DES_FACTURES[[#This Row],[Date facture]]="","",ROUNDDOWN(-SUM(-SUIVI_DES_FACTURES[[#This Row],[Montant TTC]],(SUIVI_DES_FACTURES[[#This Row],[TVA 5,5]:[TVA 20]])),2))</f>
        <v>3941</v>
      </c>
      <c r="V13" s="203" t="str">
        <f ca="1">IF(SUIVI_DES_FACTURES[[#This Row],[Raison sociale]]="","",VLOOKUP(SUIVI_DES_FACTURES[[#This Row],[Raison sociale]],CLIENTS_PLAGE_CLIENTS,2,FALSE))</f>
        <v>Adresse Complète du Client Nom 1</v>
      </c>
      <c r="W13" s="207">
        <f ca="1">IF(SUIVI_DES_FACTURES[[#This Row],[Raison sociale]]="","",VLOOKUP(SUIVI_DES_FACTURES[[#This Row],[Raison sociale]],CLIENTS_PLAGE_CLIENTS,3,FALSE))</f>
        <v>92210</v>
      </c>
      <c r="X13" s="207" t="str">
        <f ca="1">IF(SUIVI_DES_FACTURES[[#This Row],[Raison sociale]]="","",VLOOKUP(SUIVI_DES_FACTURES[[#This Row],[Raison sociale]],CLIENTS_PLAGE_CLIENTS,4,FALSE))</f>
        <v>ST CLOUD</v>
      </c>
      <c r="Y13" s="207"/>
      <c r="Z13" s="207"/>
      <c r="AA13" s="208"/>
      <c r="AB13" s="208"/>
      <c r="AC13" s="209"/>
      <c r="AD13" s="210"/>
      <c r="AE13" s="210"/>
      <c r="AF13" s="211"/>
      <c r="AG13" s="210"/>
      <c r="AH13" s="207"/>
      <c r="AI13" s="207"/>
      <c r="AJ13" s="207" t="str">
        <f>IF(SUIVI_DES_FACTURES[[#This Row],[Paiement Comptant]]&lt;&gt;0,"NON","OUI")</f>
        <v>OUI</v>
      </c>
      <c r="AK13" s="212"/>
      <c r="AL13" s="212"/>
      <c r="AM13" s="213">
        <f>IF(AJ13="","",IF(AJ13="OUI"=TRUE,ROWS($A$5:G13),""))</f>
        <v>9</v>
      </c>
      <c r="AN13" s="116"/>
      <c r="AO13" s="118"/>
    </row>
    <row r="14" spans="1:41" s="119" customFormat="1" ht="15" customHeight="1" x14ac:dyDescent="0.25">
      <c r="A14" s="195" t="s">
        <v>111</v>
      </c>
      <c r="B14" s="196" t="s">
        <v>198</v>
      </c>
      <c r="C14" s="216">
        <v>42248</v>
      </c>
      <c r="D14" s="197">
        <f>IF(SUIVI_DES_FACTURES[[#This Row],[Date facture]]="","",EOMONTH(SUIVI_DES_FACTURES[[#This Row],[Date facture]]+30,0))</f>
        <v>42308</v>
      </c>
      <c r="E14" s="198">
        <v>5673.02</v>
      </c>
      <c r="F14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123</v>
      </c>
      <c r="G14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116.46920109589041</v>
      </c>
      <c r="H14" s="198">
        <f ca="1">IF(SUIVI_DES_FACTURES[[#This Row],[Date facture]]="","",ROUNDDOWN(SUIVI_DES_FACTURES[[#This Row],[Montant TTC]]+SUIVI_DES_FACTURES[[#This Row],[Majoration]],2))</f>
        <v>5789.48</v>
      </c>
      <c r="I14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14" s="201"/>
      <c r="K14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4" s="203" t="str">
        <f ca="1">IFERROR(IF(SUIVI_DES_FACTURES[[#This Row],[▼  Réglée  ▼]]="Validée",SUIVI_DES_FACTURES[[#This Row],[Montant Total Payé]]-SUIVI_DES_FACTURES[[#This Row],[Montant TTC]],""),"")</f>
        <v/>
      </c>
      <c r="M14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4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4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4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4" s="206">
        <v>189.995714285714</v>
      </c>
      <c r="R14" s="206">
        <v>237.74600000000001</v>
      </c>
      <c r="S14" s="206">
        <v>943.02</v>
      </c>
      <c r="T14" s="206">
        <v>322.51299999999998</v>
      </c>
      <c r="U14" s="206">
        <f>IF(SUIVI_DES_FACTURES[[#This Row],[Date facture]]="","",ROUNDDOWN(-SUM(-SUIVI_DES_FACTURES[[#This Row],[Montant TTC]],(SUIVI_DES_FACTURES[[#This Row],[TVA 5,5]:[TVA 20]])),2))</f>
        <v>3979.74</v>
      </c>
      <c r="V14" s="203" t="str">
        <f ca="1">IF(SUIVI_DES_FACTURES[[#This Row],[Raison sociale]]="","",VLOOKUP(SUIVI_DES_FACTURES[[#This Row],[Raison sociale]],CLIENTS_PLAGE_CLIENTS,2,FALSE))</f>
        <v>Adresse Complète du Client Nom 2</v>
      </c>
      <c r="W14" s="207">
        <f ca="1">IF(SUIVI_DES_FACTURES[[#This Row],[Raison sociale]]="","",VLOOKUP(SUIVI_DES_FACTURES[[#This Row],[Raison sociale]],CLIENTS_PLAGE_CLIENTS,3,FALSE))</f>
        <v>75017</v>
      </c>
      <c r="X14" s="207" t="str">
        <f ca="1">IF(SUIVI_DES_FACTURES[[#This Row],[Raison sociale]]="","",VLOOKUP(SUIVI_DES_FACTURES[[#This Row],[Raison sociale]],CLIENTS_PLAGE_CLIENTS,4,FALSE))</f>
        <v>PARIS 17</v>
      </c>
      <c r="Y14" s="207"/>
      <c r="Z14" s="207"/>
      <c r="AA14" s="208"/>
      <c r="AB14" s="208"/>
      <c r="AC14" s="209"/>
      <c r="AD14" s="210"/>
      <c r="AE14" s="210"/>
      <c r="AF14" s="211"/>
      <c r="AG14" s="210"/>
      <c r="AH14" s="207"/>
      <c r="AI14" s="207"/>
      <c r="AJ14" s="207" t="str">
        <f>IF(SUIVI_DES_FACTURES[[#This Row],[Paiement Comptant]]&lt;&gt;0,"NON","OUI")</f>
        <v>OUI</v>
      </c>
      <c r="AK14" s="212"/>
      <c r="AL14" s="212"/>
      <c r="AM14" s="213">
        <f>IF(AJ14="","",IF(AJ14="OUI"=TRUE,ROWS($A$5:G14),""))</f>
        <v>10</v>
      </c>
      <c r="AN14" s="116"/>
      <c r="AO14" s="118"/>
    </row>
    <row r="15" spans="1:41" s="119" customFormat="1" ht="15" customHeight="1" x14ac:dyDescent="0.25">
      <c r="A15" s="195" t="s">
        <v>112</v>
      </c>
      <c r="B15" s="196" t="s">
        <v>199</v>
      </c>
      <c r="C15" s="197">
        <v>42268</v>
      </c>
      <c r="D15" s="197">
        <f>IF(SUIVI_DES_FACTURES[[#This Row],[Date facture]]="","",EOMONTH(SUIVI_DES_FACTURES[[#This Row],[Date facture]]+30,0))</f>
        <v>42308</v>
      </c>
      <c r="E15" s="198">
        <v>4862.9399999999996</v>
      </c>
      <c r="F15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123</v>
      </c>
      <c r="G15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105.54976657534246</v>
      </c>
      <c r="H15" s="198">
        <f ca="1">IF(SUIVI_DES_FACTURES[[#This Row],[Date facture]]="","",ROUNDDOWN(SUIVI_DES_FACTURES[[#This Row],[Montant TTC]]+SUIVI_DES_FACTURES[[#This Row],[Majoration]],2))</f>
        <v>4968.4799999999996</v>
      </c>
      <c r="I15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15" s="201"/>
      <c r="K15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5" s="203" t="str">
        <f ca="1">IFERROR(IF(SUIVI_DES_FACTURES[[#This Row],[▼  Réglée  ▼]]="Validée",SUIVI_DES_FACTURES[[#This Row],[Montant Total Payé]]-SUIVI_DES_FACTURES[[#This Row],[Montant TTC]],""),"")</f>
        <v/>
      </c>
      <c r="M15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5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5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5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5" s="206">
        <v>220.94</v>
      </c>
      <c r="R15" s="206">
        <v>276.70400000000001</v>
      </c>
      <c r="S15" s="206">
        <v>1100.19</v>
      </c>
      <c r="T15" s="206">
        <v>326.96699999999998</v>
      </c>
      <c r="U15" s="206">
        <f>IF(SUIVI_DES_FACTURES[[#This Row],[Date facture]]="","",ROUNDDOWN(-SUM(-SUIVI_DES_FACTURES[[#This Row],[Montant TTC]],(SUIVI_DES_FACTURES[[#This Row],[TVA 5,5]:[TVA 20]])),2))</f>
        <v>2938.13</v>
      </c>
      <c r="V15" s="203" t="str">
        <f ca="1">IF(SUIVI_DES_FACTURES[[#This Row],[Raison sociale]]="","",VLOOKUP(SUIVI_DES_FACTURES[[#This Row],[Raison sociale]],CLIENTS_PLAGE_CLIENTS,2,FALSE))</f>
        <v>Adresse Complète du Client Nom 3</v>
      </c>
      <c r="W15" s="207">
        <f ca="1">IF(SUIVI_DES_FACTURES[[#This Row],[Raison sociale]]="","",VLOOKUP(SUIVI_DES_FACTURES[[#This Row],[Raison sociale]],CLIENTS_PLAGE_CLIENTS,3,FALSE))</f>
        <v>44105</v>
      </c>
      <c r="X15" s="207" t="str">
        <f ca="1">IF(SUIVI_DES_FACTURES[[#This Row],[Raison sociale]]="","",VLOOKUP(SUIVI_DES_FACTURES[[#This Row],[Raison sociale]],CLIENTS_PLAGE_CLIENTS,4,FALSE))</f>
        <v>NANTES CEDEX 4</v>
      </c>
      <c r="Y15" s="207"/>
      <c r="Z15" s="207"/>
      <c r="AA15" s="208"/>
      <c r="AB15" s="208"/>
      <c r="AC15" s="209"/>
      <c r="AD15" s="210"/>
      <c r="AE15" s="210"/>
      <c r="AF15" s="211"/>
      <c r="AG15" s="210"/>
      <c r="AH15" s="207"/>
      <c r="AI15" s="207"/>
      <c r="AJ15" s="207" t="str">
        <f>IF(SUIVI_DES_FACTURES[[#This Row],[Paiement Comptant]]&lt;&gt;0,"NON","OUI")</f>
        <v>OUI</v>
      </c>
      <c r="AK15" s="212"/>
      <c r="AL15" s="212"/>
      <c r="AM15" s="213">
        <f>IF(AJ15="","",IF(AJ15="OUI"=TRUE,ROWS($A$5:G15),""))</f>
        <v>11</v>
      </c>
      <c r="AN15" s="116"/>
      <c r="AO15" s="118"/>
    </row>
    <row r="16" spans="1:41" s="119" customFormat="1" ht="15" customHeight="1" x14ac:dyDescent="0.25">
      <c r="A16" s="195" t="s">
        <v>113</v>
      </c>
      <c r="B16" s="196" t="s">
        <v>200</v>
      </c>
      <c r="C16" s="197">
        <v>42278</v>
      </c>
      <c r="D16" s="197">
        <f>IF(SUIVI_DES_FACTURES[[#This Row],[Date facture]]="","",EOMONTH(SUIVI_DES_FACTURES[[#This Row],[Date facture]]+30,0))</f>
        <v>42308</v>
      </c>
      <c r="E16" s="198">
        <v>7520.99</v>
      </c>
      <c r="F16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123</v>
      </c>
      <c r="G16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141.37882410958906</v>
      </c>
      <c r="H16" s="198">
        <f ca="1">IF(SUIVI_DES_FACTURES[[#This Row],[Date facture]]="","",ROUNDDOWN(SUIVI_DES_FACTURES[[#This Row],[Montant TTC]]+SUIVI_DES_FACTURES[[#This Row],[Majoration]],2))</f>
        <v>7662.36</v>
      </c>
      <c r="I16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16" s="201"/>
      <c r="K16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6" s="203" t="str">
        <f ca="1">IFERROR(IF(SUIVI_DES_FACTURES[[#This Row],[▼  Réglée  ▼]]="Validée",SUIVI_DES_FACTURES[[#This Row],[Montant Total Payé]]-SUIVI_DES_FACTURES[[#This Row],[Montant TTC]],""),"")</f>
        <v/>
      </c>
      <c r="M16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6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6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6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6" s="206">
        <v>157.76</v>
      </c>
      <c r="R16" s="206">
        <v>159.83000000000001</v>
      </c>
      <c r="S16" s="206">
        <v>628.67999999999995</v>
      </c>
      <c r="T16" s="206">
        <v>313.60500000000002</v>
      </c>
      <c r="U16" s="206">
        <f>IF(SUIVI_DES_FACTURES[[#This Row],[Date facture]]="","",ROUNDDOWN(-SUM(-SUIVI_DES_FACTURES[[#This Row],[Montant TTC]],(SUIVI_DES_FACTURES[[#This Row],[TVA 5,5]:[TVA 20]])),2))</f>
        <v>6261.11</v>
      </c>
      <c r="V16" s="203" t="str">
        <f ca="1">IF(SUIVI_DES_FACTURES[[#This Row],[Raison sociale]]="","",VLOOKUP(SUIVI_DES_FACTURES[[#This Row],[Raison sociale]],CLIENTS_PLAGE_CLIENTS,2,FALSE))</f>
        <v>Adresse Complète du Client Nom 4</v>
      </c>
      <c r="W16" s="207">
        <f ca="1">IF(SUIVI_DES_FACTURES[[#This Row],[Raison sociale]]="","",VLOOKUP(SUIVI_DES_FACTURES[[#This Row],[Raison sociale]],CLIENTS_PLAGE_CLIENTS,3,FALSE))</f>
        <v>92100</v>
      </c>
      <c r="X16" s="207" t="str">
        <f ca="1">IF(SUIVI_DES_FACTURES[[#This Row],[Raison sociale]]="","",VLOOKUP(SUIVI_DES_FACTURES[[#This Row],[Raison sociale]],CLIENTS_PLAGE_CLIENTS,4,FALSE))</f>
        <v>BOULOGNE BILLANCOURT</v>
      </c>
      <c r="Y16" s="207"/>
      <c r="Z16" s="207"/>
      <c r="AA16" s="208"/>
      <c r="AB16" s="208"/>
      <c r="AC16" s="209"/>
      <c r="AD16" s="210"/>
      <c r="AE16" s="210"/>
      <c r="AF16" s="211"/>
      <c r="AG16" s="210"/>
      <c r="AH16" s="207"/>
      <c r="AI16" s="207"/>
      <c r="AJ16" s="207" t="str">
        <f>IF(SUIVI_DES_FACTURES[[#This Row],[Paiement Comptant]]&lt;&gt;0,"NON","OUI")</f>
        <v>OUI</v>
      </c>
      <c r="AK16" s="212"/>
      <c r="AL16" s="212"/>
      <c r="AM16" s="213">
        <f>IF(AJ16="","",IF(AJ16="OUI"=TRUE,ROWS($A$5:G16),""))</f>
        <v>12</v>
      </c>
      <c r="AN16" s="116"/>
      <c r="AO16" s="118"/>
    </row>
    <row r="17" spans="1:41" s="119" customFormat="1" ht="15" customHeight="1" x14ac:dyDescent="0.25">
      <c r="A17" s="195" t="s">
        <v>114</v>
      </c>
      <c r="B17" s="196" t="s">
        <v>201</v>
      </c>
      <c r="C17" s="197">
        <v>42292</v>
      </c>
      <c r="D17" s="197">
        <f>IF(SUIVI_DES_FACTURES[[#This Row],[Date facture]]="","",EOMONTH(SUIVI_DES_FACTURES[[#This Row],[Date facture]]+30,0))</f>
        <v>42338</v>
      </c>
      <c r="E17" s="198">
        <v>6719.25</v>
      </c>
      <c r="F17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93</v>
      </c>
      <c r="G17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108.48112328767122</v>
      </c>
      <c r="H17" s="198">
        <f ca="1">IF(SUIVI_DES_FACTURES[[#This Row],[Date facture]]="","",ROUNDDOWN(SUIVI_DES_FACTURES[[#This Row],[Montant TTC]]+SUIVI_DES_FACTURES[[#This Row],[Majoration]],2))</f>
        <v>6827.73</v>
      </c>
      <c r="I17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17" s="201"/>
      <c r="K17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7" s="203" t="str">
        <f ca="1">IFERROR(IF(SUIVI_DES_FACTURES[[#This Row],[▼  Réglée  ▼]]="Validée",SUIVI_DES_FACTURES[[#This Row],[Montant Total Payé]]-SUIVI_DES_FACTURES[[#This Row],[Montant TTC]],""),"")</f>
        <v/>
      </c>
      <c r="M17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7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7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7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7" s="206">
        <v>159.051428571429</v>
      </c>
      <c r="R17" s="206">
        <v>198.78800000000001</v>
      </c>
      <c r="S17" s="206">
        <v>785.85</v>
      </c>
      <c r="T17" s="206">
        <v>318.05900000000003</v>
      </c>
      <c r="U17" s="206">
        <f>IF(SUIVI_DES_FACTURES[[#This Row],[Date facture]]="","",ROUNDDOWN(-SUM(-SUIVI_DES_FACTURES[[#This Row],[Montant TTC]],(SUIVI_DES_FACTURES[[#This Row],[TVA 5,5]:[TVA 20]])),2))</f>
        <v>5257.5</v>
      </c>
      <c r="V17" s="203" t="str">
        <f ca="1">IF(SUIVI_DES_FACTURES[[#This Row],[Raison sociale]]="","",VLOOKUP(SUIVI_DES_FACTURES[[#This Row],[Raison sociale]],CLIENTS_PLAGE_CLIENTS,2,FALSE))</f>
        <v>Adresse Complète du Client Nom 5</v>
      </c>
      <c r="W17" s="207">
        <f ca="1">IF(SUIVI_DES_FACTURES[[#This Row],[Raison sociale]]="","",VLOOKUP(SUIVI_DES_FACTURES[[#This Row],[Raison sociale]],CLIENTS_PLAGE_CLIENTS,3,FALSE))</f>
        <v>39800</v>
      </c>
      <c r="X17" s="207" t="str">
        <f ca="1">IF(SUIVI_DES_FACTURES[[#This Row],[Raison sociale]]="","",VLOOKUP(SUIVI_DES_FACTURES[[#This Row],[Raison sociale]],CLIENTS_PLAGE_CLIENTS,4,FALSE))</f>
        <v>POLIGNY</v>
      </c>
      <c r="Y17" s="207"/>
      <c r="Z17" s="207"/>
      <c r="AA17" s="208"/>
      <c r="AB17" s="208"/>
      <c r="AC17" s="209"/>
      <c r="AD17" s="210"/>
      <c r="AE17" s="210"/>
      <c r="AF17" s="211"/>
      <c r="AG17" s="210"/>
      <c r="AH17" s="207"/>
      <c r="AI17" s="207"/>
      <c r="AJ17" s="207" t="str">
        <f>IF(SUIVI_DES_FACTURES[[#This Row],[Paiement Comptant]]&lt;&gt;0,"NON","OUI")</f>
        <v>OUI</v>
      </c>
      <c r="AK17" s="212"/>
      <c r="AL17" s="212"/>
      <c r="AM17" s="213">
        <f>IF(AJ17="","",IF(AJ17="OUI"=TRUE,ROWS($A$5:G17),""))</f>
        <v>13</v>
      </c>
      <c r="AN17" s="116"/>
      <c r="AO17" s="118"/>
    </row>
    <row r="18" spans="1:41" s="119" customFormat="1" ht="15" customHeight="1" x14ac:dyDescent="0.25">
      <c r="A18" s="195" t="s">
        <v>115</v>
      </c>
      <c r="B18" s="196" t="s">
        <v>202</v>
      </c>
      <c r="C18" s="197">
        <v>42307</v>
      </c>
      <c r="D18" s="197">
        <f>IF(SUIVI_DES_FACTURES[[#This Row],[Date facture]]="","",EOMONTH(SUIVI_DES_FACTURES[[#This Row],[Date facture]]+30,0))</f>
        <v>42338</v>
      </c>
      <c r="E18" s="198">
        <v>6012.12</v>
      </c>
      <c r="F18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93</v>
      </c>
      <c r="G18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101.2742093150685</v>
      </c>
      <c r="H18" s="198">
        <f ca="1">IF(SUIVI_DES_FACTURES[[#This Row],[Date facture]]="","",ROUNDDOWN(SUIVI_DES_FACTURES[[#This Row],[Montant TTC]]+SUIVI_DES_FACTURES[[#This Row],[Majoration]],2))</f>
        <v>6113.39</v>
      </c>
      <c r="I18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18" s="201"/>
      <c r="K18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8" s="203" t="str">
        <f ca="1">IFERROR(IF(SUIVI_DES_FACTURES[[#This Row],[▼  Réglée  ▼]]="Validée",SUIVI_DES_FACTURES[[#This Row],[Montant Total Payé]]-SUIVI_DES_FACTURES[[#This Row],[Montant TTC]],""),"")</f>
        <v/>
      </c>
      <c r="M18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8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8" s="205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8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8" s="206">
        <v>189.995714285714</v>
      </c>
      <c r="R18" s="206">
        <v>237.74600000000001</v>
      </c>
      <c r="S18" s="206">
        <v>943.02</v>
      </c>
      <c r="T18" s="206">
        <v>322.51299999999998</v>
      </c>
      <c r="U18" s="206">
        <f>IF(SUIVI_DES_FACTURES[[#This Row],[Date facture]]="","",ROUNDDOWN(-SUM(-SUIVI_DES_FACTURES[[#This Row],[Montant TTC]],(SUIVI_DES_FACTURES[[#This Row],[TVA 5,5]:[TVA 20]])),2))</f>
        <v>4318.84</v>
      </c>
      <c r="V18" s="203" t="str">
        <f ca="1">IF(SUIVI_DES_FACTURES[[#This Row],[Raison sociale]]="","",VLOOKUP(SUIVI_DES_FACTURES[[#This Row],[Raison sociale]],CLIENTS_PLAGE_CLIENTS,2,FALSE))</f>
        <v>Adresse Complète du Client Nom 6</v>
      </c>
      <c r="W18" s="207">
        <f ca="1">IF(SUIVI_DES_FACTURES[[#This Row],[Raison sociale]]="","",VLOOKUP(SUIVI_DES_FACTURES[[#This Row],[Raison sociale]],CLIENTS_PLAGE_CLIENTS,3,FALSE))</f>
        <v>67720</v>
      </c>
      <c r="X18" s="207" t="str">
        <f ca="1">IF(SUIVI_DES_FACTURES[[#This Row],[Raison sociale]]="","",VLOOKUP(SUIVI_DES_FACTURES[[#This Row],[Raison sociale]],CLIENTS_PLAGE_CLIENTS,4,FALSE))</f>
        <v>WEYERSHEIM</v>
      </c>
      <c r="Y18" s="207"/>
      <c r="Z18" s="207"/>
      <c r="AA18" s="208"/>
      <c r="AB18" s="208"/>
      <c r="AC18" s="209"/>
      <c r="AD18" s="210"/>
      <c r="AE18" s="210"/>
      <c r="AF18" s="211"/>
      <c r="AG18" s="210"/>
      <c r="AH18" s="207"/>
      <c r="AI18" s="207"/>
      <c r="AJ18" s="207" t="str">
        <f>IF(SUIVI_DES_FACTURES[[#This Row],[Paiement Comptant]]&lt;&gt;0,"NON","OUI")</f>
        <v>OUI</v>
      </c>
      <c r="AK18" s="212"/>
      <c r="AL18" s="212"/>
      <c r="AM18" s="213">
        <f>IF(AJ18="","",IF(AJ18="OUI"=TRUE,ROWS($A$5:G18),""))</f>
        <v>14</v>
      </c>
      <c r="AN18" s="116"/>
      <c r="AO18" s="118"/>
    </row>
    <row r="19" spans="1:41" s="119" customFormat="1" ht="15" customHeight="1" x14ac:dyDescent="0.25">
      <c r="A19" s="195" t="s">
        <v>116</v>
      </c>
      <c r="B19" s="196" t="s">
        <v>203</v>
      </c>
      <c r="C19" s="216">
        <v>42309</v>
      </c>
      <c r="D19" s="197">
        <f>IF(SUIVI_DES_FACTURES[[#This Row],[Date facture]]="","",EOMONTH(SUIVI_DES_FACTURES[[#This Row],[Date facture]]+30,0))</f>
        <v>42369</v>
      </c>
      <c r="E19" s="198">
        <v>8621.9500000000007</v>
      </c>
      <c r="F19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62</v>
      </c>
      <c r="G19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9" s="198">
        <f ca="1">IF(SUIVI_DES_FACTURES[[#This Row],[Date facture]]="","",ROUNDDOWN(SUIVI_DES_FACTURES[[#This Row],[Montant TTC]]+SUIVI_DES_FACTURES[[#This Row],[Majoration]],2))</f>
        <v>8621.9500000000007</v>
      </c>
      <c r="I19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19" s="201"/>
      <c r="K19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9" s="203" t="str">
        <f ca="1">IFERROR(IF(SUIVI_DES_FACTURES[[#This Row],[▼  Réglée  ▼]]="Validée",SUIVI_DES_FACTURES[[#This Row],[Montant Total Payé]]-SUIVI_DES_FACTURES[[#This Row],[Montant TTC]],""),"")</f>
        <v/>
      </c>
      <c r="M19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9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9" s="205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9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9" s="206">
        <v>220.94</v>
      </c>
      <c r="R19" s="206">
        <v>276.70400000000001</v>
      </c>
      <c r="S19" s="206">
        <v>1100.19</v>
      </c>
      <c r="T19" s="206">
        <v>326.96699999999998</v>
      </c>
      <c r="U19" s="206">
        <f>IF(SUIVI_DES_FACTURES[[#This Row],[Date facture]]="","",ROUNDDOWN(-SUM(-SUIVI_DES_FACTURES[[#This Row],[Montant TTC]],(SUIVI_DES_FACTURES[[#This Row],[TVA 5,5]:[TVA 20]])),2))</f>
        <v>6697.14</v>
      </c>
      <c r="V19" s="203" t="str">
        <f ca="1">IF(SUIVI_DES_FACTURES[[#This Row],[Raison sociale]]="","",VLOOKUP(SUIVI_DES_FACTURES[[#This Row],[Raison sociale]],CLIENTS_PLAGE_CLIENTS,2,FALSE))</f>
        <v>Adresse Complète du Client Nom 7</v>
      </c>
      <c r="W19" s="207">
        <f ca="1">IF(SUIVI_DES_FACTURES[[#This Row],[Raison sociale]]="","",VLOOKUP(SUIVI_DES_FACTURES[[#This Row],[Raison sociale]],CLIENTS_PLAGE_CLIENTS,3,FALSE))</f>
        <v>59000</v>
      </c>
      <c r="X19" s="207" t="str">
        <f ca="1">IF(SUIVI_DES_FACTURES[[#This Row],[Raison sociale]]="","",VLOOKUP(SUIVI_DES_FACTURES[[#This Row],[Raison sociale]],CLIENTS_PLAGE_CLIENTS,4,FALSE))</f>
        <v>LILLE</v>
      </c>
      <c r="Y19" s="207"/>
      <c r="Z19" s="207"/>
      <c r="AA19" s="208"/>
      <c r="AB19" s="208"/>
      <c r="AC19" s="209"/>
      <c r="AD19" s="210"/>
      <c r="AE19" s="210"/>
      <c r="AF19" s="211"/>
      <c r="AG19" s="210"/>
      <c r="AH19" s="207"/>
      <c r="AI19" s="207"/>
      <c r="AJ19" s="207" t="str">
        <f>IF(SUIVI_DES_FACTURES[[#This Row],[Paiement Comptant]]&lt;&gt;0,"NON","OUI")</f>
        <v>OUI</v>
      </c>
      <c r="AK19" s="212"/>
      <c r="AL19" s="212"/>
      <c r="AM19" s="213">
        <f>IF(AJ19="","",IF(AJ19="OUI"=TRUE,ROWS($A$5:G19),""))</f>
        <v>15</v>
      </c>
      <c r="AN19" s="116"/>
      <c r="AO19" s="118"/>
    </row>
    <row r="20" spans="1:41" s="119" customFormat="1" ht="15" customHeight="1" x14ac:dyDescent="0.25">
      <c r="A20" s="195" t="s">
        <v>117</v>
      </c>
      <c r="B20" s="196" t="s">
        <v>204</v>
      </c>
      <c r="C20" s="197">
        <v>42309</v>
      </c>
      <c r="D20" s="197">
        <f>IF(SUIVI_DES_FACTURES[[#This Row],[Date facture]]="","",EOMONTH(SUIVI_DES_FACTURES[[#This Row],[Date facture]]+30,0))</f>
        <v>42369</v>
      </c>
      <c r="E20" s="198">
        <v>8731.52</v>
      </c>
      <c r="F20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62</v>
      </c>
      <c r="G20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0" s="198">
        <f ca="1">IF(SUIVI_DES_FACTURES[[#This Row],[Date facture]]="","",ROUNDDOWN(SUIVI_DES_FACTURES[[#This Row],[Montant TTC]]+SUIVI_DES_FACTURES[[#This Row],[Majoration]],2))</f>
        <v>8731.52</v>
      </c>
      <c r="I20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20" s="201"/>
      <c r="K20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0" s="203" t="str">
        <f ca="1">IFERROR(IF(SUIVI_DES_FACTURES[[#This Row],[▼  Réglée  ▼]]="Validée",SUIVI_DES_FACTURES[[#This Row],[Montant Total Payé]]-SUIVI_DES_FACTURES[[#This Row],[Montant TTC]],""),"")</f>
        <v/>
      </c>
      <c r="M20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0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0" s="205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0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20" s="206">
        <v>251.88428571428599</v>
      </c>
      <c r="R20" s="206">
        <v>315.66199999999998</v>
      </c>
      <c r="S20" s="206">
        <v>1257.3599999999999</v>
      </c>
      <c r="T20" s="206">
        <v>331.42099999999999</v>
      </c>
      <c r="U20" s="206">
        <f>IF(SUIVI_DES_FACTURES[[#This Row],[Date facture]]="","",ROUNDDOWN(-SUM(-SUIVI_DES_FACTURES[[#This Row],[Montant TTC]],(SUIVI_DES_FACTURES[[#This Row],[TVA 5,5]:[TVA 20]])),2))</f>
        <v>6575.19</v>
      </c>
      <c r="V20" s="203" t="str">
        <f ca="1">IF(SUIVI_DES_FACTURES[[#This Row],[Raison sociale]]="","",VLOOKUP(SUIVI_DES_FACTURES[[#This Row],[Raison sociale]],CLIENTS_PLAGE_CLIENTS,2,FALSE))</f>
        <v>Adresse Complète du Client Nom 8</v>
      </c>
      <c r="W20" s="207">
        <f ca="1">IF(SUIVI_DES_FACTURES[[#This Row],[Raison sociale]]="","",VLOOKUP(SUIVI_DES_FACTURES[[#This Row],[Raison sociale]],CLIENTS_PLAGE_CLIENTS,3,FALSE))</f>
        <v>71000</v>
      </c>
      <c r="X20" s="207" t="str">
        <f ca="1">IF(SUIVI_DES_FACTURES[[#This Row],[Raison sociale]]="","",VLOOKUP(SUIVI_DES_FACTURES[[#This Row],[Raison sociale]],CLIENTS_PLAGE_CLIENTS,4,FALSE))</f>
        <v>MACON</v>
      </c>
      <c r="Y20" s="207"/>
      <c r="Z20" s="207"/>
      <c r="AA20" s="208"/>
      <c r="AB20" s="208"/>
      <c r="AC20" s="209"/>
      <c r="AD20" s="210"/>
      <c r="AE20" s="210"/>
      <c r="AF20" s="211"/>
      <c r="AG20" s="210"/>
      <c r="AH20" s="207"/>
      <c r="AI20" s="207"/>
      <c r="AJ20" s="207" t="str">
        <f>IF(SUIVI_DES_FACTURES[[#This Row],[Paiement Comptant]]&lt;&gt;0,"NON","OUI")</f>
        <v>OUI</v>
      </c>
      <c r="AK20" s="212"/>
      <c r="AL20" s="212"/>
      <c r="AM20" s="213">
        <f>IF(AJ20="","",IF(AJ20="OUI"=TRUE,ROWS($A$5:G20),""))</f>
        <v>16</v>
      </c>
      <c r="AN20" s="116"/>
      <c r="AO20" s="118"/>
    </row>
    <row r="21" spans="1:41" s="119" customFormat="1" ht="15" customHeight="1" x14ac:dyDescent="0.25">
      <c r="A21" s="195" t="s">
        <v>118</v>
      </c>
      <c r="B21" s="196" t="s">
        <v>205</v>
      </c>
      <c r="C21" s="197">
        <v>42338</v>
      </c>
      <c r="D21" s="197">
        <f>IF(SUIVI_DES_FACTURES[[#This Row],[Date facture]]="","",EOMONTH(SUIVI_DES_FACTURES[[#This Row],[Date facture]]+30,0))</f>
        <v>42369</v>
      </c>
      <c r="E21" s="198">
        <v>6805.38</v>
      </c>
      <c r="F21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62</v>
      </c>
      <c r="G21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1" s="198">
        <f ca="1">IF(SUIVI_DES_FACTURES[[#This Row],[Date facture]]="","",ROUNDDOWN(SUIVI_DES_FACTURES[[#This Row],[Montant TTC]]+SUIVI_DES_FACTURES[[#This Row],[Majoration]],2))</f>
        <v>6805.38</v>
      </c>
      <c r="I21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21" s="201"/>
      <c r="K21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1" s="203" t="str">
        <f ca="1">IFERROR(IF(SUIVI_DES_FACTURES[[#This Row],[▼  Réglée  ▼]]="Validée",SUIVI_DES_FACTURES[[#This Row],[Montant Total Payé]]-SUIVI_DES_FACTURES[[#This Row],[Montant TTC]],""),"")</f>
        <v/>
      </c>
      <c r="M21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1" s="205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1" s="205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1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21" s="206">
        <v>282.82857142857102</v>
      </c>
      <c r="R21" s="206">
        <v>354.62</v>
      </c>
      <c r="S21" s="206">
        <v>1414.53</v>
      </c>
      <c r="T21" s="206">
        <v>335.875</v>
      </c>
      <c r="U21" s="206">
        <f>IF(SUIVI_DES_FACTURES[[#This Row],[Date facture]]="","",ROUNDDOWN(-SUM(-SUIVI_DES_FACTURES[[#This Row],[Montant TTC]],(SUIVI_DES_FACTURES[[#This Row],[TVA 5,5]:[TVA 20]])),2))</f>
        <v>4417.5200000000004</v>
      </c>
      <c r="V21" s="203" t="str">
        <f ca="1">IF(SUIVI_DES_FACTURES[[#This Row],[Raison sociale]]="","",VLOOKUP(SUIVI_DES_FACTURES[[#This Row],[Raison sociale]],CLIENTS_PLAGE_CLIENTS,2,FALSE))</f>
        <v>Adresse Complète du Client Nom 9</v>
      </c>
      <c r="W21" s="207">
        <f ca="1">IF(SUIVI_DES_FACTURES[[#This Row],[Raison sociale]]="","",VLOOKUP(SUIVI_DES_FACTURES[[#This Row],[Raison sociale]],CLIENTS_PLAGE_CLIENTS,3,FALSE))</f>
        <v>92059</v>
      </c>
      <c r="X21" s="207" t="str">
        <f ca="1">IF(SUIVI_DES_FACTURES[[#This Row],[Raison sociale]]="","",VLOOKUP(SUIVI_DES_FACTURES[[#This Row],[Raison sociale]],CLIENTS_PLAGE_CLIENTS,4,FALSE))</f>
        <v>PARIS LA DEFENSE CEDEX</v>
      </c>
      <c r="Y21" s="207"/>
      <c r="Z21" s="207"/>
      <c r="AA21" s="208"/>
      <c r="AB21" s="208"/>
      <c r="AC21" s="209"/>
      <c r="AD21" s="210"/>
      <c r="AE21" s="210"/>
      <c r="AF21" s="211"/>
      <c r="AG21" s="210"/>
      <c r="AH21" s="207"/>
      <c r="AI21" s="207"/>
      <c r="AJ21" s="207" t="str">
        <f>IF(SUIVI_DES_FACTURES[[#This Row],[Paiement Comptant]]&lt;&gt;0,"NON","OUI")</f>
        <v>OUI</v>
      </c>
      <c r="AK21" s="212"/>
      <c r="AL21" s="212"/>
      <c r="AM21" s="213">
        <f>IF(AJ21="","",IF(AJ21="OUI"=TRUE,ROWS($A$5:G21),""))</f>
        <v>17</v>
      </c>
      <c r="AN21" s="116"/>
      <c r="AO21" s="118"/>
    </row>
    <row r="22" spans="1:41" s="119" customFormat="1" ht="15" customHeight="1" x14ac:dyDescent="0.25">
      <c r="A22" s="195" t="s">
        <v>119</v>
      </c>
      <c r="B22" s="196" t="s">
        <v>206</v>
      </c>
      <c r="C22" s="197">
        <v>42343</v>
      </c>
      <c r="D22" s="197">
        <f>IF(SUIVI_DES_FACTURES[[#This Row],[Date facture]]="","",EOMONTH(SUIVI_DES_FACTURES[[#This Row],[Date facture]]+30,0))</f>
        <v>42400</v>
      </c>
      <c r="E22" s="198">
        <v>7465.23</v>
      </c>
      <c r="F22" s="199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31</v>
      </c>
      <c r="G22" s="198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2" s="198">
        <f ca="1">IF(SUIVI_DES_FACTURES[[#This Row],[Date facture]]="","",ROUNDDOWN(SUIVI_DES_FACTURES[[#This Row],[Montant TTC]]+SUIVI_DES_FACTURES[[#This Row],[Majoration]],2))</f>
        <v>7465.23</v>
      </c>
      <c r="I22" s="200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attente"))))</f>
        <v>En attente</v>
      </c>
      <c r="J22" s="201"/>
      <c r="K22" s="202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2" s="203" t="str">
        <f ca="1">IFERROR(IF(SUIVI_DES_FACTURES[[#This Row],[▼  Réglée  ▼]]="Validée",SUIVI_DES_FACTURES[[#This Row],[Montant Total Payé]]-SUIVI_DES_FACTURES[[#This Row],[Montant TTC]],""),"")</f>
        <v/>
      </c>
      <c r="M22" s="204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2" s="205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2" s="205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2" s="200" t="str">
        <f ca="1">IF(AND(SUIVI_DES_FACTURES[[#This Row],[Date du Règlement]]&lt;=SUIVI_DES_FACTURES[[#This Row],[Date d''échéance]],SUIVI_DES_FACTURES[[#This Row],[Date du Règlement]]&lt;=$B$1,SUIVI_DES_FACTURES[[#This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R1</v>
      </c>
      <c r="Q22" s="206">
        <v>313.77285714285699</v>
      </c>
      <c r="R22" s="206">
        <v>393.57799999999997</v>
      </c>
      <c r="S22" s="206">
        <v>1571.7</v>
      </c>
      <c r="T22" s="206">
        <v>340.32900000000001</v>
      </c>
      <c r="U22" s="206">
        <f>IF(SUIVI_DES_FACTURES[[#This Row],[Date facture]]="","",ROUNDDOWN(-SUM(-SUIVI_DES_FACTURES[[#This Row],[Montant TTC]],(SUIVI_DES_FACTURES[[#This Row],[TVA 5,5]:[TVA 20]])),2))</f>
        <v>4845.8500000000004</v>
      </c>
      <c r="V22" s="203" t="str">
        <f ca="1">IF(SUIVI_DES_FACTURES[[#This Row],[Raison sociale]]="","",VLOOKUP(SUIVI_DES_FACTURES[[#This Row],[Raison sociale]],CLIENTS_PLAGE_CLIENTS,2,FALSE))</f>
        <v>Adresse Complète du Client Nom 10</v>
      </c>
      <c r="W22" s="207">
        <f ca="1">IF(SUIVI_DES_FACTURES[[#This Row],[Raison sociale]]="","",VLOOKUP(SUIVI_DES_FACTURES[[#This Row],[Raison sociale]],CLIENTS_PLAGE_CLIENTS,3,FALSE))</f>
        <v>36330</v>
      </c>
      <c r="X22" s="207" t="str">
        <f ca="1">IF(SUIVI_DES_FACTURES[[#This Row],[Raison sociale]]="","",VLOOKUP(SUIVI_DES_FACTURES[[#This Row],[Raison sociale]],CLIENTS_PLAGE_CLIENTS,4,FALSE))</f>
        <v>LE POINCONNET</v>
      </c>
      <c r="Y22" s="207"/>
      <c r="Z22" s="207"/>
      <c r="AA22" s="208"/>
      <c r="AB22" s="208"/>
      <c r="AC22" s="209"/>
      <c r="AD22" s="210"/>
      <c r="AE22" s="210"/>
      <c r="AF22" s="211"/>
      <c r="AG22" s="210"/>
      <c r="AH22" s="207"/>
      <c r="AI22" s="207"/>
      <c r="AJ22" s="207" t="str">
        <f>IF(SUIVI_DES_FACTURES[[#This Row],[Paiement Comptant]]&lt;&gt;0,"NON","OUI")</f>
        <v>OUI</v>
      </c>
      <c r="AK22" s="212"/>
      <c r="AL22" s="212"/>
      <c r="AM22" s="213">
        <f>IF(AJ22="","",IF(AJ22="OUI"=TRUE,ROWS($A$5:G22),""))</f>
        <v>18</v>
      </c>
      <c r="AN22" s="116"/>
      <c r="AO22" s="118"/>
    </row>
    <row r="23" spans="1:41" ht="15" customHeight="1" x14ac:dyDescent="0.25">
      <c r="A23" s="58"/>
      <c r="B23" s="34"/>
      <c r="C23" s="34"/>
      <c r="D23" s="34"/>
      <c r="E23" s="27"/>
      <c r="F23" s="26"/>
      <c r="G23" s="27"/>
      <c r="H23" s="27"/>
      <c r="I23" s="34"/>
      <c r="J23" s="59"/>
      <c r="K23" s="29"/>
      <c r="L23" s="30"/>
      <c r="M23" s="39"/>
      <c r="N23" s="39"/>
      <c r="O23" s="39"/>
      <c r="P23" s="34"/>
      <c r="Q23" s="34"/>
      <c r="R23" s="34"/>
      <c r="S23" s="34"/>
      <c r="T23" s="34"/>
      <c r="U23" s="34"/>
      <c r="V23" s="34"/>
      <c r="W23" s="35"/>
      <c r="X23" s="34"/>
      <c r="Y23" s="34"/>
      <c r="Z23" s="36"/>
      <c r="AA23" s="37"/>
      <c r="AB23" s="37"/>
      <c r="AC23" s="38"/>
      <c r="AD23" s="39"/>
      <c r="AE23" s="40"/>
      <c r="AF23" s="41"/>
      <c r="AG23" s="40"/>
      <c r="AH23" s="34"/>
      <c r="AI23" s="34"/>
      <c r="AJ23" s="30"/>
      <c r="AK23" s="30"/>
      <c r="AL23" s="34"/>
      <c r="AM23" s="60"/>
      <c r="AN23" s="34"/>
      <c r="AO23" s="34"/>
    </row>
    <row r="24" spans="1:41" ht="15" customHeight="1" x14ac:dyDescent="0.25">
      <c r="A24" s="58"/>
      <c r="B24" s="34"/>
      <c r="C24" s="34"/>
      <c r="D24" s="34"/>
      <c r="E24" s="27"/>
      <c r="F24" s="26"/>
      <c r="G24" s="27"/>
      <c r="H24" s="27"/>
      <c r="I24" s="34"/>
      <c r="J24" s="59"/>
      <c r="K24" s="29"/>
      <c r="L24" s="30"/>
      <c r="M24" s="39"/>
      <c r="N24" s="39"/>
      <c r="O24" s="39"/>
      <c r="P24" s="34"/>
      <c r="Q24" s="34"/>
      <c r="R24" s="34"/>
      <c r="S24" s="34"/>
      <c r="T24" s="34"/>
      <c r="U24" s="34"/>
      <c r="V24" s="34"/>
      <c r="W24" s="35"/>
      <c r="X24" s="34"/>
      <c r="Y24" s="34"/>
      <c r="Z24" s="36"/>
      <c r="AA24" s="37"/>
      <c r="AB24" s="37"/>
      <c r="AC24" s="38"/>
      <c r="AD24" s="39"/>
      <c r="AE24" s="40"/>
      <c r="AF24" s="41"/>
      <c r="AG24" s="40"/>
      <c r="AH24" s="34"/>
      <c r="AI24" s="34"/>
      <c r="AJ24" s="30"/>
      <c r="AK24" s="30"/>
      <c r="AL24" s="34"/>
      <c r="AM24" s="60"/>
      <c r="AN24" s="34"/>
      <c r="AO24" s="34"/>
    </row>
    <row r="25" spans="1:41" ht="15" customHeight="1" x14ac:dyDescent="0.25">
      <c r="A25" s="58"/>
      <c r="B25" s="34"/>
      <c r="C25" s="34"/>
      <c r="D25" s="34"/>
      <c r="E25" s="27"/>
      <c r="F25" s="26"/>
      <c r="G25" s="27"/>
      <c r="H25" s="27"/>
      <c r="I25" s="34"/>
      <c r="J25" s="59"/>
      <c r="K25" s="29"/>
      <c r="L25" s="30"/>
      <c r="M25" s="39"/>
      <c r="N25" s="39"/>
      <c r="O25" s="39"/>
      <c r="P25" s="34"/>
      <c r="Q25" s="34"/>
      <c r="R25" s="34"/>
      <c r="S25" s="34"/>
      <c r="T25" s="34"/>
      <c r="U25" s="34"/>
      <c r="V25" s="34"/>
      <c r="W25" s="35"/>
      <c r="X25" s="34"/>
      <c r="Y25" s="34"/>
      <c r="Z25" s="36"/>
      <c r="AA25" s="37"/>
      <c r="AB25" s="37"/>
      <c r="AC25" s="38"/>
      <c r="AD25" s="39"/>
      <c r="AE25" s="40"/>
      <c r="AF25" s="41"/>
      <c r="AG25" s="40"/>
      <c r="AH25" s="34"/>
      <c r="AI25" s="34"/>
      <c r="AJ25" s="30"/>
      <c r="AK25" s="30"/>
      <c r="AL25" s="34"/>
      <c r="AM25" s="60"/>
      <c r="AN25" s="34"/>
      <c r="AO25" s="34"/>
    </row>
    <row r="26" spans="1:41" ht="15" customHeight="1" x14ac:dyDescent="0.25">
      <c r="A26" s="58"/>
      <c r="B26" s="34"/>
      <c r="C26" s="34"/>
      <c r="D26" s="34"/>
      <c r="E26" s="27"/>
      <c r="F26" s="26"/>
      <c r="G26" s="27"/>
      <c r="H26" s="27"/>
      <c r="I26" s="34"/>
      <c r="J26" s="59"/>
      <c r="K26" s="29"/>
      <c r="L26" s="30"/>
      <c r="M26" s="39"/>
      <c r="N26" s="39"/>
      <c r="O26" s="39"/>
      <c r="P26" s="34"/>
      <c r="Q26" s="34"/>
      <c r="R26" s="34"/>
      <c r="S26" s="34"/>
      <c r="T26" s="34"/>
      <c r="U26" s="34"/>
      <c r="V26" s="34"/>
      <c r="W26" s="35"/>
      <c r="X26" s="34"/>
      <c r="Y26" s="34"/>
      <c r="Z26" s="36"/>
      <c r="AA26" s="37"/>
      <c r="AB26" s="37"/>
      <c r="AC26" s="38"/>
      <c r="AD26" s="39"/>
      <c r="AE26" s="40"/>
      <c r="AF26" s="41"/>
      <c r="AG26" s="40"/>
      <c r="AH26" s="34"/>
      <c r="AI26" s="34"/>
      <c r="AJ26" s="30"/>
      <c r="AK26" s="30"/>
      <c r="AL26" s="34"/>
      <c r="AM26" s="60"/>
      <c r="AN26" s="34"/>
      <c r="AO26" s="34"/>
    </row>
    <row r="27" spans="1:41" ht="15" customHeight="1" x14ac:dyDescent="0.25">
      <c r="A27" s="58"/>
      <c r="B27" s="34"/>
      <c r="C27" s="34"/>
      <c r="D27" s="34"/>
      <c r="E27" s="27"/>
      <c r="F27" s="26"/>
      <c r="G27" s="27"/>
      <c r="H27" s="27"/>
      <c r="I27" s="34"/>
      <c r="J27" s="59"/>
      <c r="K27" s="29"/>
      <c r="L27" s="30"/>
      <c r="M27" s="39"/>
      <c r="N27" s="39"/>
      <c r="O27" s="39"/>
      <c r="P27" s="34"/>
      <c r="Q27" s="34"/>
      <c r="R27" s="34"/>
      <c r="S27" s="34"/>
      <c r="T27" s="34"/>
      <c r="U27" s="34"/>
      <c r="V27" s="34"/>
      <c r="W27" s="35"/>
      <c r="X27" s="34"/>
      <c r="Y27" s="34"/>
      <c r="Z27" s="36"/>
      <c r="AA27" s="37"/>
      <c r="AB27" s="37"/>
      <c r="AC27" s="38"/>
      <c r="AD27" s="39"/>
      <c r="AE27" s="40"/>
      <c r="AF27" s="41"/>
      <c r="AG27" s="40"/>
      <c r="AH27" s="34"/>
      <c r="AI27" s="34"/>
      <c r="AJ27" s="30"/>
      <c r="AK27" s="30"/>
      <c r="AL27" s="34"/>
      <c r="AM27" s="60"/>
      <c r="AN27" s="34"/>
      <c r="AO27" s="34"/>
    </row>
    <row r="28" spans="1:41" ht="15" customHeight="1" x14ac:dyDescent="0.25">
      <c r="A28" s="58"/>
      <c r="B28" s="34"/>
      <c r="C28" s="34"/>
      <c r="D28" s="34"/>
      <c r="E28" s="27"/>
      <c r="F28" s="26"/>
      <c r="G28" s="27"/>
      <c r="H28" s="27"/>
      <c r="I28" s="34"/>
      <c r="J28" s="59"/>
      <c r="K28" s="29"/>
      <c r="L28" s="30"/>
      <c r="M28" s="39"/>
      <c r="N28" s="39"/>
      <c r="O28" s="39"/>
      <c r="P28" s="34"/>
      <c r="Q28" s="34"/>
      <c r="R28" s="34"/>
      <c r="S28" s="34"/>
      <c r="T28" s="34"/>
      <c r="U28" s="34"/>
      <c r="V28" s="34"/>
      <c r="W28" s="35"/>
      <c r="X28" s="34"/>
      <c r="Y28" s="34"/>
      <c r="Z28" s="36"/>
      <c r="AA28" s="37"/>
      <c r="AB28" s="37"/>
      <c r="AC28" s="38"/>
      <c r="AD28" s="39"/>
      <c r="AE28" s="40"/>
      <c r="AF28" s="41"/>
      <c r="AG28" s="40"/>
      <c r="AH28" s="34"/>
      <c r="AI28" s="34"/>
      <c r="AJ28" s="30"/>
      <c r="AK28" s="30"/>
      <c r="AL28" s="34"/>
      <c r="AM28" s="60"/>
      <c r="AN28" s="34"/>
      <c r="AO28" s="34"/>
    </row>
    <row r="29" spans="1:41" ht="15" customHeight="1" x14ac:dyDescent="0.25">
      <c r="A29" s="58"/>
      <c r="B29" s="34"/>
      <c r="C29" s="34"/>
      <c r="D29" s="34"/>
      <c r="E29" s="27"/>
      <c r="F29" s="26"/>
      <c r="G29" s="27"/>
      <c r="H29" s="27"/>
      <c r="I29" s="34"/>
      <c r="J29" s="59"/>
      <c r="K29" s="29"/>
      <c r="L29" s="30"/>
      <c r="M29" s="39"/>
      <c r="N29" s="39"/>
      <c r="O29" s="39"/>
      <c r="P29" s="34"/>
      <c r="Q29" s="34"/>
      <c r="R29" s="34"/>
      <c r="S29" s="34"/>
      <c r="T29" s="34"/>
      <c r="U29" s="34"/>
      <c r="V29" s="34"/>
      <c r="W29" s="35"/>
      <c r="X29" s="34"/>
      <c r="Y29" s="34"/>
      <c r="Z29" s="36"/>
      <c r="AA29" s="37"/>
      <c r="AB29" s="37"/>
      <c r="AC29" s="38"/>
      <c r="AD29" s="39"/>
      <c r="AE29" s="40"/>
      <c r="AF29" s="41"/>
      <c r="AG29" s="40"/>
      <c r="AH29" s="34"/>
      <c r="AI29" s="34"/>
      <c r="AJ29" s="30"/>
      <c r="AK29" s="30"/>
      <c r="AL29" s="34"/>
      <c r="AM29" s="42"/>
      <c r="AN29" s="34"/>
      <c r="AO29" s="34"/>
    </row>
    <row r="30" spans="1:41" ht="15" customHeight="1" x14ac:dyDescent="0.25">
      <c r="A30" s="58"/>
      <c r="B30" s="34"/>
      <c r="C30" s="34"/>
      <c r="D30" s="34"/>
      <c r="E30" s="27"/>
      <c r="F30" s="26"/>
      <c r="G30" s="27"/>
      <c r="H30" s="27"/>
      <c r="I30" s="34"/>
      <c r="J30" s="59"/>
      <c r="K30" s="29"/>
      <c r="L30" s="30"/>
      <c r="M30" s="39"/>
      <c r="N30" s="39"/>
      <c r="O30" s="39"/>
      <c r="P30" s="34"/>
      <c r="Q30" s="34"/>
      <c r="R30" s="34"/>
      <c r="S30" s="34"/>
      <c r="T30" s="34"/>
      <c r="U30" s="34"/>
      <c r="V30" s="34"/>
      <c r="W30" s="35"/>
      <c r="X30" s="34"/>
      <c r="Y30" s="34"/>
      <c r="Z30" s="36"/>
      <c r="AA30" s="37"/>
      <c r="AB30" s="37"/>
      <c r="AC30" s="38"/>
      <c r="AD30" s="39"/>
      <c r="AE30" s="40"/>
      <c r="AF30" s="41"/>
      <c r="AG30" s="40"/>
      <c r="AH30" s="34"/>
      <c r="AI30" s="34"/>
      <c r="AJ30" s="30"/>
      <c r="AK30" s="30"/>
      <c r="AL30" s="34"/>
      <c r="AM30" s="42"/>
      <c r="AN30" s="34"/>
      <c r="AO30" s="34"/>
    </row>
    <row r="31" spans="1:41" ht="15" customHeight="1" x14ac:dyDescent="0.25">
      <c r="A31" s="58"/>
      <c r="B31" s="34"/>
      <c r="C31" s="34"/>
      <c r="D31" s="34"/>
      <c r="E31" s="27"/>
      <c r="F31" s="26"/>
      <c r="G31" s="27"/>
      <c r="H31" s="27"/>
      <c r="I31" s="34"/>
      <c r="J31" s="59"/>
      <c r="K31" s="29"/>
      <c r="L31" s="30"/>
      <c r="M31" s="39"/>
      <c r="N31" s="39"/>
      <c r="O31" s="39"/>
      <c r="P31" s="34"/>
      <c r="Q31" s="34"/>
      <c r="R31" s="34"/>
      <c r="S31" s="34"/>
      <c r="T31" s="34"/>
      <c r="U31" s="34"/>
      <c r="V31" s="34"/>
      <c r="W31" s="35"/>
      <c r="X31" s="34"/>
      <c r="Y31" s="34"/>
      <c r="Z31" s="36"/>
      <c r="AA31" s="37"/>
      <c r="AB31" s="37"/>
      <c r="AC31" s="38"/>
      <c r="AD31" s="39"/>
      <c r="AE31" s="40"/>
      <c r="AF31" s="41"/>
      <c r="AG31" s="40"/>
      <c r="AH31" s="34"/>
      <c r="AI31" s="34"/>
      <c r="AJ31" s="30"/>
      <c r="AK31" s="30"/>
      <c r="AL31" s="34"/>
      <c r="AM31" s="42"/>
      <c r="AN31" s="34"/>
      <c r="AO31" s="34"/>
    </row>
    <row r="32" spans="1:41" ht="15" customHeight="1" x14ac:dyDescent="0.25">
      <c r="A32" s="58"/>
      <c r="B32" s="34"/>
      <c r="C32" s="34"/>
      <c r="D32" s="34"/>
      <c r="E32" s="27"/>
      <c r="F32" s="26"/>
      <c r="G32" s="27"/>
      <c r="H32" s="27"/>
      <c r="I32" s="34"/>
      <c r="J32" s="59"/>
      <c r="K32" s="29"/>
      <c r="L32" s="30"/>
      <c r="M32" s="39"/>
      <c r="N32" s="39"/>
      <c r="O32" s="39"/>
      <c r="P32" s="34"/>
      <c r="Q32" s="34"/>
      <c r="R32" s="34"/>
      <c r="S32" s="34"/>
      <c r="T32" s="34"/>
      <c r="U32" s="34"/>
      <c r="V32" s="34"/>
      <c r="W32" s="35"/>
      <c r="X32" s="34"/>
      <c r="Y32" s="34"/>
      <c r="Z32" s="36"/>
      <c r="AA32" s="37"/>
      <c r="AB32" s="37"/>
      <c r="AC32" s="38"/>
      <c r="AD32" s="39"/>
      <c r="AE32" s="40"/>
      <c r="AF32" s="41"/>
      <c r="AG32" s="40"/>
      <c r="AH32" s="34"/>
      <c r="AI32" s="34"/>
      <c r="AJ32" s="30"/>
      <c r="AK32" s="30"/>
      <c r="AL32" s="34"/>
      <c r="AM32" s="42"/>
      <c r="AN32" s="34"/>
      <c r="AO32" s="34"/>
    </row>
    <row r="33" spans="1:41" ht="15" customHeight="1" x14ac:dyDescent="0.25">
      <c r="A33" s="58"/>
      <c r="B33" s="34"/>
      <c r="C33" s="34"/>
      <c r="D33" s="34"/>
      <c r="E33" s="27"/>
      <c r="F33" s="26"/>
      <c r="G33" s="27"/>
      <c r="H33" s="27"/>
      <c r="I33" s="34"/>
      <c r="J33" s="59"/>
      <c r="K33" s="29"/>
      <c r="L33" s="30"/>
      <c r="M33" s="39"/>
      <c r="N33" s="39"/>
      <c r="O33" s="39"/>
      <c r="P33" s="34"/>
      <c r="Q33" s="34"/>
      <c r="R33" s="34"/>
      <c r="S33" s="34"/>
      <c r="T33" s="34"/>
      <c r="U33" s="34"/>
      <c r="V33" s="34"/>
      <c r="W33" s="35"/>
      <c r="X33" s="34"/>
      <c r="Y33" s="34"/>
      <c r="Z33" s="36"/>
      <c r="AA33" s="37"/>
      <c r="AB33" s="37"/>
      <c r="AC33" s="38"/>
      <c r="AD33" s="39"/>
      <c r="AE33" s="40"/>
      <c r="AF33" s="41"/>
      <c r="AG33" s="40"/>
      <c r="AH33" s="34"/>
      <c r="AI33" s="34"/>
      <c r="AJ33" s="30"/>
      <c r="AK33" s="30"/>
      <c r="AL33" s="34"/>
      <c r="AM33" s="42"/>
      <c r="AN33" s="34"/>
      <c r="AO33" s="34"/>
    </row>
    <row r="34" spans="1:41" ht="15" customHeight="1" x14ac:dyDescent="0.25">
      <c r="A34" s="58"/>
      <c r="B34" s="34"/>
      <c r="C34" s="34"/>
      <c r="D34" s="34"/>
      <c r="E34" s="27"/>
      <c r="F34" s="26"/>
      <c r="G34" s="27"/>
      <c r="H34" s="27"/>
      <c r="I34" s="34"/>
      <c r="J34" s="59"/>
      <c r="K34" s="29"/>
      <c r="L34" s="30"/>
      <c r="M34" s="39"/>
      <c r="N34" s="39"/>
      <c r="O34" s="39"/>
      <c r="P34" s="34"/>
      <c r="Q34" s="34"/>
      <c r="R34" s="34"/>
      <c r="S34" s="34"/>
      <c r="T34" s="34"/>
      <c r="U34" s="34"/>
      <c r="V34" s="34"/>
      <c r="W34" s="35"/>
      <c r="X34" s="34"/>
      <c r="Y34" s="34"/>
      <c r="Z34" s="36"/>
      <c r="AA34" s="37"/>
      <c r="AB34" s="37"/>
      <c r="AC34" s="38"/>
      <c r="AD34" s="39"/>
      <c r="AE34" s="40"/>
      <c r="AF34" s="41"/>
      <c r="AG34" s="40"/>
      <c r="AH34" s="34"/>
      <c r="AI34" s="34"/>
      <c r="AJ34" s="30"/>
      <c r="AK34" s="30"/>
      <c r="AL34" s="34"/>
      <c r="AM34" s="42"/>
      <c r="AN34" s="34"/>
      <c r="AO34" s="34"/>
    </row>
    <row r="35" spans="1:41" ht="15" customHeight="1" x14ac:dyDescent="0.25">
      <c r="A35" s="58"/>
      <c r="B35" s="34"/>
      <c r="C35" s="34"/>
      <c r="D35" s="34"/>
      <c r="E35" s="27"/>
      <c r="F35" s="26"/>
      <c r="G35" s="27"/>
      <c r="H35" s="27"/>
      <c r="I35" s="34"/>
      <c r="J35" s="59"/>
      <c r="K35" s="29"/>
      <c r="L35" s="30"/>
      <c r="M35" s="39"/>
      <c r="N35" s="39"/>
      <c r="O35" s="39"/>
      <c r="P35" s="34"/>
      <c r="Q35" s="34"/>
      <c r="R35" s="34"/>
      <c r="S35" s="34"/>
      <c r="T35" s="34"/>
      <c r="U35" s="34"/>
      <c r="V35" s="34"/>
      <c r="W35" s="35"/>
      <c r="X35" s="34"/>
      <c r="Y35" s="34"/>
      <c r="Z35" s="36"/>
      <c r="AA35" s="37"/>
      <c r="AB35" s="37"/>
      <c r="AC35" s="38"/>
      <c r="AD35" s="39"/>
      <c r="AE35" s="40"/>
      <c r="AF35" s="41"/>
      <c r="AG35" s="40"/>
      <c r="AH35" s="34"/>
      <c r="AI35" s="34"/>
      <c r="AJ35" s="30"/>
      <c r="AK35" s="30"/>
      <c r="AL35" s="34"/>
      <c r="AM35" s="42"/>
      <c r="AN35" s="34"/>
      <c r="AO35" s="34"/>
    </row>
    <row r="36" spans="1:41" ht="15" customHeight="1" x14ac:dyDescent="0.25">
      <c r="A36" s="58"/>
      <c r="B36" s="34"/>
      <c r="C36" s="34"/>
      <c r="D36" s="34"/>
      <c r="E36" s="27"/>
      <c r="F36" s="26"/>
      <c r="G36" s="27"/>
      <c r="H36" s="27"/>
      <c r="I36" s="34"/>
      <c r="J36" s="59"/>
      <c r="K36" s="29"/>
      <c r="L36" s="30"/>
      <c r="M36" s="39"/>
      <c r="N36" s="39"/>
      <c r="O36" s="39"/>
      <c r="P36" s="34"/>
      <c r="Q36" s="34"/>
      <c r="R36" s="34"/>
      <c r="S36" s="34"/>
      <c r="T36" s="34"/>
      <c r="U36" s="34"/>
      <c r="V36" s="34"/>
      <c r="W36" s="35"/>
      <c r="X36" s="34"/>
      <c r="Y36" s="34"/>
      <c r="Z36" s="36"/>
      <c r="AA36" s="37"/>
      <c r="AB36" s="37"/>
      <c r="AC36" s="38"/>
      <c r="AD36" s="39"/>
      <c r="AE36" s="40"/>
      <c r="AF36" s="41"/>
      <c r="AG36" s="40"/>
      <c r="AH36" s="34"/>
      <c r="AI36" s="34"/>
      <c r="AJ36" s="30"/>
      <c r="AK36" s="30"/>
      <c r="AL36" s="34"/>
      <c r="AM36" s="42"/>
      <c r="AN36" s="34"/>
      <c r="AO36" s="34"/>
    </row>
    <row r="45" spans="1:41" ht="15" customHeight="1" x14ac:dyDescent="0.25">
      <c r="C45" s="62"/>
    </row>
  </sheetData>
  <mergeCells count="1">
    <mergeCell ref="C1:D1"/>
  </mergeCells>
  <conditionalFormatting sqref="I1 I4:I1048576">
    <cfRule type="cellIs" dxfId="115" priority="26" operator="equal">
      <formula>"En attente"</formula>
    </cfRule>
  </conditionalFormatting>
  <conditionalFormatting sqref="M1:P1 M4:P1048576">
    <cfRule type="cellIs" dxfId="114" priority="18" operator="equal">
      <formula>"Dans les temps"</formula>
    </cfRule>
    <cfRule type="cellIs" dxfId="113" priority="19" operator="equal">
      <formula>"R3"</formula>
    </cfRule>
    <cfRule type="cellIs" dxfId="112" priority="20" operator="equal">
      <formula>"R2"</formula>
    </cfRule>
    <cfRule type="cellIs" dxfId="111" priority="21" operator="equal">
      <formula>"R1"</formula>
    </cfRule>
    <cfRule type="cellIs" dxfId="110" priority="22" operator="equal">
      <formula>"Relance3"</formula>
    </cfRule>
    <cfRule type="cellIs" dxfId="109" priority="23" operator="equal">
      <formula>"Relance2"</formula>
    </cfRule>
    <cfRule type="cellIs" dxfId="108" priority="24" operator="equal">
      <formula>"Relance1"</formula>
    </cfRule>
  </conditionalFormatting>
  <conditionalFormatting sqref="Y1 Y4:Y1048576">
    <cfRule type="cellIs" dxfId="107" priority="12" operator="equal">
      <formula>"PAYPAL"</formula>
    </cfRule>
    <cfRule type="cellIs" dxfId="106" priority="13" operator="equal">
      <formula>"CARTE BANCAIRE"</formula>
    </cfRule>
    <cfRule type="cellIs" dxfId="105" priority="14" operator="equal">
      <formula>"VIREMENT"</formula>
    </cfRule>
    <cfRule type="cellIs" dxfId="104" priority="15" operator="equal">
      <formula>"CHEQUES"</formula>
    </cfRule>
    <cfRule type="cellIs" dxfId="103" priority="16" operator="equal">
      <formula>"ESPECES"</formula>
    </cfRule>
  </conditionalFormatting>
  <conditionalFormatting sqref="AJ1 AJ4:AJ1048576">
    <cfRule type="cellIs" dxfId="102" priority="9" operator="equal">
      <formula>"OUI"</formula>
    </cfRule>
    <cfRule type="cellIs" dxfId="101" priority="10" operator="equal">
      <formula>"NON"</formula>
    </cfRule>
  </conditionalFormatting>
  <conditionalFormatting sqref="P1 P4:P1048576">
    <cfRule type="containsText" dxfId="100" priority="8" operator="containsText" text="A Surveiller">
      <formula>NOT(ISERROR(SEARCH("A Surveiller",P1)))</formula>
    </cfRule>
  </conditionalFormatting>
  <conditionalFormatting sqref="I5:I22">
    <cfRule type="cellIs" dxfId="99" priority="25" operator="equal">
      <formula>"Validée"</formula>
    </cfRule>
  </conditionalFormatting>
  <conditionalFormatting sqref="AK5:AK22">
    <cfRule type="notContainsBlanks" dxfId="98" priority="27">
      <formula>LEN(TRIM(AK5))&gt;0</formula>
    </cfRule>
  </conditionalFormatting>
  <conditionalFormatting sqref="AL5:AL22">
    <cfRule type="notContainsBlanks" dxfId="97" priority="28">
      <formula>LEN(TRIM(AL5))&gt;0</formula>
    </cfRule>
  </conditionalFormatting>
  <conditionalFormatting sqref="J5:J22">
    <cfRule type="cellIs" dxfId="96" priority="4" operator="greaterThan">
      <formula>$B$1</formula>
    </cfRule>
    <cfRule type="cellIs" dxfId="95" priority="3" operator="lessThan">
      <formula>$B$1</formula>
    </cfRule>
    <cfRule type="containsBlanks" priority="2" stopIfTrue="1">
      <formula>LEN(TRIM(J5))=0</formula>
    </cfRule>
  </conditionalFormatting>
  <conditionalFormatting sqref="I1:I1048576">
    <cfRule type="cellIs" dxfId="94" priority="1" operator="equal">
      <formula>"En cours"</formula>
    </cfRule>
  </conditionalFormatting>
  <pageMargins left="0.7" right="0.7" top="0.75" bottom="0.75" header="0.3" footer="0.3"/>
  <pageSetup paperSize="9" orientation="portrait" horizontalDpi="4294967293" verticalDpi="0" r:id="rId1"/>
  <ignoredErrors>
    <ignoredError sqref="AL8 AL9:AL12" calculatedColumn="1"/>
  </ignoredErrors>
  <drawing r:id="rId2"/>
  <legacyDrawing r:id="rId3"/>
  <controls>
    <mc:AlternateContent xmlns:mc="http://schemas.openxmlformats.org/markup-compatibility/2006">
      <mc:Choice Requires="x14">
        <control shapeId="30729" r:id="rId4" name="CommandButton2">
          <controlPr defaultSize="0" autoFill="0" autoLine="0" r:id="rId5">
            <anchor>
              <from>
                <xdr:col>5</xdr:col>
                <xdr:colOff>85725</xdr:colOff>
                <xdr:row>0</xdr:row>
                <xdr:rowOff>57150</xdr:rowOff>
              </from>
              <to>
                <xdr:col>6</xdr:col>
                <xdr:colOff>657225</xdr:colOff>
                <xdr:row>1</xdr:row>
                <xdr:rowOff>85725</xdr:rowOff>
              </to>
            </anchor>
          </controlPr>
        </control>
      </mc:Choice>
      <mc:Fallback>
        <control shapeId="30729" r:id="rId4" name="CommandButton2"/>
      </mc:Fallback>
    </mc:AlternateContent>
    <mc:AlternateContent xmlns:mc="http://schemas.openxmlformats.org/markup-compatibility/2006">
      <mc:Choice Requires="x14">
        <control shapeId="30730" r:id="rId6" name="CheckBox1">
          <controlPr defaultSize="0" autoFill="0" autoLine="0" r:id="rId7">
            <anchor>
              <from>
                <xdr:col>0</xdr:col>
                <xdr:colOff>76200</xdr:colOff>
                <xdr:row>1</xdr:row>
                <xdr:rowOff>276225</xdr:rowOff>
              </from>
              <to>
                <xdr:col>0</xdr:col>
                <xdr:colOff>1190625</xdr:colOff>
                <xdr:row>2</xdr:row>
                <xdr:rowOff>180975</xdr:rowOff>
              </to>
            </anchor>
          </controlPr>
        </control>
      </mc:Choice>
      <mc:Fallback>
        <control shapeId="30730" r:id="rId6" name="CheckBox1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8">
    <tabColor rgb="FF2E6A68"/>
  </sheetPr>
  <dimension ref="A1:AO36"/>
  <sheetViews>
    <sheetView showRowColHeaders="0" zoomScale="90" zoomScaleNormal="90" workbookViewId="0">
      <pane xSplit="1" ySplit="4" topLeftCell="AC5" activePane="bottomRight" state="frozen"/>
      <selection pane="topRight" activeCell="B1" sqref="B1"/>
      <selection pane="bottomLeft" activeCell="A5" sqref="A5"/>
      <selection pane="bottomRight" activeCell="AN5" sqref="AN5"/>
    </sheetView>
  </sheetViews>
  <sheetFormatPr baseColWidth="10" defaultRowHeight="16.5" x14ac:dyDescent="0.25"/>
  <cols>
    <col min="1" max="1" width="25.5703125" style="76" customWidth="1"/>
    <col min="2" max="2" width="13.5703125" style="76" customWidth="1"/>
    <col min="3" max="3" width="12.42578125" style="66" customWidth="1"/>
    <col min="4" max="4" width="12.5703125" style="66" customWidth="1"/>
    <col min="5" max="5" width="14" style="67" customWidth="1"/>
    <col min="6" max="6" width="13.5703125" style="108" customWidth="1"/>
    <col min="7" max="7" width="11.85546875" style="78" customWidth="1"/>
    <col min="8" max="8" width="12.7109375" style="67" customWidth="1"/>
    <col min="9" max="9" width="12.85546875" style="67" customWidth="1"/>
    <col min="10" max="10" width="11.42578125" style="67" customWidth="1"/>
    <col min="11" max="11" width="11.140625" style="67" customWidth="1"/>
    <col min="12" max="12" width="24.28515625" style="68" customWidth="1"/>
    <col min="13" max="13" width="26.140625" style="69" customWidth="1"/>
    <col min="14" max="14" width="11.42578125" style="70" customWidth="1"/>
    <col min="15" max="15" width="11.42578125" style="67" customWidth="1"/>
    <col min="16" max="16" width="14.42578125" style="71" customWidth="1"/>
    <col min="17" max="17" width="11.140625" style="72" customWidth="1"/>
    <col min="18" max="18" width="23" style="73" customWidth="1"/>
    <col min="19" max="19" width="27" style="74" customWidth="1"/>
    <col min="20" max="20" width="11.42578125" style="66" customWidth="1"/>
    <col min="21" max="21" width="11.42578125" style="67" customWidth="1"/>
    <col min="22" max="22" width="28.28515625" style="75" customWidth="1"/>
    <col min="23" max="23" width="11.140625" style="67" customWidth="1"/>
    <col min="24" max="24" width="24.5703125" style="73" customWidth="1"/>
    <col min="25" max="25" width="27.85546875" style="74" customWidth="1"/>
    <col min="26" max="26" width="11.42578125" style="76" customWidth="1"/>
    <col min="27" max="27" width="11.42578125" style="67" customWidth="1"/>
    <col min="28" max="28" width="16.5703125" style="77" customWidth="1"/>
    <col min="29" max="29" width="11.140625" style="67" customWidth="1"/>
    <col min="30" max="30" width="22.5703125" style="73" customWidth="1"/>
    <col min="31" max="31" width="27.42578125" style="74" customWidth="1"/>
    <col min="32" max="32" width="11.42578125" style="66" customWidth="1"/>
    <col min="33" max="33" width="11.42578125" style="67" customWidth="1"/>
    <col min="34" max="34" width="16.5703125" style="77" customWidth="1"/>
    <col min="35" max="35" width="11.140625" style="67" customWidth="1"/>
    <col min="36" max="36" width="31.42578125" style="73" customWidth="1"/>
    <col min="37" max="37" width="35.7109375" style="74" customWidth="1"/>
    <col min="38" max="38" width="11.42578125" style="66" customWidth="1"/>
    <col min="39" max="39" width="11.42578125" style="78" customWidth="1"/>
    <col min="40" max="40" width="12.85546875" style="79" customWidth="1"/>
    <col min="41" max="16384" width="11.42578125" style="76"/>
  </cols>
  <sheetData>
    <row r="1" spans="1:41" ht="22.5" customHeight="1" x14ac:dyDescent="0.25">
      <c r="A1" s="110" t="s">
        <v>8</v>
      </c>
      <c r="B1" s="112">
        <f ca="1">TODAY()</f>
        <v>42431</v>
      </c>
      <c r="D1" s="111">
        <f ca="1">(SUBTOTAL(9,SUIVI_DES_CREANCES[Montant Total Payé]))/(SUBTOTAL(9,SUIVI_DES_CREANCES[Montant TTC]))</f>
        <v>0.21217451149426209</v>
      </c>
      <c r="F1" s="234">
        <f ca="1">IF(D1&gt;0,D1,"")</f>
        <v>0.21217451149426209</v>
      </c>
      <c r="G1" s="234"/>
      <c r="H1" s="234"/>
      <c r="I1" s="234"/>
      <c r="J1" s="234"/>
      <c r="O1" s="72"/>
      <c r="P1" s="72"/>
    </row>
    <row r="2" spans="1:41" s="115" customFormat="1" ht="21.75" customHeight="1" x14ac:dyDescent="0.25"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15">
        <v>12</v>
      </c>
      <c r="M2" s="115">
        <v>13</v>
      </c>
      <c r="N2" s="179"/>
      <c r="O2" s="179"/>
      <c r="P2" s="179"/>
      <c r="Q2" s="179"/>
      <c r="R2" s="115">
        <v>18</v>
      </c>
      <c r="S2" s="115">
        <v>19</v>
      </c>
      <c r="T2" s="178"/>
      <c r="U2" s="178"/>
      <c r="V2" s="178"/>
      <c r="W2" s="178"/>
      <c r="X2" s="115">
        <v>24</v>
      </c>
      <c r="Y2" s="115">
        <v>25</v>
      </c>
      <c r="Z2" s="180"/>
      <c r="AA2" s="178"/>
      <c r="AB2" s="181"/>
      <c r="AC2" s="178"/>
      <c r="AD2" s="115">
        <v>30</v>
      </c>
      <c r="AE2" s="115">
        <v>31</v>
      </c>
      <c r="AF2" s="182"/>
      <c r="AG2" s="182"/>
      <c r="AH2" s="182"/>
      <c r="AI2" s="182"/>
      <c r="AJ2" s="115">
        <v>36</v>
      </c>
      <c r="AK2" s="115">
        <v>37</v>
      </c>
    </row>
    <row r="3" spans="1:41" s="180" customFormat="1" ht="15" x14ac:dyDescent="0.25">
      <c r="A3" s="183"/>
      <c r="B3" s="183"/>
      <c r="C3" s="184"/>
      <c r="D3" s="184"/>
      <c r="E3" s="182"/>
      <c r="F3" s="182"/>
      <c r="G3" s="182"/>
      <c r="H3" s="182"/>
      <c r="I3" s="182"/>
      <c r="J3" s="182"/>
      <c r="K3" s="178"/>
      <c r="L3" s="185" t="s">
        <v>217</v>
      </c>
      <c r="M3" s="186" t="s">
        <v>216</v>
      </c>
      <c r="N3" s="186"/>
      <c r="O3" s="182"/>
      <c r="P3" s="187"/>
      <c r="Q3" s="188"/>
      <c r="R3" s="185" t="s">
        <v>218</v>
      </c>
      <c r="S3" s="189" t="s">
        <v>219</v>
      </c>
      <c r="T3" s="184"/>
      <c r="U3" s="182"/>
      <c r="V3" s="190"/>
      <c r="W3" s="182"/>
      <c r="X3" s="191" t="s">
        <v>220</v>
      </c>
      <c r="Y3" s="189" t="s">
        <v>221</v>
      </c>
      <c r="Z3" s="183"/>
      <c r="AA3" s="182"/>
      <c r="AB3" s="192"/>
      <c r="AC3" s="182"/>
      <c r="AD3" s="191" t="s">
        <v>222</v>
      </c>
      <c r="AE3" s="189" t="s">
        <v>223</v>
      </c>
      <c r="AF3" s="184"/>
      <c r="AG3" s="182"/>
      <c r="AH3" s="192"/>
      <c r="AI3" s="182"/>
      <c r="AJ3" s="191" t="s">
        <v>224</v>
      </c>
      <c r="AK3" s="189" t="s">
        <v>225</v>
      </c>
      <c r="AL3" s="184"/>
      <c r="AM3" s="183"/>
      <c r="AN3" s="183"/>
      <c r="AO3" s="183"/>
    </row>
    <row r="4" spans="1:41" s="96" customFormat="1" ht="65.25" customHeight="1" x14ac:dyDescent="0.25">
      <c r="A4" s="12" t="s">
        <v>9</v>
      </c>
      <c r="B4" s="12" t="s">
        <v>10</v>
      </c>
      <c r="C4" s="13" t="s">
        <v>11</v>
      </c>
      <c r="D4" s="13" t="s">
        <v>12</v>
      </c>
      <c r="E4" s="14" t="s">
        <v>3</v>
      </c>
      <c r="F4" s="15" t="s">
        <v>22</v>
      </c>
      <c r="G4" s="16" t="s">
        <v>13</v>
      </c>
      <c r="H4" s="14" t="s">
        <v>14</v>
      </c>
      <c r="I4" s="14" t="s">
        <v>23</v>
      </c>
      <c r="J4" s="14" t="s">
        <v>171</v>
      </c>
      <c r="K4" s="14" t="s">
        <v>157</v>
      </c>
      <c r="L4" s="17" t="s">
        <v>156</v>
      </c>
      <c r="M4" s="18" t="s">
        <v>158</v>
      </c>
      <c r="N4" s="19" t="s">
        <v>165</v>
      </c>
      <c r="O4" s="14" t="s">
        <v>175</v>
      </c>
      <c r="P4" s="20" t="s">
        <v>174</v>
      </c>
      <c r="Q4" s="21" t="s">
        <v>153</v>
      </c>
      <c r="R4" s="22" t="s">
        <v>150</v>
      </c>
      <c r="S4" s="23" t="s">
        <v>159</v>
      </c>
      <c r="T4" s="13" t="s">
        <v>166</v>
      </c>
      <c r="U4" s="14" t="s">
        <v>162</v>
      </c>
      <c r="V4" s="24" t="s">
        <v>146</v>
      </c>
      <c r="W4" s="14" t="s">
        <v>152</v>
      </c>
      <c r="X4" s="22" t="s">
        <v>151</v>
      </c>
      <c r="Y4" s="23" t="s">
        <v>161</v>
      </c>
      <c r="Z4" s="12" t="s">
        <v>167</v>
      </c>
      <c r="AA4" s="14" t="s">
        <v>163</v>
      </c>
      <c r="AB4" s="12" t="s">
        <v>147</v>
      </c>
      <c r="AC4" s="14" t="s">
        <v>154</v>
      </c>
      <c r="AD4" s="22" t="s">
        <v>149</v>
      </c>
      <c r="AE4" s="23" t="s">
        <v>160</v>
      </c>
      <c r="AF4" s="13" t="s">
        <v>170</v>
      </c>
      <c r="AG4" s="14" t="s">
        <v>164</v>
      </c>
      <c r="AH4" s="12" t="s">
        <v>148</v>
      </c>
      <c r="AI4" s="14" t="s">
        <v>173</v>
      </c>
      <c r="AJ4" s="22" t="s">
        <v>172</v>
      </c>
      <c r="AK4" s="23" t="s">
        <v>168</v>
      </c>
      <c r="AL4" s="13" t="s">
        <v>169</v>
      </c>
      <c r="AM4" s="16" t="s">
        <v>176</v>
      </c>
      <c r="AN4" s="25" t="s">
        <v>177</v>
      </c>
      <c r="AO4" s="95"/>
    </row>
    <row r="5" spans="1:41" s="98" customFormat="1" x14ac:dyDescent="0.25">
      <c r="A5" s="13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1</v>
      </c>
      <c r="B5" s="13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FACT-3</v>
      </c>
      <c r="C5" s="135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5" s="135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5" s="136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1984</v>
      </c>
      <c r="F5" s="137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184</v>
      </c>
      <c r="G5" s="136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80.006136986301371</v>
      </c>
      <c r="H5" s="136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2064</v>
      </c>
      <c r="I5" s="136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2064.0061369863015</v>
      </c>
      <c r="J5" s="136" t="str">
        <f>IF(SUIVI_DES_CREANCES[[#This Row],[NOMBRE ECHEANCE 1]]="","",SUIVI_DES_CREANCES[[#This Row],[MONTANT ECHEANCE 1]]*SUIVI_DES_CREANCES[[#This Row],[NOMBRE ECHEANCE 1]])</f>
        <v/>
      </c>
      <c r="K5" s="136" t="str">
        <f>IF(SUIVI_DES_CREANCES[[#This Row],[NOMBRE ECHEANCE 1]]="","",(SUIVI_DES_CREANCES[[#This Row],[Montant TTC]]+SUIVI_DES_CREANCES[[#This Row],[Majoration]])/SUIVI_DES_CREANCES[[#This Row],[NOMBRE ECHEANCE 1]])</f>
        <v/>
      </c>
      <c r="L5" s="138"/>
      <c r="M5" s="139"/>
      <c r="N5" s="140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5" s="136" t="str">
        <f>IF(SUIVI_DES_CREANCES[[#This Row],[NOMBRE ECHEANCE 2]]="","",SUIVI_DES_CREANCES[[#This Row],[MONTANT ECHEANCE 2]]*SUIVI_DES_CREANCES[[#This Row],[NOMBRE ECHEANCE 2]])</f>
        <v/>
      </c>
      <c r="P5" s="141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5" s="142" t="str">
        <f>IF(SUIVI_DES_CREANCES[[#This Row],[NOMBRE ECHEANCE 2]]="","",(SUIVI_DES_CREANCES[[#This Row],[Montant TTC]]+SUIVI_DES_CREANCES[[#This Row],[Majoration]])/SUIVI_DES_CREANCES[[#This Row],[NOMBRE ECHEANCE 2]])</f>
        <v/>
      </c>
      <c r="R5" s="143"/>
      <c r="S5" s="144"/>
      <c r="T5" s="135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5" s="136">
        <f ca="1">IF(SUIVI_DES_CREANCES[[#This Row],[NOMBRE ECHEANCE 3]]="","",SUIVI_DES_CREANCES[[#This Row],[MONTANT ECHEANCE 3]]*SUIVI_DES_CREANCES[[#This Row],[NOMBRE ECHEANCE 3]])</f>
        <v>2064.0061369863015</v>
      </c>
      <c r="V5" s="145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>0</v>
      </c>
      <c r="W5" s="136">
        <f ca="1">IF(SUIVI_DES_CREANCES[[#This Row],[NOMBRE ECHEANCE 3]]="","",(SUIVI_DES_CREANCES[[#This Row],[Montant TTC]]+SUIVI_DES_CREANCES[[#This Row],[Majoration]])/SUIVI_DES_CREANCES[[#This Row],[NOMBRE ECHEANCE 3]])</f>
        <v>206.40061369863014</v>
      </c>
      <c r="X5" s="143">
        <v>10</v>
      </c>
      <c r="Y5" s="144">
        <v>30</v>
      </c>
      <c r="Z5" s="140">
        <f>IF(SUIVI_DES_CREANCES[[#This Row],[NOMBRE ECHEANCE 3]]="","",SUIVI_DES_CREANCES[[#This Row],[Date d''échéance]]+(SUIVI_DES_CREANCES[[#This Row],[NOMBRE DE JOURS ENTRE ECHEANCE 3]]*SUIVI_DES_CREANCES[[#This Row],[NOMBRE ECHEANCE 3]]))</f>
        <v>42547</v>
      </c>
      <c r="AA5" s="136" t="str">
        <f>IF(SUIVI_DES_CREANCES[[#This Row],[NOMBRE ECHEANCE 4]]="","",SUIVI_DES_CREANCES[[#This Row],[MONTANT ECHEANCE 4]]*SUIVI_DES_CREANCES[[#This Row],[NOMBRE ECHEANCE 4]])</f>
        <v/>
      </c>
      <c r="AB5" s="146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5" s="136" t="str">
        <f>IF(SUIVI_DES_CREANCES[[#This Row],[NOMBRE ECHEANCE 4]]="","",(SUIVI_DES_CREANCES[[#This Row],[Montant TTC]]+SUIVI_DES_CREANCES[[#This Row],[Majoration]])/SUIVI_DES_CREANCES[[#This Row],[NOMBRE ECHEANCE 4]])</f>
        <v/>
      </c>
      <c r="AD5" s="143"/>
      <c r="AE5" s="144"/>
      <c r="AF5" s="135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5" s="136" t="str">
        <f>IF(SUIVI_DES_CREANCES[[#This Row],[NOMBRE ECHEANCE 5]]="","",SUIVI_DES_CREANCES[[#This Row],[MONTANT ECHEANCE 5]]*SUIVI_DES_CREANCES[[#This Row],[NOMBRE ECHEANCE 5]])</f>
        <v/>
      </c>
      <c r="AH5" s="146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5" s="136" t="str">
        <f>IF(SUIVI_DES_CREANCES[[#This Row],[NOMBRE ECHEANCE 5]]="","",(SUIVI_DES_CREANCES[[#This Row],[Montant TTC]]+SUIVI_DES_CREANCES[[#This Row],[Majoration]])/SUIVI_DES_CREANCES[[#This Row],[NOMBRE ECHEANCE 5]])</f>
        <v/>
      </c>
      <c r="AJ5" s="143"/>
      <c r="AK5" s="144"/>
      <c r="AL5" s="135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5" s="147">
        <f ca="1"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>206.40061369863014</v>
      </c>
      <c r="AN5" s="148">
        <f ca="1"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>42547</v>
      </c>
      <c r="AO5" s="97"/>
    </row>
    <row r="6" spans="1:41" s="98" customFormat="1" x14ac:dyDescent="0.25">
      <c r="A6" s="14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2</v>
      </c>
      <c r="B6" s="14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FACT-4</v>
      </c>
      <c r="C6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42277</v>
      </c>
      <c r="D6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6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1910</v>
      </c>
      <c r="F6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123</v>
      </c>
      <c r="G6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65.745753424657536</v>
      </c>
      <c r="H6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1975.74</v>
      </c>
      <c r="I6" s="151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1975.7457534246573</v>
      </c>
      <c r="J6" s="151" t="str">
        <f>IF(SUIVI_DES_CREANCES[[#This Row],[NOMBRE ECHEANCE 1]]="","",SUIVI_DES_CREANCES[[#This Row],[MONTANT ECHEANCE 1]]*SUIVI_DES_CREANCES[[#This Row],[NOMBRE ECHEANCE 1]])</f>
        <v/>
      </c>
      <c r="K6" s="151" t="str">
        <f>IF(SUIVI_DES_CREANCES[[#This Row],[NOMBRE ECHEANCE 1]]="","",(SUIVI_DES_CREANCES[[#This Row],[Montant TTC]]+SUIVI_DES_CREANCES[[#This Row],[Majoration]])/SUIVI_DES_CREANCES[[#This Row],[NOMBRE ECHEANCE 1]])</f>
        <v/>
      </c>
      <c r="L6" s="154"/>
      <c r="M6" s="155"/>
      <c r="N6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6" s="151" t="str">
        <f>IF(SUIVI_DES_CREANCES[[#This Row],[NOMBRE ECHEANCE 2]]="","",SUIVI_DES_CREANCES[[#This Row],[MONTANT ECHEANCE 2]]*SUIVI_DES_CREANCES[[#This Row],[NOMBRE ECHEANCE 2]])</f>
        <v/>
      </c>
      <c r="P6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6" s="158" t="str">
        <f>IF(SUIVI_DES_CREANCES[[#This Row],[NOMBRE ECHEANCE 2]]="","",(SUIVI_DES_CREANCES[[#This Row],[Montant TTC]]+SUIVI_DES_CREANCES[[#This Row],[Majoration]])/SUIVI_DES_CREANCES[[#This Row],[NOMBRE ECHEANCE 2]])</f>
        <v/>
      </c>
      <c r="R6" s="159"/>
      <c r="S6" s="160"/>
      <c r="T6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6" s="151" t="str">
        <f>IF(SUIVI_DES_CREANCES[[#This Row],[NOMBRE ECHEANCE 3]]="","",SUIVI_DES_CREANCES[[#This Row],[MONTANT ECHEANCE 3]]*SUIVI_DES_CREANCES[[#This Row],[NOMBRE ECHEANCE 3]])</f>
        <v/>
      </c>
      <c r="V6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6" s="151" t="str">
        <f>IF(SUIVI_DES_CREANCES[[#This Row],[NOMBRE ECHEANCE 3]]="","",(SUIVI_DES_CREANCES[[#This Row],[Montant TTC]]+SUIVI_DES_CREANCES[[#This Row],[Majoration]])/SUIVI_DES_CREANCES[[#This Row],[NOMBRE ECHEANCE 3]])</f>
        <v/>
      </c>
      <c r="X6" s="159"/>
      <c r="Y6" s="144"/>
      <c r="Z6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6" s="151">
        <f ca="1">IF(SUIVI_DES_CREANCES[[#This Row],[NOMBRE ECHEANCE 4]]="","",SUIVI_DES_CREANCES[[#This Row],[MONTANT ECHEANCE 4]]*SUIVI_DES_CREANCES[[#This Row],[NOMBRE ECHEANCE 4]])</f>
        <v>1975.7457534246573</v>
      </c>
      <c r="AB6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>X9521</v>
      </c>
      <c r="AC6" s="151">
        <f ca="1">IF(SUIVI_DES_CREANCES[[#This Row],[NOMBRE ECHEANCE 4]]="","",(SUIVI_DES_CREANCES[[#This Row],[Montant TTC]]+SUIVI_DES_CREANCES[[#This Row],[Majoration]])/SUIVI_DES_CREANCES[[#This Row],[NOMBRE ECHEANCE 4]])</f>
        <v>282.24939334637963</v>
      </c>
      <c r="AD6" s="159">
        <v>7</v>
      </c>
      <c r="AE6" s="160">
        <v>30</v>
      </c>
      <c r="AF6" s="150">
        <f>IF(SUIVI_DES_CREANCES[[#This Row],[NOMBRE ECHEANCE 4]]="","",SUIVI_DES_CREANCES[[#This Row],[Date d''échéance]]+(SUIVI_DES_CREANCES[[#This Row],[NOMBRE DE JOURS ENTRE ECHEANCE 4]]*SUIVI_DES_CREANCES[[#This Row],[NOMBRE ECHEANCE 4]]))</f>
        <v>42518</v>
      </c>
      <c r="AG6" s="151" t="str">
        <f>IF(SUIVI_DES_CREANCES[[#This Row],[NOMBRE ECHEANCE 5]]="","",SUIVI_DES_CREANCES[[#This Row],[MONTANT ECHEANCE 5]]*SUIVI_DES_CREANCES[[#This Row],[NOMBRE ECHEANCE 5]])</f>
        <v/>
      </c>
      <c r="AH6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6" s="151" t="str">
        <f>IF(SUIVI_DES_CREANCES[[#This Row],[NOMBRE ECHEANCE 5]]="","",(SUIVI_DES_CREANCES[[#This Row],[Montant TTC]]+SUIVI_DES_CREANCES[[#This Row],[Majoration]])/SUIVI_DES_CREANCES[[#This Row],[NOMBRE ECHEANCE 5]])</f>
        <v/>
      </c>
      <c r="AJ6" s="159"/>
      <c r="AK6" s="160"/>
      <c r="AL6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6" s="153">
        <f ca="1"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>282.24939334637963</v>
      </c>
      <c r="AN6" s="163">
        <f ca="1"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>42518</v>
      </c>
      <c r="AO6" s="97"/>
    </row>
    <row r="7" spans="1:41" s="98" customFormat="1" x14ac:dyDescent="0.25">
      <c r="A7" s="14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3</v>
      </c>
      <c r="B7" s="14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FACT-5</v>
      </c>
      <c r="C7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7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7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3484</v>
      </c>
      <c r="F7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123</v>
      </c>
      <c r="G7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86.962410958904115</v>
      </c>
      <c r="H7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3570.96</v>
      </c>
      <c r="I7" s="151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3570.962410958904</v>
      </c>
      <c r="J7" s="151" t="str">
        <f>IF(SUIVI_DES_CREANCES[[#This Row],[NOMBRE ECHEANCE 1]]="","",SUIVI_DES_CREANCES[[#This Row],[MONTANT ECHEANCE 1]]*SUIVI_DES_CREANCES[[#This Row],[NOMBRE ECHEANCE 1]])</f>
        <v/>
      </c>
      <c r="K7" s="151" t="str">
        <f>IF(SUIVI_DES_CREANCES[[#This Row],[NOMBRE ECHEANCE 1]]="","",(SUIVI_DES_CREANCES[[#This Row],[Montant TTC]]+SUIVI_DES_CREANCES[[#This Row],[Majoration]])/SUIVI_DES_CREANCES[[#This Row],[NOMBRE ECHEANCE 1]])</f>
        <v/>
      </c>
      <c r="L7" s="154"/>
      <c r="M7" s="155"/>
      <c r="N7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7" s="151" t="str">
        <f>IF(SUIVI_DES_CREANCES[[#This Row],[NOMBRE ECHEANCE 2]]="","",SUIVI_DES_CREANCES[[#This Row],[MONTANT ECHEANCE 2]]*SUIVI_DES_CREANCES[[#This Row],[NOMBRE ECHEANCE 2]])</f>
        <v/>
      </c>
      <c r="P7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7" s="158" t="str">
        <f>IF(SUIVI_DES_CREANCES[[#This Row],[NOMBRE ECHEANCE 2]]="","",(SUIVI_DES_CREANCES[[#This Row],[Montant TTC]]+SUIVI_DES_CREANCES[[#This Row],[Majoration]])/SUIVI_DES_CREANCES[[#This Row],[NOMBRE ECHEANCE 2]])</f>
        <v/>
      </c>
      <c r="R7" s="159"/>
      <c r="S7" s="160"/>
      <c r="T7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7" s="151" t="str">
        <f>IF(SUIVI_DES_CREANCES[[#This Row],[NOMBRE ECHEANCE 3]]="","",SUIVI_DES_CREANCES[[#This Row],[MONTANT ECHEANCE 3]]*SUIVI_DES_CREANCES[[#This Row],[NOMBRE ECHEANCE 3]])</f>
        <v/>
      </c>
      <c r="V7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7" s="151" t="str">
        <f>IF(SUIVI_DES_CREANCES[[#This Row],[NOMBRE ECHEANCE 3]]="","",(SUIVI_DES_CREANCES[[#This Row],[Montant TTC]]+SUIVI_DES_CREANCES[[#This Row],[Majoration]])/SUIVI_DES_CREANCES[[#This Row],[NOMBRE ECHEANCE 3]])</f>
        <v/>
      </c>
      <c r="X7" s="159"/>
      <c r="Y7" s="144"/>
      <c r="Z7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7" s="151" t="str">
        <f>IF(SUIVI_DES_CREANCES[[#This Row],[NOMBRE ECHEANCE 4]]="","",SUIVI_DES_CREANCES[[#This Row],[MONTANT ECHEANCE 4]]*SUIVI_DES_CREANCES[[#This Row],[NOMBRE ECHEANCE 4]])</f>
        <v/>
      </c>
      <c r="AB7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7" s="151" t="str">
        <f>IF(SUIVI_DES_CREANCES[[#This Row],[NOMBRE ECHEANCE 4]]="","",(SUIVI_DES_CREANCES[[#This Row],[Montant TTC]]+SUIVI_DES_CREANCES[[#This Row],[Majoration]])/SUIVI_DES_CREANCES[[#This Row],[NOMBRE ECHEANCE 4]])</f>
        <v/>
      </c>
      <c r="AD7" s="159"/>
      <c r="AE7" s="160"/>
      <c r="AF7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7" s="151">
        <f ca="1">IF(SUIVI_DES_CREANCES[[#This Row],[NOMBRE ECHEANCE 5]]="","",SUIVI_DES_CREANCES[[#This Row],[MONTANT ECHEANCE 5]]*SUIVI_DES_CREANCES[[#This Row],[NOMBRE ECHEANCE 5]])</f>
        <v>3570.962410958904</v>
      </c>
      <c r="AH7" s="162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>5491124536</v>
      </c>
      <c r="AI7" s="151">
        <f ca="1">IF(SUIVI_DES_CREANCES[[#This Row],[NOMBRE ECHEANCE 5]]="","",(SUIVI_DES_CREANCES[[#This Row],[Montant TTC]]+SUIVI_DES_CREANCES[[#This Row],[Majoration]])/SUIVI_DES_CREANCES[[#This Row],[NOMBRE ECHEANCE 5]])</f>
        <v>714.19248219178075</v>
      </c>
      <c r="AJ7" s="159">
        <v>5</v>
      </c>
      <c r="AK7" s="160">
        <v>30</v>
      </c>
      <c r="AL7" s="150">
        <f>IF(SUIVI_DES_CREANCES[[#This Row],[NOMBRE ECHEANCE 5]]="","",SUIVI_DES_CREANCES[[#This Row],[Date d''échéance]]+(SUIVI_DES_CREANCES[[#This Row],[NOMBRE DE JOURS ENTRE ECHEANCE 5]]*SUIVI_DES_CREANCES[[#This Row],[NOMBRE ECHEANCE 5]]))</f>
        <v>42458</v>
      </c>
      <c r="AM7" s="153">
        <f ca="1"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>714.19248219178075</v>
      </c>
      <c r="AN7" s="163">
        <f ca="1"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>42458</v>
      </c>
      <c r="AO7" s="97"/>
    </row>
    <row r="8" spans="1:41" s="98" customFormat="1" x14ac:dyDescent="0.25">
      <c r="A8" s="14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4</v>
      </c>
      <c r="B8" s="14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FACT-6</v>
      </c>
      <c r="C8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8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8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5058</v>
      </c>
      <c r="F8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123</v>
      </c>
      <c r="G8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108.17906849315068</v>
      </c>
      <c r="H8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5166.17</v>
      </c>
      <c r="I8" s="151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5166.1790684931511</v>
      </c>
      <c r="J8" s="151" t="str">
        <f>IF(SUIVI_DES_CREANCES[[#This Row],[NOMBRE ECHEANCE 1]]="","",SUIVI_DES_CREANCES[[#This Row],[MONTANT ECHEANCE 1]]*SUIVI_DES_CREANCES[[#This Row],[NOMBRE ECHEANCE 1]])</f>
        <v/>
      </c>
      <c r="K8" s="151" t="str">
        <f>IF(SUIVI_DES_CREANCES[[#This Row],[NOMBRE ECHEANCE 1]]="","",(SUIVI_DES_CREANCES[[#This Row],[Montant TTC]]+SUIVI_DES_CREANCES[[#This Row],[Majoration]])/SUIVI_DES_CREANCES[[#This Row],[NOMBRE ECHEANCE 1]])</f>
        <v/>
      </c>
      <c r="L8" s="154"/>
      <c r="M8" s="155"/>
      <c r="N8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8" s="151">
        <f ca="1">IF(SUIVI_DES_CREANCES[[#This Row],[NOMBRE ECHEANCE 2]]="","",SUIVI_DES_CREANCES[[#This Row],[MONTANT ECHEANCE 2]]*SUIVI_DES_CREANCES[[#This Row],[NOMBRE ECHEANCE 2]])</f>
        <v>5166.1790684931511</v>
      </c>
      <c r="P8" s="157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>0</v>
      </c>
      <c r="Q8" s="158">
        <f ca="1">IF(SUIVI_DES_CREANCES[[#This Row],[NOMBRE ECHEANCE 2]]="","",(SUIVI_DES_CREANCES[[#This Row],[Montant TTC]]+SUIVI_DES_CREANCES[[#This Row],[Majoration]])/SUIVI_DES_CREANCES[[#This Row],[NOMBRE ECHEANCE 2]])</f>
        <v>516.61790684931509</v>
      </c>
      <c r="R8" s="159">
        <v>10</v>
      </c>
      <c r="S8" s="160">
        <v>30</v>
      </c>
      <c r="T8" s="150">
        <f>IF(SUIVI_DES_CREANCES[[#This Row],[NOMBRE ECHEANCE 2]]="","",SUIVI_DES_CREANCES[[#This Row],[Date d''échéance]]+(SUIVI_DES_CREANCES[[#This Row],[NOMBRE DE JOURS ENTRE ECHEANCE 2]]*SUIVI_DES_CREANCES[[#This Row],[NOMBRE ECHEANCE 2]]))</f>
        <v>42608</v>
      </c>
      <c r="U8" s="151" t="str">
        <f>IF(SUIVI_DES_CREANCES[[#This Row],[NOMBRE ECHEANCE 3]]="","",SUIVI_DES_CREANCES[[#This Row],[MONTANT ECHEANCE 3]]*SUIVI_DES_CREANCES[[#This Row],[NOMBRE ECHEANCE 3]])</f>
        <v/>
      </c>
      <c r="V8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8" s="151" t="str">
        <f>IF(SUIVI_DES_CREANCES[[#This Row],[NOMBRE ECHEANCE 3]]="","",(SUIVI_DES_CREANCES[[#This Row],[Montant TTC]]+SUIVI_DES_CREANCES[[#This Row],[Majoration]])/SUIVI_DES_CREANCES[[#This Row],[NOMBRE ECHEANCE 3]])</f>
        <v/>
      </c>
      <c r="X8" s="159"/>
      <c r="Y8" s="144"/>
      <c r="Z8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8" s="151" t="str">
        <f>IF(SUIVI_DES_CREANCES[[#This Row],[NOMBRE ECHEANCE 4]]="","",SUIVI_DES_CREANCES[[#This Row],[MONTANT ECHEANCE 4]]*SUIVI_DES_CREANCES[[#This Row],[NOMBRE ECHEANCE 4]])</f>
        <v/>
      </c>
      <c r="AB8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8" s="151" t="str">
        <f>IF(SUIVI_DES_CREANCES[[#This Row],[NOMBRE ECHEANCE 4]]="","",(SUIVI_DES_CREANCES[[#This Row],[Montant TTC]]+SUIVI_DES_CREANCES[[#This Row],[Majoration]])/SUIVI_DES_CREANCES[[#This Row],[NOMBRE ECHEANCE 4]])</f>
        <v/>
      </c>
      <c r="AD8" s="159"/>
      <c r="AE8" s="160"/>
      <c r="AF8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8" s="151" t="str">
        <f>IF(SUIVI_DES_CREANCES[[#This Row],[NOMBRE ECHEANCE 5]]="","",SUIVI_DES_CREANCES[[#This Row],[MONTANT ECHEANCE 5]]*SUIVI_DES_CREANCES[[#This Row],[NOMBRE ECHEANCE 5]])</f>
        <v/>
      </c>
      <c r="AH8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8" s="151" t="str">
        <f>IF(SUIVI_DES_CREANCES[[#This Row],[NOMBRE ECHEANCE 5]]="","",(SUIVI_DES_CREANCES[[#This Row],[Montant TTC]]+SUIVI_DES_CREANCES[[#This Row],[Majoration]])/SUIVI_DES_CREANCES[[#This Row],[NOMBRE ECHEANCE 5]])</f>
        <v/>
      </c>
      <c r="AJ8" s="159"/>
      <c r="AK8" s="160"/>
      <c r="AL8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8" s="153">
        <f ca="1"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>516.61790684931509</v>
      </c>
      <c r="AN8" s="163">
        <f ca="1"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>42608</v>
      </c>
      <c r="AO8" s="97"/>
    </row>
    <row r="9" spans="1:41" s="98" customFormat="1" x14ac:dyDescent="0.25">
      <c r="A9" s="14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5</v>
      </c>
      <c r="B9" s="14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FACT-7</v>
      </c>
      <c r="C9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42155</v>
      </c>
      <c r="D9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42185</v>
      </c>
      <c r="E9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6632</v>
      </c>
      <c r="F9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246</v>
      </c>
      <c r="G9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218.79145205479455</v>
      </c>
      <c r="H9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6850.79</v>
      </c>
      <c r="I9" s="151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6850.7914520547947</v>
      </c>
      <c r="J9" s="151">
        <f ca="1">IF(SUIVI_DES_CREANCES[[#This Row],[NOMBRE ECHEANCE 1]]="","",SUIVI_DES_CREANCES[[#This Row],[MONTANT ECHEANCE 1]]*SUIVI_DES_CREANCES[[#This Row],[NOMBRE ECHEANCE 1]])</f>
        <v>6850.7914520547947</v>
      </c>
      <c r="K9" s="151">
        <f ca="1">IF(SUIVI_DES_CREANCES[[#This Row],[NOMBRE ECHEANCE 1]]="","",(SUIVI_DES_CREANCES[[#This Row],[Montant TTC]]+SUIVI_DES_CREANCES[[#This Row],[Majoration]])/SUIVI_DES_CREANCES[[#This Row],[NOMBRE ECHEANCE 1]])</f>
        <v>1370.1582904109589</v>
      </c>
      <c r="L9" s="154">
        <v>5</v>
      </c>
      <c r="M9" s="155">
        <v>30</v>
      </c>
      <c r="N9" s="156">
        <f>IF(SUIVI_DES_CREANCES[[#This Row],[NOMBRE ECHEANCE 1]]="","",SUIVI_DES_CREANCES[[#This Row],[Date d''échéance]]+(SUIVI_DES_CREANCES[[#This Row],[NOMBRE DE JOURS ENTRE ECHEANCE 1]]*SUIVI_DES_CREANCES[[#This Row],[NOMBRE ECHEANCE 1]]))</f>
        <v>42335</v>
      </c>
      <c r="O9" s="151" t="str">
        <f>IF(SUIVI_DES_CREANCES[[#This Row],[NOMBRE ECHEANCE 2]]="","",SUIVI_DES_CREANCES[[#This Row],[MONTANT ECHEANCE 2]]*SUIVI_DES_CREANCES[[#This Row],[NOMBRE ECHEANCE 2]])</f>
        <v/>
      </c>
      <c r="P9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9" s="158" t="str">
        <f>IF(SUIVI_DES_CREANCES[[#This Row],[NOMBRE ECHEANCE 2]]="","",(SUIVI_DES_CREANCES[[#This Row],[Montant TTC]]+SUIVI_DES_CREANCES[[#This Row],[Majoration]])/SUIVI_DES_CREANCES[[#This Row],[NOMBRE ECHEANCE 2]])</f>
        <v/>
      </c>
      <c r="R9" s="159"/>
      <c r="S9" s="160"/>
      <c r="T9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9" s="151" t="str">
        <f>IF(SUIVI_DES_CREANCES[[#This Row],[NOMBRE ECHEANCE 3]]="","",SUIVI_DES_CREANCES[[#This Row],[MONTANT ECHEANCE 3]]*SUIVI_DES_CREANCES[[#This Row],[NOMBRE ECHEANCE 3]])</f>
        <v/>
      </c>
      <c r="V9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9" s="151" t="str">
        <f>IF(SUIVI_DES_CREANCES[[#This Row],[NOMBRE ECHEANCE 3]]="","",(SUIVI_DES_CREANCES[[#This Row],[Montant TTC]]+SUIVI_DES_CREANCES[[#This Row],[Majoration]])/SUIVI_DES_CREANCES[[#This Row],[NOMBRE ECHEANCE 3]])</f>
        <v/>
      </c>
      <c r="X9" s="159"/>
      <c r="Y9" s="144"/>
      <c r="Z9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9" s="151" t="str">
        <f>IF(SUIVI_DES_CREANCES[[#This Row],[NOMBRE ECHEANCE 4]]="","",SUIVI_DES_CREANCES[[#This Row],[MONTANT ECHEANCE 4]]*SUIVI_DES_CREANCES[[#This Row],[NOMBRE ECHEANCE 4]])</f>
        <v/>
      </c>
      <c r="AB9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9" s="151" t="str">
        <f>IF(SUIVI_DES_CREANCES[[#This Row],[NOMBRE ECHEANCE 4]]="","",(SUIVI_DES_CREANCES[[#This Row],[Montant TTC]]+SUIVI_DES_CREANCES[[#This Row],[Majoration]])/SUIVI_DES_CREANCES[[#This Row],[NOMBRE ECHEANCE 4]])</f>
        <v/>
      </c>
      <c r="AD9" s="159"/>
      <c r="AE9" s="160"/>
      <c r="AF9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9" s="151" t="str">
        <f>IF(SUIVI_DES_CREANCES[[#This Row],[NOMBRE ECHEANCE 5]]="","",SUIVI_DES_CREANCES[[#This Row],[MONTANT ECHEANCE 5]]*SUIVI_DES_CREANCES[[#This Row],[NOMBRE ECHEANCE 5]])</f>
        <v/>
      </c>
      <c r="AH9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9" s="151" t="str">
        <f>IF(SUIVI_DES_CREANCES[[#This Row],[NOMBRE ECHEANCE 5]]="","",(SUIVI_DES_CREANCES[[#This Row],[Montant TTC]]+SUIVI_DES_CREANCES[[#This Row],[Majoration]])/SUIVI_DES_CREANCES[[#This Row],[NOMBRE ECHEANCE 5]])</f>
        <v/>
      </c>
      <c r="AJ9" s="159"/>
      <c r="AK9" s="160"/>
      <c r="AL9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9" s="153">
        <f ca="1"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>1370.1582904109589</v>
      </c>
      <c r="AN9" s="163">
        <f ca="1"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>42335</v>
      </c>
      <c r="AO9" s="97"/>
    </row>
    <row r="10" spans="1:41" s="98" customFormat="1" x14ac:dyDescent="0.25">
      <c r="A10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6</v>
      </c>
      <c r="B10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FACT-8</v>
      </c>
      <c r="C10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10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10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5624.12</v>
      </c>
      <c r="F10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10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0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5624.12</v>
      </c>
      <c r="I10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0" s="151" t="str">
        <f>IF(SUIVI_DES_CREANCES[[#This Row],[NOMBRE ECHEANCE 1]]="","",SUIVI_DES_CREANCES[[#This Row],[MONTANT ECHEANCE 1]]*SUIVI_DES_CREANCES[[#This Row],[NOMBRE ECHEANCE 1]])</f>
        <v/>
      </c>
      <c r="K10" s="151" t="str">
        <f>IF(SUIVI_DES_CREANCES[[#This Row],[NOMBRE ECHEANCE 1]]="","",(SUIVI_DES_CREANCES[[#This Row],[Montant TTC]]+SUIVI_DES_CREANCES[[#This Row],[Majoration]])/SUIVI_DES_CREANCES[[#This Row],[NOMBRE ECHEANCE 1]])</f>
        <v/>
      </c>
      <c r="L10" s="154"/>
      <c r="M10" s="155"/>
      <c r="N10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0" s="151" t="str">
        <f>IF(SUIVI_DES_CREANCES[[#This Row],[NOMBRE ECHEANCE 2]]="","",SUIVI_DES_CREANCES[[#This Row],[MONTANT ECHEANCE 2]]*SUIVI_DES_CREANCES[[#This Row],[NOMBRE ECHEANCE 2]])</f>
        <v/>
      </c>
      <c r="P10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0" s="158" t="str">
        <f>IF(SUIVI_DES_CREANCES[[#This Row],[NOMBRE ECHEANCE 2]]="","",(SUIVI_DES_CREANCES[[#This Row],[Montant TTC]]+SUIVI_DES_CREANCES[[#This Row],[Majoration]])/SUIVI_DES_CREANCES[[#This Row],[NOMBRE ECHEANCE 2]])</f>
        <v/>
      </c>
      <c r="R10" s="159"/>
      <c r="S10" s="160"/>
      <c r="T10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0" s="151" t="str">
        <f>IF(SUIVI_DES_CREANCES[[#This Row],[NOMBRE ECHEANCE 3]]="","",SUIVI_DES_CREANCES[[#This Row],[MONTANT ECHEANCE 3]]*SUIVI_DES_CREANCES[[#This Row],[NOMBRE ECHEANCE 3]])</f>
        <v/>
      </c>
      <c r="V10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0" s="151" t="str">
        <f>IF(SUIVI_DES_CREANCES[[#This Row],[NOMBRE ECHEANCE 3]]="","",(SUIVI_DES_CREANCES[[#This Row],[Montant TTC]]+SUIVI_DES_CREANCES[[#This Row],[Majoration]])/SUIVI_DES_CREANCES[[#This Row],[NOMBRE ECHEANCE 3]])</f>
        <v/>
      </c>
      <c r="X10" s="159"/>
      <c r="Y10" s="144"/>
      <c r="Z10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0" s="151" t="str">
        <f>IF(SUIVI_DES_CREANCES[[#This Row],[NOMBRE ECHEANCE 4]]="","",SUIVI_DES_CREANCES[[#This Row],[MONTANT ECHEANCE 4]]*SUIVI_DES_CREANCES[[#This Row],[NOMBRE ECHEANCE 4]])</f>
        <v/>
      </c>
      <c r="AB10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0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0" s="159"/>
      <c r="AE10" s="160"/>
      <c r="AF10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0" s="151" t="str">
        <f>IF(SUIVI_DES_CREANCES[[#This Row],[NOMBRE ECHEANCE 5]]="","",SUIVI_DES_CREANCES[[#This Row],[MONTANT ECHEANCE 5]]*SUIVI_DES_CREANCES[[#This Row],[NOMBRE ECHEANCE 5]])</f>
        <v/>
      </c>
      <c r="AH10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0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0" s="159"/>
      <c r="AK10" s="160"/>
      <c r="AL10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0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0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0" s="97"/>
    </row>
    <row r="11" spans="1:41" s="98" customFormat="1" x14ac:dyDescent="0.25">
      <c r="A11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1</v>
      </c>
      <c r="B11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FACT-9</v>
      </c>
      <c r="C11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42246</v>
      </c>
      <c r="D11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42277</v>
      </c>
      <c r="E11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5402.75</v>
      </c>
      <c r="F11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154</v>
      </c>
      <c r="G11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131.18065753424656</v>
      </c>
      <c r="H11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5533.93</v>
      </c>
      <c r="I11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1" s="151" t="str">
        <f>IF(SUIVI_DES_CREANCES[[#This Row],[NOMBRE ECHEANCE 1]]="","",SUIVI_DES_CREANCES[[#This Row],[MONTANT ECHEANCE 1]]*SUIVI_DES_CREANCES[[#This Row],[NOMBRE ECHEANCE 1]])</f>
        <v/>
      </c>
      <c r="K11" s="151" t="str">
        <f>IF(SUIVI_DES_CREANCES[[#This Row],[NOMBRE ECHEANCE 1]]="","",(SUIVI_DES_CREANCES[[#This Row],[Montant TTC]]+SUIVI_DES_CREANCES[[#This Row],[Majoration]])/SUIVI_DES_CREANCES[[#This Row],[NOMBRE ECHEANCE 1]])</f>
        <v/>
      </c>
      <c r="L11" s="154"/>
      <c r="M11" s="155"/>
      <c r="N11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1" s="151" t="str">
        <f>IF(SUIVI_DES_CREANCES[[#This Row],[NOMBRE ECHEANCE 2]]="","",SUIVI_DES_CREANCES[[#This Row],[MONTANT ECHEANCE 2]]*SUIVI_DES_CREANCES[[#This Row],[NOMBRE ECHEANCE 2]])</f>
        <v/>
      </c>
      <c r="P11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1" s="158" t="str">
        <f>IF(SUIVI_DES_CREANCES[[#This Row],[NOMBRE ECHEANCE 2]]="","",(SUIVI_DES_CREANCES[[#This Row],[Montant TTC]]+SUIVI_DES_CREANCES[[#This Row],[Majoration]])/SUIVI_DES_CREANCES[[#This Row],[NOMBRE ECHEANCE 2]])</f>
        <v/>
      </c>
      <c r="R11" s="159"/>
      <c r="S11" s="160"/>
      <c r="T11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1" s="151" t="str">
        <f>IF(SUIVI_DES_CREANCES[[#This Row],[NOMBRE ECHEANCE 3]]="","",SUIVI_DES_CREANCES[[#This Row],[MONTANT ECHEANCE 3]]*SUIVI_DES_CREANCES[[#This Row],[NOMBRE ECHEANCE 3]])</f>
        <v/>
      </c>
      <c r="V11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1" s="151" t="str">
        <f>IF(SUIVI_DES_CREANCES[[#This Row],[NOMBRE ECHEANCE 3]]="","",(SUIVI_DES_CREANCES[[#This Row],[Montant TTC]]+SUIVI_DES_CREANCES[[#This Row],[Majoration]])/SUIVI_DES_CREANCES[[#This Row],[NOMBRE ECHEANCE 3]])</f>
        <v/>
      </c>
      <c r="X11" s="159"/>
      <c r="Y11" s="144"/>
      <c r="Z11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1" s="151" t="str">
        <f>IF(SUIVI_DES_CREANCES[[#This Row],[NOMBRE ECHEANCE 4]]="","",SUIVI_DES_CREANCES[[#This Row],[MONTANT ECHEANCE 4]]*SUIVI_DES_CREANCES[[#This Row],[NOMBRE ECHEANCE 4]])</f>
        <v/>
      </c>
      <c r="AB11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1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1" s="159"/>
      <c r="AE11" s="160"/>
      <c r="AF11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1" s="151" t="str">
        <f>IF(SUIVI_DES_CREANCES[[#This Row],[NOMBRE ECHEANCE 5]]="","",SUIVI_DES_CREANCES[[#This Row],[MONTANT ECHEANCE 5]]*SUIVI_DES_CREANCES[[#This Row],[NOMBRE ECHEANCE 5]])</f>
        <v/>
      </c>
      <c r="AH11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1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1" s="159"/>
      <c r="AK11" s="160"/>
      <c r="AL11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1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1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1" s="97"/>
    </row>
    <row r="12" spans="1:41" s="98" customFormat="1" x14ac:dyDescent="0.25">
      <c r="A12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2</v>
      </c>
      <c r="B12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FACT-10</v>
      </c>
      <c r="C12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12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2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5673.02</v>
      </c>
      <c r="F12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123</v>
      </c>
      <c r="G12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116.46920109589041</v>
      </c>
      <c r="H12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5789.48</v>
      </c>
      <c r="I12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2" s="151" t="str">
        <f>IF(SUIVI_DES_CREANCES[[#This Row],[NOMBRE ECHEANCE 1]]="","",SUIVI_DES_CREANCES[[#This Row],[MONTANT ECHEANCE 1]]*SUIVI_DES_CREANCES[[#This Row],[NOMBRE ECHEANCE 1]])</f>
        <v/>
      </c>
      <c r="K12" s="151" t="str">
        <f>IF(SUIVI_DES_CREANCES[[#This Row],[NOMBRE ECHEANCE 1]]="","",(SUIVI_DES_CREANCES[[#This Row],[Montant TTC]]+SUIVI_DES_CREANCES[[#This Row],[Majoration]])/SUIVI_DES_CREANCES[[#This Row],[NOMBRE ECHEANCE 1]])</f>
        <v/>
      </c>
      <c r="L12" s="154"/>
      <c r="M12" s="155"/>
      <c r="N12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2" s="151" t="str">
        <f>IF(SUIVI_DES_CREANCES[[#This Row],[NOMBRE ECHEANCE 2]]="","",SUIVI_DES_CREANCES[[#This Row],[MONTANT ECHEANCE 2]]*SUIVI_DES_CREANCES[[#This Row],[NOMBRE ECHEANCE 2]])</f>
        <v/>
      </c>
      <c r="P12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2" s="158" t="str">
        <f>IF(SUIVI_DES_CREANCES[[#This Row],[NOMBRE ECHEANCE 2]]="","",(SUIVI_DES_CREANCES[[#This Row],[Montant TTC]]+SUIVI_DES_CREANCES[[#This Row],[Majoration]])/SUIVI_DES_CREANCES[[#This Row],[NOMBRE ECHEANCE 2]])</f>
        <v/>
      </c>
      <c r="R12" s="159"/>
      <c r="S12" s="160"/>
      <c r="T12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2" s="151" t="str">
        <f>IF(SUIVI_DES_CREANCES[[#This Row],[NOMBRE ECHEANCE 3]]="","",SUIVI_DES_CREANCES[[#This Row],[MONTANT ECHEANCE 3]]*SUIVI_DES_CREANCES[[#This Row],[NOMBRE ECHEANCE 3]])</f>
        <v/>
      </c>
      <c r="V12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2" s="151" t="str">
        <f>IF(SUIVI_DES_CREANCES[[#This Row],[NOMBRE ECHEANCE 3]]="","",(SUIVI_DES_CREANCES[[#This Row],[Montant TTC]]+SUIVI_DES_CREANCES[[#This Row],[Majoration]])/SUIVI_DES_CREANCES[[#This Row],[NOMBRE ECHEANCE 3]])</f>
        <v/>
      </c>
      <c r="X12" s="159"/>
      <c r="Y12" s="144"/>
      <c r="Z12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2" s="151" t="str">
        <f>IF(SUIVI_DES_CREANCES[[#This Row],[NOMBRE ECHEANCE 4]]="","",SUIVI_DES_CREANCES[[#This Row],[MONTANT ECHEANCE 4]]*SUIVI_DES_CREANCES[[#This Row],[NOMBRE ECHEANCE 4]])</f>
        <v/>
      </c>
      <c r="AB12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2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2" s="159"/>
      <c r="AE12" s="160"/>
      <c r="AF12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2" s="151" t="str">
        <f>IF(SUIVI_DES_CREANCES[[#This Row],[NOMBRE ECHEANCE 5]]="","",SUIVI_DES_CREANCES[[#This Row],[MONTANT ECHEANCE 5]]*SUIVI_DES_CREANCES[[#This Row],[NOMBRE ECHEANCE 5]])</f>
        <v/>
      </c>
      <c r="AH12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2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2" s="159"/>
      <c r="AK12" s="160"/>
      <c r="AL12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2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2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2" s="97"/>
    </row>
    <row r="13" spans="1:41" s="98" customFormat="1" x14ac:dyDescent="0.25">
      <c r="A13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3</v>
      </c>
      <c r="B13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FACT-11</v>
      </c>
      <c r="C13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42268</v>
      </c>
      <c r="D13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3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4862.9399999999996</v>
      </c>
      <c r="F13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123</v>
      </c>
      <c r="G13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105.54976657534246</v>
      </c>
      <c r="H13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4968.4799999999996</v>
      </c>
      <c r="I13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3" s="151" t="str">
        <f>IF(SUIVI_DES_CREANCES[[#This Row],[NOMBRE ECHEANCE 1]]="","",SUIVI_DES_CREANCES[[#This Row],[MONTANT ECHEANCE 1]]*SUIVI_DES_CREANCES[[#This Row],[NOMBRE ECHEANCE 1]])</f>
        <v/>
      </c>
      <c r="K13" s="151" t="str">
        <f>IF(SUIVI_DES_CREANCES[[#This Row],[NOMBRE ECHEANCE 1]]="","",(SUIVI_DES_CREANCES[[#This Row],[Montant TTC]]+SUIVI_DES_CREANCES[[#This Row],[Majoration]])/SUIVI_DES_CREANCES[[#This Row],[NOMBRE ECHEANCE 1]])</f>
        <v/>
      </c>
      <c r="L13" s="154"/>
      <c r="M13" s="155"/>
      <c r="N13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3" s="151" t="str">
        <f>IF(SUIVI_DES_CREANCES[[#This Row],[NOMBRE ECHEANCE 2]]="","",SUIVI_DES_CREANCES[[#This Row],[MONTANT ECHEANCE 2]]*SUIVI_DES_CREANCES[[#This Row],[NOMBRE ECHEANCE 2]])</f>
        <v/>
      </c>
      <c r="P13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3" s="158" t="str">
        <f>IF(SUIVI_DES_CREANCES[[#This Row],[NOMBRE ECHEANCE 2]]="","",(SUIVI_DES_CREANCES[[#This Row],[Montant TTC]]+SUIVI_DES_CREANCES[[#This Row],[Majoration]])/SUIVI_DES_CREANCES[[#This Row],[NOMBRE ECHEANCE 2]])</f>
        <v/>
      </c>
      <c r="R13" s="159"/>
      <c r="S13" s="160"/>
      <c r="T13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3" s="151" t="str">
        <f>IF(SUIVI_DES_CREANCES[[#This Row],[NOMBRE ECHEANCE 3]]="","",SUIVI_DES_CREANCES[[#This Row],[MONTANT ECHEANCE 3]]*SUIVI_DES_CREANCES[[#This Row],[NOMBRE ECHEANCE 3]])</f>
        <v/>
      </c>
      <c r="V13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3" s="151" t="str">
        <f>IF(SUIVI_DES_CREANCES[[#This Row],[NOMBRE ECHEANCE 3]]="","",(SUIVI_DES_CREANCES[[#This Row],[Montant TTC]]+SUIVI_DES_CREANCES[[#This Row],[Majoration]])/SUIVI_DES_CREANCES[[#This Row],[NOMBRE ECHEANCE 3]])</f>
        <v/>
      </c>
      <c r="X13" s="159"/>
      <c r="Y13" s="144"/>
      <c r="Z13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3" s="151" t="str">
        <f>IF(SUIVI_DES_CREANCES[[#This Row],[NOMBRE ECHEANCE 4]]="","",SUIVI_DES_CREANCES[[#This Row],[MONTANT ECHEANCE 4]]*SUIVI_DES_CREANCES[[#This Row],[NOMBRE ECHEANCE 4]])</f>
        <v/>
      </c>
      <c r="AB13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3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3" s="159"/>
      <c r="AE13" s="160"/>
      <c r="AF13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3" s="151" t="str">
        <f>IF(SUIVI_DES_CREANCES[[#This Row],[NOMBRE ECHEANCE 5]]="","",SUIVI_DES_CREANCES[[#This Row],[MONTANT ECHEANCE 5]]*SUIVI_DES_CREANCES[[#This Row],[NOMBRE ECHEANCE 5]])</f>
        <v/>
      </c>
      <c r="AH13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3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3" s="159"/>
      <c r="AK13" s="160"/>
      <c r="AL13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3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3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3" s="97"/>
    </row>
    <row r="14" spans="1:41" s="98" customFormat="1" x14ac:dyDescent="0.25">
      <c r="A14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4</v>
      </c>
      <c r="B14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FACT-12</v>
      </c>
      <c r="C14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14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4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7520.99</v>
      </c>
      <c r="F14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123</v>
      </c>
      <c r="G14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141.37882410958906</v>
      </c>
      <c r="H14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7662.36</v>
      </c>
      <c r="I14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4" s="151" t="str">
        <f>IF(SUIVI_DES_CREANCES[[#This Row],[NOMBRE ECHEANCE 1]]="","",SUIVI_DES_CREANCES[[#This Row],[MONTANT ECHEANCE 1]]*SUIVI_DES_CREANCES[[#This Row],[NOMBRE ECHEANCE 1]])</f>
        <v/>
      </c>
      <c r="K14" s="151" t="str">
        <f>IF(SUIVI_DES_CREANCES[[#This Row],[NOMBRE ECHEANCE 1]]="","",(SUIVI_DES_CREANCES[[#This Row],[Montant TTC]]+SUIVI_DES_CREANCES[[#This Row],[Majoration]])/SUIVI_DES_CREANCES[[#This Row],[NOMBRE ECHEANCE 1]])</f>
        <v/>
      </c>
      <c r="L14" s="154"/>
      <c r="M14" s="155"/>
      <c r="N14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4" s="151" t="str">
        <f>IF(SUIVI_DES_CREANCES[[#This Row],[NOMBRE ECHEANCE 2]]="","",SUIVI_DES_CREANCES[[#This Row],[MONTANT ECHEANCE 2]]*SUIVI_DES_CREANCES[[#This Row],[NOMBRE ECHEANCE 2]])</f>
        <v/>
      </c>
      <c r="P14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4" s="158" t="str">
        <f>IF(SUIVI_DES_CREANCES[[#This Row],[NOMBRE ECHEANCE 2]]="","",(SUIVI_DES_CREANCES[[#This Row],[Montant TTC]]+SUIVI_DES_CREANCES[[#This Row],[Majoration]])/SUIVI_DES_CREANCES[[#This Row],[NOMBRE ECHEANCE 2]])</f>
        <v/>
      </c>
      <c r="R14" s="159"/>
      <c r="S14" s="160"/>
      <c r="T14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4" s="151" t="str">
        <f>IF(SUIVI_DES_CREANCES[[#This Row],[NOMBRE ECHEANCE 3]]="","",SUIVI_DES_CREANCES[[#This Row],[MONTANT ECHEANCE 3]]*SUIVI_DES_CREANCES[[#This Row],[NOMBRE ECHEANCE 3]])</f>
        <v/>
      </c>
      <c r="V14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4" s="151" t="str">
        <f>IF(SUIVI_DES_CREANCES[[#This Row],[NOMBRE ECHEANCE 3]]="","",(SUIVI_DES_CREANCES[[#This Row],[Montant TTC]]+SUIVI_DES_CREANCES[[#This Row],[Majoration]])/SUIVI_DES_CREANCES[[#This Row],[NOMBRE ECHEANCE 3]])</f>
        <v/>
      </c>
      <c r="X14" s="159"/>
      <c r="Y14" s="144"/>
      <c r="Z14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4" s="151" t="str">
        <f>IF(SUIVI_DES_CREANCES[[#This Row],[NOMBRE ECHEANCE 4]]="","",SUIVI_DES_CREANCES[[#This Row],[MONTANT ECHEANCE 4]]*SUIVI_DES_CREANCES[[#This Row],[NOMBRE ECHEANCE 4]])</f>
        <v/>
      </c>
      <c r="AB14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4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4" s="159"/>
      <c r="AE14" s="160"/>
      <c r="AF14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4" s="151" t="str">
        <f>IF(SUIVI_DES_CREANCES[[#This Row],[NOMBRE ECHEANCE 5]]="","",SUIVI_DES_CREANCES[[#This Row],[MONTANT ECHEANCE 5]]*SUIVI_DES_CREANCES[[#This Row],[NOMBRE ECHEANCE 5]])</f>
        <v/>
      </c>
      <c r="AH14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4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4" s="159"/>
      <c r="AK14" s="160"/>
      <c r="AL14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4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4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4" s="97"/>
    </row>
    <row r="15" spans="1:41" s="98" customFormat="1" x14ac:dyDescent="0.25">
      <c r="A15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5</v>
      </c>
      <c r="B15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FACT-13</v>
      </c>
      <c r="C15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42292</v>
      </c>
      <c r="D15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42338</v>
      </c>
      <c r="E15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6719.25</v>
      </c>
      <c r="F15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93</v>
      </c>
      <c r="G15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108.48112328767122</v>
      </c>
      <c r="H15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6827.73</v>
      </c>
      <c r="I15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5" s="151" t="str">
        <f>IF(SUIVI_DES_CREANCES[[#This Row],[NOMBRE ECHEANCE 1]]="","",SUIVI_DES_CREANCES[[#This Row],[MONTANT ECHEANCE 1]]*SUIVI_DES_CREANCES[[#This Row],[NOMBRE ECHEANCE 1]])</f>
        <v/>
      </c>
      <c r="K15" s="151" t="str">
        <f>IF(SUIVI_DES_CREANCES[[#This Row],[NOMBRE ECHEANCE 1]]="","",(SUIVI_DES_CREANCES[[#This Row],[Montant TTC]]+SUIVI_DES_CREANCES[[#This Row],[Majoration]])/SUIVI_DES_CREANCES[[#This Row],[NOMBRE ECHEANCE 1]])</f>
        <v/>
      </c>
      <c r="L15" s="154"/>
      <c r="M15" s="155"/>
      <c r="N15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5" s="151" t="str">
        <f>IF(SUIVI_DES_CREANCES[[#This Row],[NOMBRE ECHEANCE 2]]="","",SUIVI_DES_CREANCES[[#This Row],[MONTANT ECHEANCE 2]]*SUIVI_DES_CREANCES[[#This Row],[NOMBRE ECHEANCE 2]])</f>
        <v/>
      </c>
      <c r="P15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5" s="158" t="str">
        <f>IF(SUIVI_DES_CREANCES[[#This Row],[NOMBRE ECHEANCE 2]]="","",(SUIVI_DES_CREANCES[[#This Row],[Montant TTC]]+SUIVI_DES_CREANCES[[#This Row],[Majoration]])/SUIVI_DES_CREANCES[[#This Row],[NOMBRE ECHEANCE 2]])</f>
        <v/>
      </c>
      <c r="R15" s="159"/>
      <c r="S15" s="160"/>
      <c r="T15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5" s="151" t="str">
        <f>IF(SUIVI_DES_CREANCES[[#This Row],[NOMBRE ECHEANCE 3]]="","",SUIVI_DES_CREANCES[[#This Row],[MONTANT ECHEANCE 3]]*SUIVI_DES_CREANCES[[#This Row],[NOMBRE ECHEANCE 3]])</f>
        <v/>
      </c>
      <c r="V15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5" s="151" t="str">
        <f>IF(SUIVI_DES_CREANCES[[#This Row],[NOMBRE ECHEANCE 3]]="","",(SUIVI_DES_CREANCES[[#This Row],[Montant TTC]]+SUIVI_DES_CREANCES[[#This Row],[Majoration]])/SUIVI_DES_CREANCES[[#This Row],[NOMBRE ECHEANCE 3]])</f>
        <v/>
      </c>
      <c r="X15" s="159"/>
      <c r="Y15" s="144"/>
      <c r="Z15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5" s="151" t="str">
        <f>IF(SUIVI_DES_CREANCES[[#This Row],[NOMBRE ECHEANCE 4]]="","",SUIVI_DES_CREANCES[[#This Row],[MONTANT ECHEANCE 4]]*SUIVI_DES_CREANCES[[#This Row],[NOMBRE ECHEANCE 4]])</f>
        <v/>
      </c>
      <c r="AB15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5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5" s="159"/>
      <c r="AE15" s="160"/>
      <c r="AF15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5" s="151" t="str">
        <f>IF(SUIVI_DES_CREANCES[[#This Row],[NOMBRE ECHEANCE 5]]="","",SUIVI_DES_CREANCES[[#This Row],[MONTANT ECHEANCE 5]]*SUIVI_DES_CREANCES[[#This Row],[NOMBRE ECHEANCE 5]])</f>
        <v/>
      </c>
      <c r="AH15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5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5" s="159"/>
      <c r="AK15" s="160"/>
      <c r="AL15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5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5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5" s="97"/>
    </row>
    <row r="16" spans="1:41" s="98" customFormat="1" x14ac:dyDescent="0.25">
      <c r="A16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6</v>
      </c>
      <c r="B16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FACT-14</v>
      </c>
      <c r="C16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42307</v>
      </c>
      <c r="D16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42338</v>
      </c>
      <c r="E16" s="151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6012.12</v>
      </c>
      <c r="F16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93</v>
      </c>
      <c r="G16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101.2742093150685</v>
      </c>
      <c r="H16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6113.39</v>
      </c>
      <c r="I16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6" s="151" t="str">
        <f>IF(SUIVI_DES_CREANCES[[#This Row],[NOMBRE ECHEANCE 1]]="","",SUIVI_DES_CREANCES[[#This Row],[MONTANT ECHEANCE 1]]*SUIVI_DES_CREANCES[[#This Row],[NOMBRE ECHEANCE 1]])</f>
        <v/>
      </c>
      <c r="K16" s="151" t="str">
        <f>IF(SUIVI_DES_CREANCES[[#This Row],[NOMBRE ECHEANCE 1]]="","",(SUIVI_DES_CREANCES[[#This Row],[Montant TTC]]+SUIVI_DES_CREANCES[[#This Row],[Majoration]])/SUIVI_DES_CREANCES[[#This Row],[NOMBRE ECHEANCE 1]])</f>
        <v/>
      </c>
      <c r="L16" s="154"/>
      <c r="M16" s="155"/>
      <c r="N16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6" s="151" t="str">
        <f>IF(SUIVI_DES_CREANCES[[#This Row],[NOMBRE ECHEANCE 2]]="","",SUIVI_DES_CREANCES[[#This Row],[MONTANT ECHEANCE 2]]*SUIVI_DES_CREANCES[[#This Row],[NOMBRE ECHEANCE 2]])</f>
        <v/>
      </c>
      <c r="P16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6" s="158" t="str">
        <f>IF(SUIVI_DES_CREANCES[[#This Row],[NOMBRE ECHEANCE 2]]="","",(SUIVI_DES_CREANCES[[#This Row],[Montant TTC]]+SUIVI_DES_CREANCES[[#This Row],[Majoration]])/SUIVI_DES_CREANCES[[#This Row],[NOMBRE ECHEANCE 2]])</f>
        <v/>
      </c>
      <c r="R16" s="159"/>
      <c r="S16" s="160"/>
      <c r="T16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6" s="151" t="str">
        <f>IF(SUIVI_DES_CREANCES[[#This Row],[NOMBRE ECHEANCE 3]]="","",SUIVI_DES_CREANCES[[#This Row],[MONTANT ECHEANCE 3]]*SUIVI_DES_CREANCES[[#This Row],[NOMBRE ECHEANCE 3]])</f>
        <v/>
      </c>
      <c r="V16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6" s="151" t="str">
        <f>IF(SUIVI_DES_CREANCES[[#This Row],[NOMBRE ECHEANCE 3]]="","",(SUIVI_DES_CREANCES[[#This Row],[Montant TTC]]+SUIVI_DES_CREANCES[[#This Row],[Majoration]])/SUIVI_DES_CREANCES[[#This Row],[NOMBRE ECHEANCE 3]])</f>
        <v/>
      </c>
      <c r="X16" s="159"/>
      <c r="Y16" s="144"/>
      <c r="Z16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6" s="151" t="str">
        <f>IF(SUIVI_DES_CREANCES[[#This Row],[NOMBRE ECHEANCE 4]]="","",SUIVI_DES_CREANCES[[#This Row],[MONTANT ECHEANCE 4]]*SUIVI_DES_CREANCES[[#This Row],[NOMBRE ECHEANCE 4]])</f>
        <v/>
      </c>
      <c r="AB16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6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6" s="159"/>
      <c r="AE16" s="160"/>
      <c r="AF16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6" s="151" t="str">
        <f>IF(SUIVI_DES_CREANCES[[#This Row],[NOMBRE ECHEANCE 5]]="","",SUIVI_DES_CREANCES[[#This Row],[MONTANT ECHEANCE 5]]*SUIVI_DES_CREANCES[[#This Row],[NOMBRE ECHEANCE 5]])</f>
        <v/>
      </c>
      <c r="AH16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6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6" s="159"/>
      <c r="AK16" s="160"/>
      <c r="AL16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6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6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6" s="97"/>
    </row>
    <row r="17" spans="1:41" s="98" customFormat="1" x14ac:dyDescent="0.25">
      <c r="A17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7</v>
      </c>
      <c r="B17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FACT-15</v>
      </c>
      <c r="C17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42309</v>
      </c>
      <c r="D17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42369</v>
      </c>
      <c r="E17" s="153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8621.9500000000007</v>
      </c>
      <c r="F17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62</v>
      </c>
      <c r="G17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7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8621.9500000000007</v>
      </c>
      <c r="I17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7" s="151" t="str">
        <f>IF(SUIVI_DES_CREANCES[[#This Row],[NOMBRE ECHEANCE 1]]="","",SUIVI_DES_CREANCES[[#This Row],[MONTANT ECHEANCE 1]]*SUIVI_DES_CREANCES[[#This Row],[NOMBRE ECHEANCE 1]])</f>
        <v/>
      </c>
      <c r="K17" s="151" t="str">
        <f>IF(SUIVI_DES_CREANCES[[#This Row],[NOMBRE ECHEANCE 1]]="","",(SUIVI_DES_CREANCES[[#This Row],[Montant TTC]]+SUIVI_DES_CREANCES[[#This Row],[Majoration]])/SUIVI_DES_CREANCES[[#This Row],[NOMBRE ECHEANCE 1]])</f>
        <v/>
      </c>
      <c r="L17" s="154"/>
      <c r="M17" s="155"/>
      <c r="N17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7" s="151" t="str">
        <f>IF(SUIVI_DES_CREANCES[[#This Row],[NOMBRE ECHEANCE 2]]="","",SUIVI_DES_CREANCES[[#This Row],[MONTANT ECHEANCE 2]]*SUIVI_DES_CREANCES[[#This Row],[NOMBRE ECHEANCE 2]])</f>
        <v/>
      </c>
      <c r="P17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7" s="158" t="str">
        <f>IF(SUIVI_DES_CREANCES[[#This Row],[NOMBRE ECHEANCE 2]]="","",(SUIVI_DES_CREANCES[[#This Row],[Montant TTC]]+SUIVI_DES_CREANCES[[#This Row],[Majoration]])/SUIVI_DES_CREANCES[[#This Row],[NOMBRE ECHEANCE 2]])</f>
        <v/>
      </c>
      <c r="R17" s="159"/>
      <c r="S17" s="160"/>
      <c r="T17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7" s="151" t="str">
        <f>IF(SUIVI_DES_CREANCES[[#This Row],[NOMBRE ECHEANCE 3]]="","",SUIVI_DES_CREANCES[[#This Row],[MONTANT ECHEANCE 3]]*SUIVI_DES_CREANCES[[#This Row],[NOMBRE ECHEANCE 3]])</f>
        <v/>
      </c>
      <c r="V17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7" s="151" t="str">
        <f>IF(SUIVI_DES_CREANCES[[#This Row],[NOMBRE ECHEANCE 3]]="","",(SUIVI_DES_CREANCES[[#This Row],[Montant TTC]]+SUIVI_DES_CREANCES[[#This Row],[Majoration]])/SUIVI_DES_CREANCES[[#This Row],[NOMBRE ECHEANCE 3]])</f>
        <v/>
      </c>
      <c r="X17" s="159"/>
      <c r="Y17" s="144"/>
      <c r="Z17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7" s="151" t="str">
        <f>IF(SUIVI_DES_CREANCES[[#This Row],[NOMBRE ECHEANCE 4]]="","",SUIVI_DES_CREANCES[[#This Row],[MONTANT ECHEANCE 4]]*SUIVI_DES_CREANCES[[#This Row],[NOMBRE ECHEANCE 4]])</f>
        <v/>
      </c>
      <c r="AB17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7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7" s="159"/>
      <c r="AE17" s="160"/>
      <c r="AF17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7" s="151" t="str">
        <f>IF(SUIVI_DES_CREANCES[[#This Row],[NOMBRE ECHEANCE 5]]="","",SUIVI_DES_CREANCES[[#This Row],[MONTANT ECHEANCE 5]]*SUIVI_DES_CREANCES[[#This Row],[NOMBRE ECHEANCE 5]])</f>
        <v/>
      </c>
      <c r="AH17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7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7" s="159"/>
      <c r="AK17" s="160"/>
      <c r="AL17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7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7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7" s="97"/>
    </row>
    <row r="18" spans="1:41" s="98" customFormat="1" x14ac:dyDescent="0.25">
      <c r="A18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8</v>
      </c>
      <c r="B18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FACT-16</v>
      </c>
      <c r="C18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42309</v>
      </c>
      <c r="D18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42369</v>
      </c>
      <c r="E18" s="153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8731.52</v>
      </c>
      <c r="F18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62</v>
      </c>
      <c r="G18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8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8731.52</v>
      </c>
      <c r="I18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8" s="151" t="str">
        <f>IF(SUIVI_DES_CREANCES[[#This Row],[NOMBRE ECHEANCE 1]]="","",SUIVI_DES_CREANCES[[#This Row],[MONTANT ECHEANCE 1]]*SUIVI_DES_CREANCES[[#This Row],[NOMBRE ECHEANCE 1]])</f>
        <v/>
      </c>
      <c r="K18" s="151" t="str">
        <f>IF(SUIVI_DES_CREANCES[[#This Row],[NOMBRE ECHEANCE 1]]="","",(SUIVI_DES_CREANCES[[#This Row],[Montant TTC]]+SUIVI_DES_CREANCES[[#This Row],[Majoration]])/SUIVI_DES_CREANCES[[#This Row],[NOMBRE ECHEANCE 1]])</f>
        <v/>
      </c>
      <c r="L18" s="154"/>
      <c r="M18" s="155"/>
      <c r="N18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8" s="151" t="str">
        <f>IF(SUIVI_DES_CREANCES[[#This Row],[NOMBRE ECHEANCE 2]]="","",SUIVI_DES_CREANCES[[#This Row],[MONTANT ECHEANCE 2]]*SUIVI_DES_CREANCES[[#This Row],[NOMBRE ECHEANCE 2]])</f>
        <v/>
      </c>
      <c r="P18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8" s="158" t="str">
        <f>IF(SUIVI_DES_CREANCES[[#This Row],[NOMBRE ECHEANCE 2]]="","",(SUIVI_DES_CREANCES[[#This Row],[Montant TTC]]+SUIVI_DES_CREANCES[[#This Row],[Majoration]])/SUIVI_DES_CREANCES[[#This Row],[NOMBRE ECHEANCE 2]])</f>
        <v/>
      </c>
      <c r="R18" s="159"/>
      <c r="S18" s="160"/>
      <c r="T18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8" s="151" t="str">
        <f>IF(SUIVI_DES_CREANCES[[#This Row],[NOMBRE ECHEANCE 3]]="","",SUIVI_DES_CREANCES[[#This Row],[MONTANT ECHEANCE 3]]*SUIVI_DES_CREANCES[[#This Row],[NOMBRE ECHEANCE 3]])</f>
        <v/>
      </c>
      <c r="V18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8" s="151" t="str">
        <f>IF(SUIVI_DES_CREANCES[[#This Row],[NOMBRE ECHEANCE 3]]="","",(SUIVI_DES_CREANCES[[#This Row],[Montant TTC]]+SUIVI_DES_CREANCES[[#This Row],[Majoration]])/SUIVI_DES_CREANCES[[#This Row],[NOMBRE ECHEANCE 3]])</f>
        <v/>
      </c>
      <c r="X18" s="159"/>
      <c r="Y18" s="144"/>
      <c r="Z18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8" s="151" t="str">
        <f>IF(SUIVI_DES_CREANCES[[#This Row],[NOMBRE ECHEANCE 4]]="","",SUIVI_DES_CREANCES[[#This Row],[MONTANT ECHEANCE 4]]*SUIVI_DES_CREANCES[[#This Row],[NOMBRE ECHEANCE 4]])</f>
        <v/>
      </c>
      <c r="AB18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8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8" s="159"/>
      <c r="AE18" s="160"/>
      <c r="AF18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8" s="151" t="str">
        <f>IF(SUIVI_DES_CREANCES[[#This Row],[NOMBRE ECHEANCE 5]]="","",SUIVI_DES_CREANCES[[#This Row],[MONTANT ECHEANCE 5]]*SUIVI_DES_CREANCES[[#This Row],[NOMBRE ECHEANCE 5]])</f>
        <v/>
      </c>
      <c r="AH18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8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8" s="159"/>
      <c r="AK18" s="160"/>
      <c r="AL18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8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8" s="165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8" s="97"/>
    </row>
    <row r="19" spans="1:41" s="98" customFormat="1" x14ac:dyDescent="0.25">
      <c r="A19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9</v>
      </c>
      <c r="B19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FACT-17</v>
      </c>
      <c r="C19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42338</v>
      </c>
      <c r="D19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42369</v>
      </c>
      <c r="E19" s="153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6805.38</v>
      </c>
      <c r="F19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62</v>
      </c>
      <c r="G19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9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6805.38</v>
      </c>
      <c r="I19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9" s="151" t="str">
        <f>IF(SUIVI_DES_CREANCES[[#This Row],[NOMBRE ECHEANCE 1]]="","",SUIVI_DES_CREANCES[[#This Row],[MONTANT ECHEANCE 1]]*SUIVI_DES_CREANCES[[#This Row],[NOMBRE ECHEANCE 1]])</f>
        <v/>
      </c>
      <c r="K19" s="151" t="str">
        <f>IF(SUIVI_DES_CREANCES[[#This Row],[NOMBRE ECHEANCE 1]]="","",(SUIVI_DES_CREANCES[[#This Row],[Montant TTC]]+SUIVI_DES_CREANCES[[#This Row],[Majoration]])/SUIVI_DES_CREANCES[[#This Row],[NOMBRE ECHEANCE 1]])</f>
        <v/>
      </c>
      <c r="L19" s="154"/>
      <c r="M19" s="155"/>
      <c r="N19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9" s="151" t="str">
        <f>IF(SUIVI_DES_CREANCES[[#This Row],[NOMBRE ECHEANCE 2]]="","",SUIVI_DES_CREANCES[[#This Row],[MONTANT ECHEANCE 2]]*SUIVI_DES_CREANCES[[#This Row],[NOMBRE ECHEANCE 2]])</f>
        <v/>
      </c>
      <c r="P19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9" s="158" t="str">
        <f>IF(SUIVI_DES_CREANCES[[#This Row],[NOMBRE ECHEANCE 2]]="","",(SUIVI_DES_CREANCES[[#This Row],[Montant TTC]]+SUIVI_DES_CREANCES[[#This Row],[Majoration]])/SUIVI_DES_CREANCES[[#This Row],[NOMBRE ECHEANCE 2]])</f>
        <v/>
      </c>
      <c r="R19" s="159"/>
      <c r="S19" s="160"/>
      <c r="T19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9" s="151" t="str">
        <f>IF(SUIVI_DES_CREANCES[[#This Row],[NOMBRE ECHEANCE 3]]="","",SUIVI_DES_CREANCES[[#This Row],[MONTANT ECHEANCE 3]]*SUIVI_DES_CREANCES[[#This Row],[NOMBRE ECHEANCE 3]])</f>
        <v/>
      </c>
      <c r="V19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9" s="151" t="str">
        <f>IF(SUIVI_DES_CREANCES[[#This Row],[NOMBRE ECHEANCE 3]]="","",(SUIVI_DES_CREANCES[[#This Row],[Montant TTC]]+SUIVI_DES_CREANCES[[#This Row],[Majoration]])/SUIVI_DES_CREANCES[[#This Row],[NOMBRE ECHEANCE 3]])</f>
        <v/>
      </c>
      <c r="X19" s="159"/>
      <c r="Y19" s="144"/>
      <c r="Z19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9" s="151" t="str">
        <f>IF(SUIVI_DES_CREANCES[[#This Row],[NOMBRE ECHEANCE 4]]="","",SUIVI_DES_CREANCES[[#This Row],[MONTANT ECHEANCE 4]]*SUIVI_DES_CREANCES[[#This Row],[NOMBRE ECHEANCE 4]])</f>
        <v/>
      </c>
      <c r="AB19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9" s="151" t="str">
        <f>IF(SUIVI_DES_CREANCES[[#This Row],[NOMBRE ECHEANCE 4]]="","",(SUIVI_DES_CREANCES[[#This Row],[Montant TTC]]+SUIVI_DES_CREANCES[[#This Row],[Majoration]])/SUIVI_DES_CREANCES[[#This Row],[NOMBRE ECHEANCE 4]])</f>
        <v/>
      </c>
      <c r="AD19" s="159"/>
      <c r="AE19" s="160"/>
      <c r="AF19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9" s="151" t="str">
        <f>IF(SUIVI_DES_CREANCES[[#This Row],[NOMBRE ECHEANCE 5]]="","",SUIVI_DES_CREANCES[[#This Row],[MONTANT ECHEANCE 5]]*SUIVI_DES_CREANCES[[#This Row],[NOMBRE ECHEANCE 5]])</f>
        <v/>
      </c>
      <c r="AH19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9" s="151" t="str">
        <f>IF(SUIVI_DES_CREANCES[[#This Row],[NOMBRE ECHEANCE 5]]="","",(SUIVI_DES_CREANCES[[#This Row],[Montant TTC]]+SUIVI_DES_CREANCES[[#This Row],[Majoration]])/SUIVI_DES_CREANCES[[#This Row],[NOMBRE ECHEANCE 5]])</f>
        <v/>
      </c>
      <c r="AJ19" s="159"/>
      <c r="AK19" s="160"/>
      <c r="AL19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9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19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19" s="97"/>
    </row>
    <row r="20" spans="1:41" s="98" customFormat="1" x14ac:dyDescent="0.25">
      <c r="A20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10</v>
      </c>
      <c r="B20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FACT-18</v>
      </c>
      <c r="C20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42343</v>
      </c>
      <c r="D20" s="15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42400</v>
      </c>
      <c r="E20" s="153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7465.23</v>
      </c>
      <c r="F20" s="152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31</v>
      </c>
      <c r="G20" s="153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20" s="151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7465.23</v>
      </c>
      <c r="I20" s="166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0" s="166" t="str">
        <f>IF(SUIVI_DES_CREANCES[[#This Row],[NOMBRE ECHEANCE 1]]="","",SUIVI_DES_CREANCES[[#This Row],[MONTANT ECHEANCE 1]]*SUIVI_DES_CREANCES[[#This Row],[NOMBRE ECHEANCE 1]])</f>
        <v/>
      </c>
      <c r="K20" s="151" t="str">
        <f>IF(SUIVI_DES_CREANCES[[#This Row],[NOMBRE ECHEANCE 1]]="","",(SUIVI_DES_CREANCES[[#This Row],[Montant TTC]]+SUIVI_DES_CREANCES[[#This Row],[Majoration]])/SUIVI_DES_CREANCES[[#This Row],[NOMBRE ECHEANCE 1]])</f>
        <v/>
      </c>
      <c r="L20" s="154"/>
      <c r="M20" s="167"/>
      <c r="N20" s="168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0" s="151" t="str">
        <f>IF(SUIVI_DES_CREANCES[[#This Row],[NOMBRE ECHEANCE 2]]="","",SUIVI_DES_CREANCES[[#This Row],[MONTANT ECHEANCE 2]]*SUIVI_DES_CREANCES[[#This Row],[NOMBRE ECHEANCE 2]])</f>
        <v/>
      </c>
      <c r="P20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0" s="158" t="str">
        <f>IF(SUIVI_DES_CREANCES[[#This Row],[NOMBRE ECHEANCE 2]]="","",(SUIVI_DES_CREANCES[[#This Row],[Montant TTC]]+SUIVI_DES_CREANCES[[#This Row],[Majoration]])/SUIVI_DES_CREANCES[[#This Row],[NOMBRE ECHEANCE 2]])</f>
        <v/>
      </c>
      <c r="R20" s="159"/>
      <c r="S20" s="160"/>
      <c r="T20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0" s="151" t="str">
        <f>IF(SUIVI_DES_CREANCES[[#This Row],[NOMBRE ECHEANCE 3]]="","",SUIVI_DES_CREANCES[[#This Row],[MONTANT ECHEANCE 3]]*SUIVI_DES_CREANCES[[#This Row],[NOMBRE ECHEANCE 3]])</f>
        <v/>
      </c>
      <c r="V20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0" s="151" t="str">
        <f>IF(SUIVI_DES_CREANCES[[#This Row],[NOMBRE ECHEANCE 3]]="","",(SUIVI_DES_CREANCES[[#This Row],[Montant TTC]]+SUIVI_DES_CREANCES[[#This Row],[Majoration]])/SUIVI_DES_CREANCES[[#This Row],[NOMBRE ECHEANCE 3]])</f>
        <v/>
      </c>
      <c r="X20" s="159"/>
      <c r="Y20" s="144"/>
      <c r="Z20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0" s="151" t="str">
        <f>IF(SUIVI_DES_CREANCES[[#This Row],[NOMBRE ECHEANCE 4]]="","",SUIVI_DES_CREANCES[[#This Row],[MONTANT ECHEANCE 4]]*SUIVI_DES_CREANCES[[#This Row],[NOMBRE ECHEANCE 4]])</f>
        <v/>
      </c>
      <c r="AB20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0" s="151" t="str">
        <f>IF(SUIVI_DES_CREANCES[[#This Row],[NOMBRE ECHEANCE 4]]="","",(SUIVI_DES_CREANCES[[#This Row],[Montant TTC]]+SUIVI_DES_CREANCES[[#This Row],[Majoration]])/SUIVI_DES_CREANCES[[#This Row],[NOMBRE ECHEANCE 4]])</f>
        <v/>
      </c>
      <c r="AD20" s="159"/>
      <c r="AE20" s="160"/>
      <c r="AF20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0" s="151" t="str">
        <f>IF(SUIVI_DES_CREANCES[[#This Row],[NOMBRE ECHEANCE 5]]="","",SUIVI_DES_CREANCES[[#This Row],[MONTANT ECHEANCE 5]]*SUIVI_DES_CREANCES[[#This Row],[NOMBRE ECHEANCE 5]])</f>
        <v/>
      </c>
      <c r="AH20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0" s="151" t="str">
        <f>IF(SUIVI_DES_CREANCES[[#This Row],[NOMBRE ECHEANCE 5]]="","",(SUIVI_DES_CREANCES[[#This Row],[Montant TTC]]+SUIVI_DES_CREANCES[[#This Row],[Majoration]])/SUIVI_DES_CREANCES[[#This Row],[NOMBRE ECHEANCE 5]])</f>
        <v/>
      </c>
      <c r="AJ20" s="159"/>
      <c r="AK20" s="160"/>
      <c r="AL20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0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20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20" s="97"/>
    </row>
    <row r="21" spans="1:41" s="98" customFormat="1" x14ac:dyDescent="0.25">
      <c r="A21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1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1" s="15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1" s="15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1" s="153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1" s="15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1" s="153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1" s="151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1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1" s="151" t="str">
        <f>IF(SUIVI_DES_CREANCES[[#This Row],[NOMBRE ECHEANCE 1]]="","",SUIVI_DES_CREANCES[[#This Row],[MONTANT ECHEANCE 1]]*SUIVI_DES_CREANCES[[#This Row],[NOMBRE ECHEANCE 1]])</f>
        <v/>
      </c>
      <c r="K21" s="151" t="str">
        <f>IF(SUIVI_DES_CREANCES[[#This Row],[NOMBRE ECHEANCE 1]]="","",(SUIVI_DES_CREANCES[[#This Row],[Montant TTC]]+SUIVI_DES_CREANCES[[#This Row],[Majoration]])/SUIVI_DES_CREANCES[[#This Row],[NOMBRE ECHEANCE 1]])</f>
        <v/>
      </c>
      <c r="L21" s="154"/>
      <c r="M21" s="155"/>
      <c r="N21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1" s="151" t="str">
        <f>IF(SUIVI_DES_CREANCES[[#This Row],[NOMBRE ECHEANCE 2]]="","",SUIVI_DES_CREANCES[[#This Row],[MONTANT ECHEANCE 2]]*SUIVI_DES_CREANCES[[#This Row],[NOMBRE ECHEANCE 2]])</f>
        <v/>
      </c>
      <c r="P21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1" s="158" t="str">
        <f>IF(SUIVI_DES_CREANCES[[#This Row],[NOMBRE ECHEANCE 2]]="","",(SUIVI_DES_CREANCES[[#This Row],[Montant TTC]]+SUIVI_DES_CREANCES[[#This Row],[Majoration]])/SUIVI_DES_CREANCES[[#This Row],[NOMBRE ECHEANCE 2]])</f>
        <v/>
      </c>
      <c r="R21" s="159"/>
      <c r="S21" s="160"/>
      <c r="T21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1" s="151" t="str">
        <f>IF(SUIVI_DES_CREANCES[[#This Row],[NOMBRE ECHEANCE 3]]="","",SUIVI_DES_CREANCES[[#This Row],[MONTANT ECHEANCE 3]]*SUIVI_DES_CREANCES[[#This Row],[NOMBRE ECHEANCE 3]])</f>
        <v/>
      </c>
      <c r="V21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1" s="151" t="str">
        <f>IF(SUIVI_DES_CREANCES[[#This Row],[NOMBRE ECHEANCE 3]]="","",(SUIVI_DES_CREANCES[[#This Row],[Montant TTC]]+SUIVI_DES_CREANCES[[#This Row],[Majoration]])/SUIVI_DES_CREANCES[[#This Row],[NOMBRE ECHEANCE 3]])</f>
        <v/>
      </c>
      <c r="X21" s="159"/>
      <c r="Y21" s="144"/>
      <c r="Z21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1" s="151" t="str">
        <f>IF(SUIVI_DES_CREANCES[[#This Row],[NOMBRE ECHEANCE 4]]="","",SUIVI_DES_CREANCES[[#This Row],[MONTANT ECHEANCE 4]]*SUIVI_DES_CREANCES[[#This Row],[NOMBRE ECHEANCE 4]])</f>
        <v/>
      </c>
      <c r="AB21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1" s="151" t="str">
        <f>IF(SUIVI_DES_CREANCES[[#This Row],[NOMBRE ECHEANCE 4]]="","",(SUIVI_DES_CREANCES[[#This Row],[Montant TTC]]+SUIVI_DES_CREANCES[[#This Row],[Majoration]])/SUIVI_DES_CREANCES[[#This Row],[NOMBRE ECHEANCE 4]])</f>
        <v/>
      </c>
      <c r="AD21" s="159"/>
      <c r="AE21" s="160"/>
      <c r="AF21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1" s="151" t="str">
        <f>IF(SUIVI_DES_CREANCES[[#This Row],[NOMBRE ECHEANCE 5]]="","",SUIVI_DES_CREANCES[[#This Row],[MONTANT ECHEANCE 5]]*SUIVI_DES_CREANCES[[#This Row],[NOMBRE ECHEANCE 5]])</f>
        <v/>
      </c>
      <c r="AH21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1" s="151" t="str">
        <f>IF(SUIVI_DES_CREANCES[[#This Row],[NOMBRE ECHEANCE 5]]="","",(SUIVI_DES_CREANCES[[#This Row],[Montant TTC]]+SUIVI_DES_CREANCES[[#This Row],[Majoration]])/SUIVI_DES_CREANCES[[#This Row],[NOMBRE ECHEANCE 5]])</f>
        <v/>
      </c>
      <c r="AJ21" s="159"/>
      <c r="AK21" s="160"/>
      <c r="AL21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1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21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21" s="97"/>
    </row>
    <row r="22" spans="1:41" s="98" customFormat="1" x14ac:dyDescent="0.25">
      <c r="A22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2" s="164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2" s="15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2" s="15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2" s="151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2" s="15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2" s="153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2" s="151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2" s="151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2" s="151" t="str">
        <f>IF(SUIVI_DES_CREANCES[[#This Row],[NOMBRE ECHEANCE 1]]="","",SUIVI_DES_CREANCES[[#This Row],[MONTANT ECHEANCE 1]]*SUIVI_DES_CREANCES[[#This Row],[NOMBRE ECHEANCE 1]])</f>
        <v/>
      </c>
      <c r="K22" s="151" t="str">
        <f>IF(SUIVI_DES_CREANCES[[#This Row],[NOMBRE ECHEANCE 1]]="","",(SUIVI_DES_CREANCES[[#This Row],[Montant TTC]]+SUIVI_DES_CREANCES[[#This Row],[Majoration]])/SUIVI_DES_CREANCES[[#This Row],[NOMBRE ECHEANCE 1]])</f>
        <v/>
      </c>
      <c r="L22" s="154"/>
      <c r="M22" s="155"/>
      <c r="N22" s="156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2" s="151" t="str">
        <f>IF(SUIVI_DES_CREANCES[[#This Row],[NOMBRE ECHEANCE 2]]="","",SUIVI_DES_CREANCES[[#This Row],[MONTANT ECHEANCE 2]]*SUIVI_DES_CREANCES[[#This Row],[NOMBRE ECHEANCE 2]])</f>
        <v/>
      </c>
      <c r="P22" s="157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2" s="158" t="str">
        <f>IF(SUIVI_DES_CREANCES[[#This Row],[NOMBRE ECHEANCE 2]]="","",(SUIVI_DES_CREANCES[[#This Row],[Montant TTC]]+SUIVI_DES_CREANCES[[#This Row],[Majoration]])/SUIVI_DES_CREANCES[[#This Row],[NOMBRE ECHEANCE 2]])</f>
        <v/>
      </c>
      <c r="R22" s="159"/>
      <c r="S22" s="160"/>
      <c r="T22" s="150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2" s="151" t="str">
        <f>IF(SUIVI_DES_CREANCES[[#This Row],[NOMBRE ECHEANCE 3]]="","",SUIVI_DES_CREANCES[[#This Row],[MONTANT ECHEANCE 3]]*SUIVI_DES_CREANCES[[#This Row],[NOMBRE ECHEANCE 3]])</f>
        <v/>
      </c>
      <c r="V22" s="161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2" s="151" t="str">
        <f>IF(SUIVI_DES_CREANCES[[#This Row],[NOMBRE ECHEANCE 3]]="","",(SUIVI_DES_CREANCES[[#This Row],[Montant TTC]]+SUIVI_DES_CREANCES[[#This Row],[Majoration]])/SUIVI_DES_CREANCES[[#This Row],[NOMBRE ECHEANCE 3]])</f>
        <v/>
      </c>
      <c r="X22" s="159"/>
      <c r="Y22" s="144"/>
      <c r="Z22" s="150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2" s="151" t="str">
        <f>IF(SUIVI_DES_CREANCES[[#This Row],[NOMBRE ECHEANCE 4]]="","",SUIVI_DES_CREANCES[[#This Row],[MONTANT ECHEANCE 4]]*SUIVI_DES_CREANCES[[#This Row],[NOMBRE ECHEANCE 4]])</f>
        <v/>
      </c>
      <c r="AB22" s="162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2" s="151" t="str">
        <f>IF(SUIVI_DES_CREANCES[[#This Row],[NOMBRE ECHEANCE 4]]="","",(SUIVI_DES_CREANCES[[#This Row],[Montant TTC]]+SUIVI_DES_CREANCES[[#This Row],[Majoration]])/SUIVI_DES_CREANCES[[#This Row],[NOMBRE ECHEANCE 4]])</f>
        <v/>
      </c>
      <c r="AD22" s="159"/>
      <c r="AE22" s="160"/>
      <c r="AF22" s="150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2" s="151" t="str">
        <f>IF(SUIVI_DES_CREANCES[[#This Row],[NOMBRE ECHEANCE 5]]="","",SUIVI_DES_CREANCES[[#This Row],[MONTANT ECHEANCE 5]]*SUIVI_DES_CREANCES[[#This Row],[NOMBRE ECHEANCE 5]])</f>
        <v/>
      </c>
      <c r="AH22" s="162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2" s="151" t="str">
        <f>IF(SUIVI_DES_CREANCES[[#This Row],[NOMBRE ECHEANCE 5]]="","",(SUIVI_DES_CREANCES[[#This Row],[Montant TTC]]+SUIVI_DES_CREANCES[[#This Row],[Majoration]])/SUIVI_DES_CREANCES[[#This Row],[NOMBRE ECHEANCE 5]])</f>
        <v/>
      </c>
      <c r="AJ22" s="159"/>
      <c r="AK22" s="160"/>
      <c r="AL22" s="150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2" s="153" t="str">
        <f>IF(AND(SUIVI_DES_CREANCES[[#This Row],[NOMBRE ECHEANCE 5]]="",SUIVI_DES_CREANCES[[#This Row],[NOMBRE ECHEANCE 4]]="",SUIVI_DES_CREANCES[[#This Row],[NOMBRE ECHEANCE 3]]="",SUIVI_DES_CREANCES[[#This Row],[NOMBRE ECHEANCE 2]]="",SUIVI_DES_CREANCES[[#This Row],[NOMBRE ECHEANCE 1]]=""),"",(SUM(SUIVI_DES_CREANCES[[#This Row],[MONTANT ECHEANCE 5]],SUIVI_DES_CREANCES[[#This Row],[MONTANT ECHEANCE 4]],SUIVI_DES_CREANCES[[#This Row],[MONTANT ECHEANCE 3]],SUIVI_DES_CREANCES[[#This Row],[MONTANT ECHEANCE 2]],SUIVI_DES_CREANCES[[#This Row],[MONTANT ECHEANCE 1]])))</f>
        <v/>
      </c>
      <c r="AN22" s="163" t="str">
        <f>IF(SUIVI_DES_CREANCES[[#This Row],[TOTAL MENUEL]]="","",IF(MAX(SUIVI_DES_CREANCES[[#This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1]])))</f>
        <v/>
      </c>
      <c r="AO22" s="97"/>
    </row>
    <row r="23" spans="1:41" x14ac:dyDescent="0.25">
      <c r="A23" s="80"/>
      <c r="B23" s="80"/>
      <c r="C23" s="81"/>
      <c r="D23" s="81"/>
      <c r="E23" s="82"/>
      <c r="F23" s="83"/>
      <c r="G23" s="233"/>
      <c r="H23" s="233"/>
      <c r="I23" s="233"/>
      <c r="J23" s="99"/>
      <c r="K23" s="99"/>
      <c r="L23" s="100"/>
      <c r="M23" s="101"/>
      <c r="N23" s="102"/>
      <c r="O23" s="82"/>
      <c r="P23" s="88"/>
      <c r="Q23" s="89"/>
      <c r="R23" s="90"/>
      <c r="S23" s="91"/>
      <c r="T23" s="81"/>
      <c r="U23" s="82"/>
      <c r="V23" s="92"/>
      <c r="W23" s="82"/>
      <c r="X23" s="90"/>
      <c r="Y23" s="91"/>
      <c r="Z23" s="80"/>
      <c r="AA23" s="82"/>
      <c r="AB23" s="93"/>
      <c r="AC23" s="82"/>
      <c r="AD23" s="90"/>
      <c r="AE23" s="91"/>
      <c r="AF23" s="81"/>
      <c r="AG23" s="82"/>
      <c r="AH23" s="93"/>
      <c r="AI23" s="82"/>
      <c r="AJ23" s="90"/>
      <c r="AK23" s="91"/>
      <c r="AL23" s="81"/>
      <c r="AM23" s="84"/>
      <c r="AN23" s="94"/>
      <c r="AO23" s="80"/>
    </row>
    <row r="24" spans="1:41" x14ac:dyDescent="0.25">
      <c r="A24" s="80"/>
      <c r="B24" s="80"/>
      <c r="C24" s="81"/>
      <c r="D24" s="81"/>
      <c r="E24" s="82"/>
      <c r="F24" s="83"/>
      <c r="G24" s="103"/>
      <c r="H24" s="103"/>
      <c r="I24" s="103"/>
      <c r="J24" s="103"/>
      <c r="K24" s="103"/>
      <c r="L24" s="104"/>
      <c r="M24" s="105"/>
      <c r="N24" s="106"/>
      <c r="O24" s="82"/>
      <c r="P24" s="88"/>
      <c r="Q24" s="89"/>
      <c r="R24" s="90"/>
      <c r="S24" s="91"/>
      <c r="T24" s="81"/>
      <c r="U24" s="82"/>
      <c r="V24" s="92"/>
      <c r="W24" s="82"/>
      <c r="X24" s="90"/>
      <c r="Y24" s="91"/>
      <c r="Z24" s="80"/>
      <c r="AA24" s="82"/>
      <c r="AB24" s="93"/>
      <c r="AC24" s="82"/>
      <c r="AD24" s="90"/>
      <c r="AE24" s="91"/>
      <c r="AF24" s="81"/>
      <c r="AG24" s="82"/>
      <c r="AH24" s="93"/>
      <c r="AI24" s="82"/>
      <c r="AJ24" s="90"/>
      <c r="AK24" s="91"/>
      <c r="AL24" s="81"/>
      <c r="AM24" s="84"/>
      <c r="AN24" s="94"/>
      <c r="AO24" s="80"/>
    </row>
    <row r="25" spans="1:41" x14ac:dyDescent="0.25">
      <c r="A25" s="80"/>
      <c r="B25" s="80"/>
      <c r="C25" s="81"/>
      <c r="D25" s="81"/>
      <c r="E25" s="82"/>
      <c r="F25" s="83"/>
      <c r="G25" s="103"/>
      <c r="H25" s="107"/>
      <c r="I25" s="103"/>
      <c r="J25" s="103"/>
      <c r="K25" s="103"/>
      <c r="L25" s="104"/>
      <c r="M25" s="105"/>
      <c r="N25" s="106"/>
      <c r="O25" s="82"/>
      <c r="P25" s="88"/>
      <c r="Q25" s="89"/>
      <c r="R25" s="90"/>
      <c r="S25" s="91"/>
      <c r="T25" s="81"/>
      <c r="U25" s="82"/>
      <c r="V25" s="92"/>
      <c r="W25" s="82"/>
      <c r="X25" s="90"/>
      <c r="Y25" s="91"/>
      <c r="Z25" s="80"/>
      <c r="AA25" s="82"/>
      <c r="AB25" s="93"/>
      <c r="AC25" s="82"/>
      <c r="AD25" s="90"/>
      <c r="AE25" s="91"/>
      <c r="AF25" s="81"/>
      <c r="AG25" s="82"/>
      <c r="AH25" s="93"/>
      <c r="AI25" s="82"/>
      <c r="AJ25" s="90"/>
      <c r="AK25" s="91"/>
      <c r="AL25" s="81"/>
      <c r="AM25" s="84"/>
      <c r="AN25" s="94"/>
      <c r="AO25" s="80"/>
    </row>
    <row r="26" spans="1:41" x14ac:dyDescent="0.25">
      <c r="A26" s="80"/>
      <c r="B26" s="80"/>
      <c r="C26" s="81"/>
      <c r="D26" s="81"/>
      <c r="E26" s="82"/>
      <c r="F26" s="83"/>
      <c r="G26" s="103"/>
      <c r="H26" s="103"/>
      <c r="I26" s="103"/>
      <c r="J26" s="103"/>
      <c r="K26" s="103"/>
      <c r="L26" s="104"/>
      <c r="M26" s="105"/>
      <c r="N26" s="106"/>
      <c r="O26" s="82"/>
      <c r="P26" s="88"/>
      <c r="Q26" s="89"/>
      <c r="R26" s="90"/>
      <c r="S26" s="91"/>
      <c r="T26" s="81"/>
      <c r="U26" s="82"/>
      <c r="V26" s="92"/>
      <c r="W26" s="82"/>
      <c r="X26" s="90"/>
      <c r="Y26" s="91"/>
      <c r="Z26" s="80"/>
      <c r="AA26" s="82"/>
      <c r="AB26" s="93"/>
      <c r="AC26" s="82"/>
      <c r="AD26" s="90"/>
      <c r="AE26" s="91"/>
      <c r="AF26" s="81"/>
      <c r="AG26" s="82"/>
      <c r="AH26" s="93"/>
      <c r="AI26" s="82"/>
      <c r="AJ26" s="90"/>
      <c r="AK26" s="91"/>
      <c r="AL26" s="81"/>
      <c r="AM26" s="84"/>
      <c r="AN26" s="94"/>
      <c r="AO26" s="80"/>
    </row>
    <row r="27" spans="1:41" x14ac:dyDescent="0.25">
      <c r="A27" s="80"/>
      <c r="B27" s="80"/>
      <c r="C27" s="81"/>
      <c r="D27" s="81"/>
      <c r="E27" s="82"/>
      <c r="F27" s="83"/>
      <c r="G27" s="103"/>
      <c r="H27" s="103"/>
      <c r="I27" s="103"/>
      <c r="J27" s="103"/>
      <c r="K27" s="103"/>
      <c r="L27" s="104"/>
      <c r="M27" s="105"/>
      <c r="N27" s="106"/>
      <c r="O27" s="82"/>
      <c r="P27" s="88"/>
      <c r="Q27" s="89"/>
      <c r="R27" s="90"/>
      <c r="S27" s="91"/>
      <c r="T27" s="81"/>
      <c r="U27" s="82"/>
      <c r="V27" s="92"/>
      <c r="W27" s="82"/>
      <c r="X27" s="90"/>
      <c r="Y27" s="91"/>
      <c r="Z27" s="80"/>
      <c r="AA27" s="82"/>
      <c r="AB27" s="93"/>
      <c r="AC27" s="82"/>
      <c r="AD27" s="90"/>
      <c r="AE27" s="91"/>
      <c r="AF27" s="81"/>
      <c r="AG27" s="82"/>
      <c r="AH27" s="93"/>
      <c r="AI27" s="82"/>
      <c r="AJ27" s="90"/>
      <c r="AK27" s="91"/>
      <c r="AL27" s="81"/>
      <c r="AM27" s="84"/>
      <c r="AN27" s="94"/>
      <c r="AO27" s="80"/>
    </row>
    <row r="28" spans="1:41" x14ac:dyDescent="0.25">
      <c r="A28" s="80"/>
      <c r="B28" s="80"/>
      <c r="C28" s="81"/>
      <c r="D28" s="81"/>
      <c r="E28" s="82"/>
      <c r="F28" s="83"/>
      <c r="G28" s="103"/>
      <c r="H28" s="103"/>
      <c r="I28" s="103"/>
      <c r="J28" s="103"/>
      <c r="K28" s="103"/>
      <c r="L28" s="104"/>
      <c r="M28" s="105"/>
      <c r="N28" s="106"/>
      <c r="O28" s="82"/>
      <c r="P28" s="88"/>
      <c r="Q28" s="89"/>
      <c r="R28" s="90"/>
      <c r="S28" s="91"/>
      <c r="T28" s="81"/>
      <c r="U28" s="82"/>
      <c r="V28" s="92"/>
      <c r="W28" s="82"/>
      <c r="X28" s="90"/>
      <c r="Y28" s="91"/>
      <c r="Z28" s="80"/>
      <c r="AA28" s="82"/>
      <c r="AB28" s="93"/>
      <c r="AC28" s="82"/>
      <c r="AD28" s="90"/>
      <c r="AE28" s="91"/>
      <c r="AF28" s="81"/>
      <c r="AG28" s="82"/>
      <c r="AH28" s="93"/>
      <c r="AI28" s="82"/>
      <c r="AJ28" s="90"/>
      <c r="AK28" s="91"/>
      <c r="AL28" s="81"/>
      <c r="AM28" s="84"/>
      <c r="AN28" s="94"/>
      <c r="AO28" s="80"/>
    </row>
    <row r="29" spans="1:41" x14ac:dyDescent="0.25">
      <c r="A29" s="80"/>
      <c r="B29" s="80"/>
      <c r="C29" s="81"/>
      <c r="D29" s="81"/>
      <c r="E29" s="82"/>
      <c r="F29" s="83"/>
      <c r="G29" s="103"/>
      <c r="H29" s="103"/>
      <c r="I29" s="103"/>
      <c r="J29" s="103"/>
      <c r="K29" s="103"/>
      <c r="L29" s="104"/>
      <c r="M29" s="105"/>
      <c r="N29" s="106"/>
      <c r="O29" s="82"/>
      <c r="P29" s="88"/>
      <c r="Q29" s="89"/>
      <c r="R29" s="90"/>
      <c r="S29" s="91"/>
      <c r="T29" s="81"/>
      <c r="U29" s="82"/>
      <c r="V29" s="92"/>
      <c r="W29" s="82"/>
      <c r="X29" s="90"/>
      <c r="Y29" s="91"/>
      <c r="Z29" s="80"/>
      <c r="AA29" s="82"/>
      <c r="AB29" s="93"/>
      <c r="AC29" s="82"/>
      <c r="AD29" s="90"/>
      <c r="AE29" s="91"/>
      <c r="AF29" s="81"/>
      <c r="AG29" s="82"/>
      <c r="AH29" s="93"/>
      <c r="AI29" s="82"/>
      <c r="AJ29" s="90"/>
      <c r="AK29" s="91"/>
      <c r="AL29" s="81"/>
      <c r="AM29" s="84"/>
      <c r="AN29" s="94"/>
      <c r="AO29" s="80"/>
    </row>
    <row r="30" spans="1:41" x14ac:dyDescent="0.25">
      <c r="A30" s="80"/>
      <c r="B30" s="80"/>
      <c r="C30" s="81"/>
      <c r="D30" s="81"/>
      <c r="E30" s="82"/>
      <c r="F30" s="83"/>
      <c r="G30" s="82"/>
      <c r="H30" s="82"/>
      <c r="I30" s="82"/>
      <c r="J30" s="82"/>
      <c r="K30" s="82"/>
      <c r="L30" s="85"/>
      <c r="M30" s="86"/>
      <c r="N30" s="87"/>
      <c r="O30" s="82"/>
      <c r="P30" s="88"/>
      <c r="Q30" s="89"/>
      <c r="R30" s="90"/>
      <c r="S30" s="91"/>
      <c r="T30" s="81"/>
      <c r="U30" s="82"/>
      <c r="V30" s="76"/>
      <c r="W30" s="82"/>
      <c r="X30" s="90"/>
      <c r="Y30" s="91"/>
      <c r="Z30" s="80"/>
      <c r="AA30" s="82"/>
      <c r="AB30" s="93"/>
      <c r="AC30" s="82"/>
      <c r="AD30" s="90"/>
      <c r="AE30" s="91"/>
      <c r="AF30" s="81"/>
      <c r="AG30" s="82"/>
      <c r="AH30" s="93"/>
      <c r="AI30" s="82"/>
      <c r="AJ30" s="90"/>
      <c r="AK30" s="91"/>
      <c r="AL30" s="81"/>
      <c r="AM30" s="84"/>
      <c r="AN30" s="94"/>
      <c r="AO30" s="80"/>
    </row>
    <row r="31" spans="1:41" x14ac:dyDescent="0.25">
      <c r="A31" s="80"/>
      <c r="B31" s="80"/>
      <c r="C31" s="81"/>
      <c r="D31" s="81"/>
      <c r="E31" s="82"/>
      <c r="F31" s="83"/>
      <c r="G31" s="82"/>
      <c r="H31" s="82"/>
      <c r="I31" s="82"/>
      <c r="J31" s="82"/>
      <c r="K31" s="82"/>
      <c r="L31" s="85"/>
      <c r="M31" s="86"/>
      <c r="N31" s="87"/>
      <c r="O31" s="82"/>
      <c r="P31" s="88"/>
      <c r="Q31" s="89"/>
      <c r="R31" s="90"/>
      <c r="S31" s="91"/>
      <c r="T31" s="81"/>
      <c r="U31" s="82"/>
      <c r="V31" s="76"/>
      <c r="W31" s="82"/>
      <c r="X31" s="90"/>
      <c r="Y31" s="91"/>
      <c r="Z31" s="80"/>
      <c r="AA31" s="82"/>
      <c r="AB31" s="93"/>
      <c r="AC31" s="82"/>
      <c r="AD31" s="90"/>
      <c r="AE31" s="91"/>
      <c r="AF31" s="81"/>
      <c r="AG31" s="82"/>
      <c r="AH31" s="93"/>
      <c r="AI31" s="82"/>
      <c r="AJ31" s="90"/>
      <c r="AK31" s="91"/>
      <c r="AL31" s="81"/>
      <c r="AM31" s="84"/>
      <c r="AN31" s="94"/>
      <c r="AO31" s="80"/>
    </row>
    <row r="32" spans="1:41" x14ac:dyDescent="0.25">
      <c r="G32" s="67"/>
      <c r="H32" s="109"/>
      <c r="V32" s="76"/>
    </row>
    <row r="33" spans="7:7" s="76" customFormat="1" x14ac:dyDescent="0.25">
      <c r="G33" s="67"/>
    </row>
    <row r="34" spans="7:7" s="76" customFormat="1" x14ac:dyDescent="0.25">
      <c r="G34" s="67"/>
    </row>
    <row r="35" spans="7:7" s="76" customFormat="1" x14ac:dyDescent="0.25">
      <c r="G35" s="67"/>
    </row>
    <row r="36" spans="7:7" s="76" customFormat="1" ht="15" customHeight="1" x14ac:dyDescent="0.25">
      <c r="G36" s="78"/>
    </row>
  </sheetData>
  <mergeCells count="2">
    <mergeCell ref="G23:I23"/>
    <mergeCell ref="F1:J1"/>
  </mergeCells>
  <conditionalFormatting sqref="F1:J1">
    <cfRule type="colorScale" priority="12">
      <colorScale>
        <cfvo type="num" val="0"/>
        <cfvo type="num" val="1"/>
        <color rgb="FFFF0000"/>
        <color rgb="FF00FF00"/>
      </colorScale>
    </cfRule>
    <cfRule type="dataBar" priority="13">
      <dataBar showValue="0">
        <cfvo type="num" val="0"/>
        <cfvo type="num" val="1"/>
        <color rgb="FF00FF00"/>
      </dataBar>
      <extLst>
        <ext xmlns:x14="http://schemas.microsoft.com/office/spreadsheetml/2009/9/main" uri="{B025F937-C7B1-47D3-B67F-A62EFF666E3E}">
          <x14:id>{AB614EEE-3ECA-4D2E-8325-E794490B817F}</x14:id>
        </ext>
      </extLst>
    </cfRule>
  </conditionalFormatting>
  <conditionalFormatting sqref="AM5:AM99999">
    <cfRule type="notContainsBlanks" dxfId="50" priority="11">
      <formula>LEN(TRIM(AM5))&gt;0</formula>
    </cfRule>
  </conditionalFormatting>
  <conditionalFormatting sqref="AG5:AG99999">
    <cfRule type="notContainsBlanks" dxfId="49" priority="17">
      <formula>LEN(TRIM(AG5))&gt;0</formula>
    </cfRule>
  </conditionalFormatting>
  <conditionalFormatting sqref="AA5:AA99999">
    <cfRule type="notContainsBlanks" dxfId="48" priority="15">
      <formula>LEN(TRIM(AA5))&gt;0</formula>
    </cfRule>
  </conditionalFormatting>
  <conditionalFormatting sqref="U5:U99999">
    <cfRule type="notContainsBlanks" dxfId="47" priority="19">
      <formula>LEN(TRIM(U5))&gt;0</formula>
    </cfRule>
  </conditionalFormatting>
  <conditionalFormatting sqref="O8">
    <cfRule type="notContainsBlanks" dxfId="46" priority="16">
      <formula>LEN(TRIM(O8))&gt;0</formula>
    </cfRule>
  </conditionalFormatting>
  <conditionalFormatting sqref="J5:J99999">
    <cfRule type="notContainsBlanks" dxfId="45" priority="6">
      <formula>LEN(TRIM(J5))&gt;0</formula>
    </cfRule>
  </conditionalFormatting>
  <conditionalFormatting sqref="AN5:AN22">
    <cfRule type="cellIs" dxfId="44" priority="3" operator="greaterThan">
      <formula>$B$1</formula>
    </cfRule>
    <cfRule type="containsBlanks" priority="2" stopIfTrue="1">
      <formula>LEN(TRIM(AN5))=0</formula>
    </cfRule>
    <cfRule type="cellIs" dxfId="43" priority="1" operator="lessThan">
      <formula>$B$1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3793" r:id="rId4" name="CheckBox1">
          <controlPr defaultSize="0" autoLine="0" r:id="rId5">
            <anchor moveWithCells="1">
              <from>
                <xdr:col>5</xdr:col>
                <xdr:colOff>47625</xdr:colOff>
                <xdr:row>1</xdr:row>
                <xdr:rowOff>171450</xdr:rowOff>
              </from>
              <to>
                <xdr:col>6</xdr:col>
                <xdr:colOff>257175</xdr:colOff>
                <xdr:row>2</xdr:row>
                <xdr:rowOff>123825</xdr:rowOff>
              </to>
            </anchor>
          </controlPr>
        </control>
      </mc:Choice>
      <mc:Fallback>
        <control shapeId="33793" r:id="rId4" name="Check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614EEE-3ECA-4D2E-8325-E794490B817F}">
            <x14:dataBar minLength="0" maxLength="100" border="1" gradient="0" negativeBarBorderColorSameAsPositive="0">
              <x14:cfvo type="num">
                <xm:f>0</xm:f>
              </x14:cfvo>
              <x14:cfvo type="num">
                <xm:f>1</xm:f>
              </x14:cfvo>
              <x14:borderColor theme="1"/>
              <x14:negativeFillColor rgb="FFFF0000"/>
              <x14:negativeBorderColor rgb="FFFF0000"/>
              <x14:axisColor rgb="FF000000"/>
            </x14:dataBar>
          </x14:cfRule>
          <xm:sqref>F1:J1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SUIVI FACTURES</vt:lpstr>
      <vt:lpstr>SUIVI DES CREANCES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 Comptabilté</dc:title>
  <dc:creator>Laurent Mignot</dc:creator>
  <cp:keywords>Inventaire;Facturation;Gestion des Stocks</cp:keywords>
  <dc:description>Gestion Facturation Comptabilté</dc:description>
  <cp:lastModifiedBy>Laurent Mignot</cp:lastModifiedBy>
  <dcterms:created xsi:type="dcterms:W3CDTF">2016-02-04T14:56:59Z</dcterms:created>
  <dcterms:modified xsi:type="dcterms:W3CDTF">2016-03-02T18:42:25Z</dcterms:modified>
  <cp:category>Gestion</cp:category>
  <cp:version>Versus 2.03</cp:version>
</cp:coreProperties>
</file>