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uth\Desktop\"/>
    </mc:Choice>
  </mc:AlternateContent>
  <bookViews>
    <workbookView xWindow="0" yWindow="0" windowWidth="11940" windowHeight="4545" activeTab="2"/>
  </bookViews>
  <sheets>
    <sheet name="Sheet1" sheetId="1" r:id="rId1"/>
    <sheet name="Sheet2" sheetId="2" r:id="rId2"/>
    <sheet name="Sheet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E63" i="2" l="1"/>
  <c r="C63" i="2"/>
  <c r="E62" i="2"/>
  <c r="C62" i="2"/>
  <c r="E61" i="2"/>
  <c r="C61" i="2"/>
  <c r="E60" i="2"/>
  <c r="C60" i="2"/>
  <c r="E59" i="2"/>
  <c r="C59" i="2"/>
  <c r="E58" i="2"/>
  <c r="C58" i="2"/>
  <c r="E57" i="2"/>
  <c r="C57" i="2"/>
  <c r="E56" i="2"/>
  <c r="C56" i="2"/>
  <c r="E55" i="2"/>
  <c r="C55" i="2"/>
  <c r="E54" i="2"/>
  <c r="J10" i="2" s="1"/>
  <c r="C54" i="2"/>
  <c r="H10" i="2" s="1"/>
  <c r="I10" i="2" s="1"/>
  <c r="E53" i="2"/>
  <c r="C53" i="2"/>
  <c r="E52" i="2"/>
  <c r="C52" i="2"/>
  <c r="E51" i="2"/>
  <c r="C51" i="2"/>
  <c r="E50" i="2"/>
  <c r="C50" i="2"/>
  <c r="E49" i="2"/>
  <c r="C49" i="2"/>
  <c r="E48" i="2"/>
  <c r="J39" i="2" s="1"/>
  <c r="C48" i="2"/>
  <c r="H39" i="2" s="1"/>
  <c r="I39" i="2" s="1"/>
  <c r="E47" i="2"/>
  <c r="C47" i="2"/>
  <c r="E46" i="2"/>
  <c r="C46" i="2"/>
  <c r="E45" i="2"/>
  <c r="C45" i="2"/>
  <c r="J44" i="2"/>
  <c r="H44" i="2"/>
  <c r="I44" i="2" s="1"/>
  <c r="E44" i="2"/>
  <c r="C44" i="2"/>
  <c r="J43" i="2"/>
  <c r="H43" i="2"/>
  <c r="I43" i="2" s="1"/>
  <c r="E43" i="2"/>
  <c r="C43" i="2"/>
  <c r="J42" i="2"/>
  <c r="H42" i="2"/>
  <c r="I42" i="2" s="1"/>
  <c r="E42" i="2"/>
  <c r="C42" i="2"/>
  <c r="H28" i="2" s="1"/>
  <c r="I28" i="2" s="1"/>
  <c r="E41" i="2"/>
  <c r="C41" i="2"/>
  <c r="J40" i="2"/>
  <c r="H40" i="2"/>
  <c r="I40" i="2" s="1"/>
  <c r="E40" i="2"/>
  <c r="C40" i="2"/>
  <c r="E39" i="2"/>
  <c r="C39" i="2"/>
  <c r="E38" i="2"/>
  <c r="C38" i="2"/>
  <c r="J37" i="2"/>
  <c r="H37" i="2"/>
  <c r="I37" i="2" s="1"/>
  <c r="L37" i="2" s="1"/>
  <c r="E37" i="2"/>
  <c r="C37" i="2"/>
  <c r="H18" i="2" s="1"/>
  <c r="I18" i="2" s="1"/>
  <c r="E36" i="2"/>
  <c r="C36" i="2"/>
  <c r="J35" i="2"/>
  <c r="H35" i="2"/>
  <c r="I35" i="2" s="1"/>
  <c r="E35" i="2"/>
  <c r="C35" i="2"/>
  <c r="J34" i="2"/>
  <c r="H34" i="2"/>
  <c r="I34" i="2" s="1"/>
  <c r="E34" i="2"/>
  <c r="C34" i="2"/>
  <c r="E33" i="2"/>
  <c r="C33" i="2"/>
  <c r="E32" i="2"/>
  <c r="C32" i="2"/>
  <c r="J31" i="2"/>
  <c r="H31" i="2"/>
  <c r="I31" i="2" s="1"/>
  <c r="E31" i="2"/>
  <c r="J32" i="2" s="1"/>
  <c r="C31" i="2"/>
  <c r="H32" i="2" s="1"/>
  <c r="I32" i="2" s="1"/>
  <c r="J30" i="2"/>
  <c r="H30" i="2"/>
  <c r="I30" i="2" s="1"/>
  <c r="E30" i="2"/>
  <c r="J7" i="2" s="1"/>
  <c r="C30" i="2"/>
  <c r="E29" i="2"/>
  <c r="J20" i="2" s="1"/>
  <c r="C29" i="2"/>
  <c r="J28" i="2"/>
  <c r="E28" i="2"/>
  <c r="C28" i="2"/>
  <c r="H14" i="2" s="1"/>
  <c r="I14" i="2" s="1"/>
  <c r="E27" i="2"/>
  <c r="C27" i="2"/>
  <c r="E26" i="2"/>
  <c r="C26" i="2"/>
  <c r="J25" i="2"/>
  <c r="H25" i="2"/>
  <c r="I25" i="2" s="1"/>
  <c r="E25" i="2"/>
  <c r="C25" i="2"/>
  <c r="E24" i="2"/>
  <c r="C24" i="2"/>
  <c r="E23" i="2"/>
  <c r="C23" i="2"/>
  <c r="E22" i="2"/>
  <c r="C22" i="2"/>
  <c r="E21" i="2"/>
  <c r="J23" i="2" s="1"/>
  <c r="C21" i="2"/>
  <c r="H20" i="2"/>
  <c r="I20" i="2" s="1"/>
  <c r="E20" i="2"/>
  <c r="C20" i="2"/>
  <c r="J19" i="2"/>
  <c r="H19" i="2"/>
  <c r="I19" i="2" s="1"/>
  <c r="E19" i="2"/>
  <c r="C19" i="2"/>
  <c r="J18" i="2"/>
  <c r="E18" i="2"/>
  <c r="J36" i="2" s="1"/>
  <c r="C18" i="2"/>
  <c r="H36" i="2" s="1"/>
  <c r="I36" i="2" s="1"/>
  <c r="E17" i="2"/>
  <c r="J26" i="2" s="1"/>
  <c r="C17" i="2"/>
  <c r="J16" i="2"/>
  <c r="H16" i="2"/>
  <c r="I16" i="2" s="1"/>
  <c r="E16" i="2"/>
  <c r="J12" i="2" s="1"/>
  <c r="C16" i="2"/>
  <c r="H12" i="2" s="1"/>
  <c r="I12" i="2" s="1"/>
  <c r="J15" i="2"/>
  <c r="H15" i="2"/>
  <c r="I15" i="2" s="1"/>
  <c r="E15" i="2"/>
  <c r="J27" i="2" s="1"/>
  <c r="C15" i="2"/>
  <c r="H27" i="2" s="1"/>
  <c r="I27" i="2" s="1"/>
  <c r="J14" i="2"/>
  <c r="E14" i="2"/>
  <c r="J45" i="2" s="1"/>
  <c r="C14" i="2"/>
  <c r="H45" i="2" s="1"/>
  <c r="I45" i="2" s="1"/>
  <c r="L45" i="2" s="1"/>
  <c r="J13" i="2"/>
  <c r="H13" i="2"/>
  <c r="I13" i="2" s="1"/>
  <c r="E13" i="2"/>
  <c r="J33" i="2" s="1"/>
  <c r="C13" i="2"/>
  <c r="H33" i="2" s="1"/>
  <c r="I33" i="2" s="1"/>
  <c r="E12" i="2"/>
  <c r="C12" i="2"/>
  <c r="J11" i="2"/>
  <c r="H11" i="2"/>
  <c r="I11" i="2" s="1"/>
  <c r="E11" i="2"/>
  <c r="C11" i="2"/>
  <c r="E10" i="2"/>
  <c r="C10" i="2"/>
  <c r="E9" i="2"/>
  <c r="C9" i="2"/>
  <c r="H7" i="2" s="1"/>
  <c r="I7" i="2" s="1"/>
  <c r="J8" i="2"/>
  <c r="I8" i="2"/>
  <c r="E8" i="2"/>
  <c r="J17" i="2" s="1"/>
  <c r="C8" i="2"/>
  <c r="H17" i="2" s="1"/>
  <c r="I17" i="2" s="1"/>
  <c r="E7" i="2"/>
  <c r="J41" i="2" s="1"/>
  <c r="C7" i="2"/>
  <c r="J6" i="2"/>
  <c r="H6" i="2"/>
  <c r="I6" i="2" s="1"/>
  <c r="E6" i="2"/>
  <c r="J29" i="2" s="1"/>
  <c r="C6" i="2"/>
  <c r="H29" i="2" s="1"/>
  <c r="I29" i="2" s="1"/>
  <c r="E5" i="2"/>
  <c r="J38" i="2" s="1"/>
  <c r="C5" i="2"/>
  <c r="H38" i="2" s="1"/>
  <c r="I38" i="2" s="1"/>
  <c r="J4" i="2"/>
  <c r="H4" i="2"/>
  <c r="I4" i="2" s="1"/>
  <c r="E4" i="2"/>
  <c r="C4" i="2"/>
  <c r="H24" i="2" s="1"/>
  <c r="I24" i="2" s="1"/>
  <c r="J3" i="2"/>
  <c r="H3" i="2"/>
  <c r="I3" i="2" s="1"/>
  <c r="E3" i="2"/>
  <c r="C3" i="2"/>
  <c r="H2" i="2"/>
  <c r="E2" i="2"/>
  <c r="J9" i="2" s="1"/>
  <c r="C2" i="2"/>
  <c r="L19" i="2" l="1"/>
  <c r="L3" i="2"/>
  <c r="L4" i="2"/>
  <c r="L29" i="2"/>
  <c r="L8" i="2"/>
  <c r="J22" i="2"/>
  <c r="L25" i="2"/>
  <c r="L42" i="2"/>
  <c r="L43" i="2"/>
  <c r="L44" i="2"/>
  <c r="L39" i="2"/>
  <c r="L10" i="2"/>
  <c r="J2" i="2"/>
  <c r="H21" i="2"/>
  <c r="I21" i="2" s="1"/>
  <c r="L6" i="2"/>
  <c r="L12" i="2"/>
  <c r="H23" i="2"/>
  <c r="I23" i="2" s="1"/>
  <c r="L23" i="2" s="1"/>
  <c r="L30" i="2"/>
  <c r="L31" i="2"/>
  <c r="L40" i="2"/>
  <c r="J21" i="2"/>
  <c r="J24" i="2"/>
  <c r="L24" i="2" s="1"/>
  <c r="H22" i="2"/>
  <c r="I22" i="2" s="1"/>
  <c r="J5" i="2"/>
  <c r="L14" i="2"/>
  <c r="L18" i="2"/>
  <c r="L38" i="2"/>
  <c r="L33" i="2"/>
  <c r="L27" i="2"/>
  <c r="H26" i="2"/>
  <c r="I26" i="2" s="1"/>
  <c r="L26" i="2" s="1"/>
  <c r="L17" i="2"/>
  <c r="L7" i="2"/>
  <c r="L20" i="2"/>
  <c r="L28" i="2"/>
  <c r="L36" i="2"/>
  <c r="H41" i="2"/>
  <c r="I41" i="2" s="1"/>
  <c r="L41" i="2" s="1"/>
  <c r="L11" i="2"/>
  <c r="L13" i="2"/>
  <c r="L15" i="2"/>
  <c r="L16" i="2"/>
  <c r="H5" i="2"/>
  <c r="I5" i="2" s="1"/>
  <c r="L5" i="2" s="1"/>
  <c r="L32" i="2"/>
  <c r="L34" i="2"/>
  <c r="L35" i="2"/>
  <c r="I2" i="2"/>
  <c r="L2" i="2" s="1"/>
  <c r="H9" i="2"/>
  <c r="I9" i="2" s="1"/>
  <c r="L9" i="2" s="1"/>
  <c r="L21" i="2" l="1"/>
  <c r="L22" i="2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2" i="1" l="1"/>
  <c r="H46" i="1" l="1"/>
  <c r="I46" i="1" s="1"/>
  <c r="H45" i="1"/>
  <c r="I45" i="1" s="1"/>
  <c r="H44" i="1"/>
  <c r="I44" i="1" s="1"/>
  <c r="H43" i="1"/>
  <c r="I43" i="1" s="1"/>
  <c r="H42" i="1"/>
  <c r="I42" i="1" s="1"/>
  <c r="H41" i="1"/>
  <c r="I41" i="1" s="1"/>
  <c r="H40" i="1"/>
  <c r="I40" i="1" s="1"/>
  <c r="H39" i="1"/>
  <c r="I39" i="1" s="1"/>
  <c r="H38" i="1"/>
  <c r="I38" i="1" s="1"/>
  <c r="H37" i="1"/>
  <c r="I37" i="1" s="1"/>
  <c r="H36" i="1"/>
  <c r="I36" i="1" s="1"/>
  <c r="H35" i="1"/>
  <c r="I35" i="1" s="1"/>
  <c r="H34" i="1"/>
  <c r="I34" i="1" s="1"/>
  <c r="H33" i="1"/>
  <c r="I33" i="1" s="1"/>
  <c r="H32" i="1"/>
  <c r="I32" i="1" s="1"/>
  <c r="H31" i="1"/>
  <c r="I31" i="1" s="1"/>
  <c r="H30" i="1"/>
  <c r="I30" i="1" s="1"/>
  <c r="H29" i="1"/>
  <c r="I29" i="1" s="1"/>
  <c r="H28" i="1"/>
  <c r="I28" i="1" s="1"/>
  <c r="H27" i="1"/>
  <c r="I27" i="1" s="1"/>
  <c r="H26" i="1"/>
  <c r="I26" i="1" s="1"/>
  <c r="H25" i="1"/>
  <c r="I25" i="1" s="1"/>
  <c r="H24" i="1"/>
  <c r="I24" i="1" s="1"/>
  <c r="H23" i="1"/>
  <c r="I23" i="1" s="1"/>
  <c r="H22" i="1"/>
  <c r="I22" i="1" s="1"/>
  <c r="H21" i="1"/>
  <c r="I21" i="1" s="1"/>
  <c r="H20" i="1"/>
  <c r="I20" i="1" s="1"/>
  <c r="H19" i="1"/>
  <c r="I19" i="1" s="1"/>
  <c r="H18" i="1"/>
  <c r="I18" i="1" s="1"/>
  <c r="H17" i="1"/>
  <c r="I17" i="1" s="1"/>
  <c r="H16" i="1"/>
  <c r="I16" i="1" s="1"/>
  <c r="H15" i="1"/>
  <c r="I15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H4" i="1"/>
  <c r="I4" i="1" s="1"/>
  <c r="H3" i="1"/>
  <c r="I3" i="1" s="1"/>
  <c r="H2" i="1"/>
  <c r="I2" i="1" s="1"/>
  <c r="J8" i="1" l="1"/>
  <c r="L8" i="1" s="1"/>
  <c r="J17" i="1"/>
  <c r="L17" i="1" s="1"/>
  <c r="J36" i="1"/>
  <c r="J16" i="1" l="1"/>
  <c r="L16" i="1" s="1"/>
  <c r="J15" i="1"/>
  <c r="L15" i="1" s="1"/>
  <c r="J43" i="1"/>
  <c r="J42" i="1"/>
  <c r="L42" i="1" s="1"/>
  <c r="J30" i="1"/>
  <c r="L30" i="1" s="1"/>
  <c r="J41" i="1"/>
  <c r="J38" i="1"/>
  <c r="L38" i="1" s="1"/>
  <c r="J33" i="1"/>
  <c r="L33" i="1" s="1"/>
  <c r="J31" i="1"/>
  <c r="L31" i="1" s="1"/>
  <c r="J29" i="1"/>
  <c r="L29" i="1" s="1"/>
  <c r="J25" i="1"/>
  <c r="L25" i="1" s="1"/>
  <c r="J26" i="1"/>
  <c r="L26" i="1" s="1"/>
  <c r="J13" i="1"/>
  <c r="L13" i="1" s="1"/>
  <c r="J22" i="1"/>
  <c r="L22" i="1" s="1"/>
  <c r="J21" i="1"/>
  <c r="L21" i="1" s="1"/>
  <c r="J19" i="1"/>
  <c r="L19" i="1" s="1"/>
  <c r="J7" i="1"/>
  <c r="L7" i="1" s="1"/>
  <c r="J32" i="1"/>
  <c r="L32" i="1" s="1"/>
  <c r="J6" i="1"/>
  <c r="L6" i="1" s="1"/>
  <c r="J9" i="1"/>
  <c r="L9" i="1" s="1"/>
  <c r="L36" i="1"/>
  <c r="J27" i="1"/>
  <c r="L27" i="1" s="1"/>
  <c r="J18" i="1"/>
  <c r="L18" i="1" s="1"/>
  <c r="J10" i="1"/>
  <c r="L10" i="1" s="1"/>
  <c r="J5" i="1"/>
  <c r="L5" i="1" s="1"/>
  <c r="J14" i="1"/>
  <c r="L14" i="1" s="1"/>
  <c r="J11" i="1"/>
  <c r="L11" i="1" s="1"/>
  <c r="J20" i="1"/>
  <c r="L20" i="1" s="1"/>
  <c r="J34" i="1"/>
  <c r="J35" i="1"/>
  <c r="J28" i="1"/>
  <c r="L28" i="1" s="1"/>
  <c r="J44" i="1"/>
  <c r="J45" i="1"/>
  <c r="J24" i="1"/>
  <c r="L24" i="1" s="1"/>
  <c r="J23" i="1"/>
  <c r="L23" i="1" s="1"/>
  <c r="J37" i="1" l="1"/>
  <c r="L37" i="1" s="1"/>
  <c r="J46" i="1"/>
  <c r="L46" i="1" s="1"/>
  <c r="J40" i="1"/>
  <c r="L40" i="1" s="1"/>
  <c r="J12" i="1"/>
  <c r="L12" i="1" s="1"/>
  <c r="J39" i="1"/>
  <c r="L39" i="1" s="1"/>
  <c r="J3" i="1"/>
  <c r="L3" i="1" s="1"/>
  <c r="J2" i="1"/>
  <c r="L2" i="1" s="1"/>
  <c r="J4" i="1"/>
  <c r="L4" i="1" s="1"/>
  <c r="L44" i="1"/>
  <c r="L35" i="1"/>
  <c r="L43" i="1"/>
  <c r="L41" i="1"/>
  <c r="L45" i="1"/>
  <c r="L34" i="1"/>
</calcChain>
</file>

<file path=xl/comments1.xml><?xml version="1.0" encoding="utf-8"?>
<comments xmlns="http://schemas.openxmlformats.org/spreadsheetml/2006/main">
  <authors>
    <author>Arnaud Bismuth</author>
  </authors>
  <commentList>
    <comment ref="U25" authorId="0" shapeId="0">
      <text/>
    </comment>
  </commentList>
</comments>
</file>

<file path=xl/sharedStrings.xml><?xml version="1.0" encoding="utf-8"?>
<sst xmlns="http://schemas.openxmlformats.org/spreadsheetml/2006/main" count="522" uniqueCount="130">
  <si>
    <t>date of incidents</t>
  </si>
  <si>
    <t>Details</t>
  </si>
  <si>
    <t>Station</t>
  </si>
  <si>
    <t>Perception</t>
  </si>
  <si>
    <t>Quotation</t>
  </si>
  <si>
    <t>WIQ</t>
  </si>
  <si>
    <t>BAN</t>
  </si>
  <si>
    <t>LIM</t>
  </si>
  <si>
    <t>ROV</t>
  </si>
  <si>
    <t>STL</t>
  </si>
  <si>
    <t>POP</t>
  </si>
  <si>
    <t>PRR</t>
  </si>
  <si>
    <t>WOA</t>
  </si>
  <si>
    <t>TOG</t>
  </si>
  <si>
    <t>SHA</t>
  </si>
  <si>
    <t>WST</t>
  </si>
  <si>
    <t>Verbal assault</t>
  </si>
  <si>
    <t>etching</t>
  </si>
  <si>
    <t>physical assault</t>
  </si>
  <si>
    <t>grafity</t>
  </si>
  <si>
    <t>pulled door</t>
  </si>
  <si>
    <t>fight</t>
  </si>
  <si>
    <t>drunk passenger</t>
  </si>
  <si>
    <t>revenue dispute</t>
  </si>
  <si>
    <t>spat</t>
  </si>
  <si>
    <t>BTP intervention</t>
  </si>
  <si>
    <t>ABS</t>
  </si>
  <si>
    <t>ALS</t>
  </si>
  <si>
    <t>BEC</t>
  </si>
  <si>
    <t>BEP</t>
  </si>
  <si>
    <t>BLA</t>
  </si>
  <si>
    <t>BOC</t>
  </si>
  <si>
    <t>CAT</t>
  </si>
  <si>
    <t>CAW</t>
  </si>
  <si>
    <t>CBO</t>
  </si>
  <si>
    <t>CUH</t>
  </si>
  <si>
    <t>CUS</t>
  </si>
  <si>
    <t>CYP</t>
  </si>
  <si>
    <t>DEB</t>
  </si>
  <si>
    <t>DER</t>
  </si>
  <si>
    <t>EAI</t>
  </si>
  <si>
    <t>ELR</t>
  </si>
  <si>
    <t>GAR</t>
  </si>
  <si>
    <t>GRE</t>
  </si>
  <si>
    <t>HEQ</t>
  </si>
  <si>
    <t>ISG</t>
  </si>
  <si>
    <t>KGV</t>
  </si>
  <si>
    <t>LAP</t>
  </si>
  <si>
    <t>LCA</t>
  </si>
  <si>
    <t>LEW</t>
  </si>
  <si>
    <t>MUD</t>
  </si>
  <si>
    <t>PDK</t>
  </si>
  <si>
    <t>PML</t>
  </si>
  <si>
    <t>PPR</t>
  </si>
  <si>
    <t>ROA</t>
  </si>
  <si>
    <t>SHS</t>
  </si>
  <si>
    <t>SOQ</t>
  </si>
  <si>
    <t>STI</t>
  </si>
  <si>
    <t>STR</t>
  </si>
  <si>
    <t>WEH</t>
  </si>
  <si>
    <t>WES</t>
  </si>
  <si>
    <t>verbal assault</t>
  </si>
  <si>
    <t>soiled</t>
  </si>
  <si>
    <t>broken window</t>
  </si>
  <si>
    <t>indecent exposure</t>
  </si>
  <si>
    <t>assault with seriously attack</t>
  </si>
  <si>
    <t>steal</t>
  </si>
  <si>
    <t>aggressive passenger</t>
  </si>
  <si>
    <t>unstable passenger</t>
  </si>
  <si>
    <t>distorbing</t>
  </si>
  <si>
    <t>Incident</t>
  </si>
  <si>
    <t>total incidents</t>
  </si>
  <si>
    <t>period 3</t>
  </si>
  <si>
    <t>sucidial</t>
  </si>
  <si>
    <t>Sucidial</t>
  </si>
  <si>
    <t>Physical assault</t>
  </si>
  <si>
    <t>POD</t>
  </si>
  <si>
    <t>Routes</t>
  </si>
  <si>
    <t>Severity</t>
  </si>
  <si>
    <t>Frequency</t>
  </si>
  <si>
    <t>severity (average)</t>
  </si>
  <si>
    <t>Period 3</t>
  </si>
  <si>
    <t>POP - WIQ</t>
  </si>
  <si>
    <t>STI - STR</t>
  </si>
  <si>
    <t>TOG - SHA</t>
  </si>
  <si>
    <t>STR - PDM</t>
  </si>
  <si>
    <t>LIM - WES</t>
  </si>
  <si>
    <t>PDM - BOC</t>
  </si>
  <si>
    <t>ABS - WEH</t>
  </si>
  <si>
    <t>BOC - DER</t>
  </si>
  <si>
    <t>ROV - CUH</t>
  </si>
  <si>
    <t>DER - LAP</t>
  </si>
  <si>
    <t>CAT - WST</t>
  </si>
  <si>
    <t>LAP - ALS</t>
  </si>
  <si>
    <t>CUS - GRE</t>
  </si>
  <si>
    <t>ALS - POP</t>
  </si>
  <si>
    <t xml:space="preserve">ALS - POP </t>
  </si>
  <si>
    <t>WIQ - CAW</t>
  </si>
  <si>
    <t>CAW - HEQ</t>
  </si>
  <si>
    <t>HEQ - SOQ</t>
  </si>
  <si>
    <t>BEP - CYP</t>
  </si>
  <si>
    <t>SOQ - CRO</t>
  </si>
  <si>
    <t>KGV - WOA</t>
  </si>
  <si>
    <t>CRO - MUD</t>
  </si>
  <si>
    <t>EAI - CAT</t>
  </si>
  <si>
    <t>MUD - ISG</t>
  </si>
  <si>
    <t>ISG - CUS</t>
  </si>
  <si>
    <t>POP - BLA</t>
  </si>
  <si>
    <t>STR - SHS</t>
  </si>
  <si>
    <t>GRE - DEB</t>
  </si>
  <si>
    <t>DEB - ELR</t>
  </si>
  <si>
    <t>BAN - SHA</t>
  </si>
  <si>
    <t>ELR - LEW</t>
  </si>
  <si>
    <t>SHA - LIM</t>
  </si>
  <si>
    <t>WES - POP</t>
  </si>
  <si>
    <t>BLA - EAI</t>
  </si>
  <si>
    <t>CAT - ROV</t>
  </si>
  <si>
    <t>CUH - PRR</t>
  </si>
  <si>
    <t>ROA - BEP</t>
  </si>
  <si>
    <t xml:space="preserve">PRR - ROA </t>
  </si>
  <si>
    <t>CYP - GAR</t>
  </si>
  <si>
    <t>GAR - BEC</t>
  </si>
  <si>
    <t>SHS - ABS</t>
  </si>
  <si>
    <t>WEH - STL</t>
  </si>
  <si>
    <t xml:space="preserve">STL - CAT </t>
  </si>
  <si>
    <t>sleeping vagrant</t>
  </si>
  <si>
    <t>WST - PDK</t>
  </si>
  <si>
    <t>PDK - LCA</t>
  </si>
  <si>
    <t>LCA - KGV</t>
  </si>
  <si>
    <t>Severity (average)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</si>
</sst>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</fills>
  <borders count="46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rgb="FF3F3F3F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rgb="FF3F3F3F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medium">
        <color indexed="64"/>
      </right>
      <top style="double">
        <color rgb="FF3F3F3F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medium">
        <color indexed="64"/>
      </left>
      <right/>
      <top style="double">
        <color rgb="FF3F3F3F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rgb="FF3F3F3F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rgb="FF3F3F3F"/>
      </right>
      <top style="medium">
        <color indexed="64"/>
      </top>
      <bottom/>
      <diagonal/>
    </border>
    <border>
      <left style="double">
        <color rgb="FF3F3F3F"/>
      </left>
      <right style="double">
        <color rgb="FF3F3F3F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medium">
        <color indexed="64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2" borderId="1" applyNumberFormat="0" applyAlignment="0" applyProtection="0"/>
    <xf numFmtId="0" fontId="2" fillId="3" borderId="6" applyNumberFormat="0" applyFont="0" applyAlignment="0" applyProtection="0"/>
    <xf numFmtId="0" fontId="4" fillId="4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7" fillId="7" borderId="13" applyNumberFormat="0" applyAlignment="0" applyProtection="0"/>
    <xf numFmtId="0" fontId="8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3" borderId="6" xfId="2" applyFont="1" applyAlignment="1">
      <alignment horizontal="center"/>
    </xf>
    <xf numFmtId="0" fontId="0" fillId="0" borderId="0" xfId="0" applyBorder="1"/>
    <xf numFmtId="0" fontId="0" fillId="3" borderId="6" xfId="2" applyFont="1" applyBorder="1" applyAlignment="1">
      <alignment horizontal="center"/>
    </xf>
    <xf numFmtId="1" fontId="0" fillId="0" borderId="8" xfId="0" applyNumberFormat="1" applyBorder="1"/>
    <xf numFmtId="0" fontId="0" fillId="3" borderId="11" xfId="2" applyFont="1" applyBorder="1" applyAlignment="1">
      <alignment horizontal="center"/>
    </xf>
    <xf numFmtId="1" fontId="0" fillId="0" borderId="12" xfId="0" applyNumberFormat="1" applyBorder="1"/>
    <xf numFmtId="0" fontId="0" fillId="0" borderId="14" xfId="0" applyBorder="1" applyAlignment="1">
      <alignment horizontal="center"/>
    </xf>
    <xf numFmtId="0" fontId="6" fillId="6" borderId="0" xfId="5" applyAlignment="1">
      <alignment horizontal="center"/>
    </xf>
    <xf numFmtId="16" fontId="6" fillId="6" borderId="3" xfId="5" applyNumberFormat="1" applyBorder="1" applyAlignment="1">
      <alignment horizontal="center"/>
    </xf>
    <xf numFmtId="0" fontId="5" fillId="5" borderId="0" xfId="4" applyAlignment="1">
      <alignment horizontal="center"/>
    </xf>
    <xf numFmtId="0" fontId="5" fillId="5" borderId="2" xfId="4" applyBorder="1" applyAlignment="1">
      <alignment horizontal="center"/>
    </xf>
    <xf numFmtId="0" fontId="5" fillId="5" borderId="4" xfId="4" applyBorder="1" applyAlignment="1">
      <alignment horizontal="center"/>
    </xf>
    <xf numFmtId="0" fontId="5" fillId="5" borderId="0" xfId="4" applyBorder="1" applyAlignment="1">
      <alignment horizontal="center"/>
    </xf>
    <xf numFmtId="0" fontId="5" fillId="5" borderId="5" xfId="4" applyBorder="1" applyAlignment="1">
      <alignment horizontal="center"/>
    </xf>
    <xf numFmtId="0" fontId="8" fillId="0" borderId="0" xfId="7" applyAlignment="1">
      <alignment horizontal="center"/>
    </xf>
    <xf numFmtId="0" fontId="8" fillId="0" borderId="2" xfId="7" applyBorder="1" applyAlignment="1">
      <alignment horizontal="center"/>
    </xf>
    <xf numFmtId="0" fontId="8" fillId="0" borderId="4" xfId="7" applyBorder="1" applyAlignment="1">
      <alignment horizontal="center"/>
    </xf>
    <xf numFmtId="0" fontId="8" fillId="0" borderId="5" xfId="7" applyBorder="1" applyAlignment="1">
      <alignment horizontal="center"/>
    </xf>
    <xf numFmtId="0" fontId="4" fillId="4" borderId="0" xfId="3" applyAlignment="1">
      <alignment horizontal="center"/>
    </xf>
    <xf numFmtId="0" fontId="4" fillId="4" borderId="2" xfId="3" applyBorder="1" applyAlignment="1">
      <alignment horizontal="center"/>
    </xf>
    <xf numFmtId="0" fontId="4" fillId="4" borderId="0" xfId="3" applyBorder="1" applyAlignment="1">
      <alignment horizontal="center"/>
    </xf>
    <xf numFmtId="0" fontId="4" fillId="4" borderId="5" xfId="3" applyBorder="1" applyAlignment="1">
      <alignment horizontal="center"/>
    </xf>
    <xf numFmtId="0" fontId="4" fillId="4" borderId="4" xfId="3" applyBorder="1" applyAlignment="1">
      <alignment horizontal="center"/>
    </xf>
    <xf numFmtId="0" fontId="4" fillId="4" borderId="15" xfId="3" applyBorder="1" applyAlignment="1">
      <alignment horizontal="center"/>
    </xf>
    <xf numFmtId="0" fontId="4" fillId="4" borderId="0" xfId="3"/>
    <xf numFmtId="0" fontId="4" fillId="4" borderId="7" xfId="3" applyBorder="1"/>
    <xf numFmtId="0" fontId="4" fillId="4" borderId="9" xfId="3" applyBorder="1"/>
    <xf numFmtId="0" fontId="4" fillId="4" borderId="10" xfId="3" applyBorder="1"/>
    <xf numFmtId="0" fontId="1" fillId="2" borderId="1" xfId="1"/>
    <xf numFmtId="0" fontId="9" fillId="0" borderId="0" xfId="0" applyFont="1"/>
    <xf numFmtId="0" fontId="9" fillId="0" borderId="0" xfId="0" applyFont="1" applyAlignment="1">
      <alignment horizontal="center"/>
    </xf>
    <xf numFmtId="0" fontId="7" fillId="7" borderId="13" xfId="6" applyBorder="1" applyAlignment="1">
      <alignment horizontal="center"/>
    </xf>
    <xf numFmtId="1" fontId="7" fillId="7" borderId="13" xfId="6" applyNumberFormat="1" applyBorder="1" applyAlignment="1">
      <alignment horizontal="center"/>
    </xf>
    <xf numFmtId="0" fontId="7" fillId="7" borderId="16" xfId="6" applyBorder="1" applyAlignment="1">
      <alignment horizontal="center"/>
    </xf>
    <xf numFmtId="1" fontId="7" fillId="7" borderId="16" xfId="6" applyNumberFormat="1" applyBorder="1" applyAlignment="1">
      <alignment horizontal="center"/>
    </xf>
    <xf numFmtId="16" fontId="6" fillId="6" borderId="17" xfId="5" applyNumberFormat="1" applyBorder="1" applyAlignment="1">
      <alignment horizontal="center"/>
    </xf>
    <xf numFmtId="0" fontId="5" fillId="5" borderId="18" xfId="4" applyBorder="1" applyAlignment="1">
      <alignment horizontal="center"/>
    </xf>
    <xf numFmtId="0" fontId="8" fillId="0" borderId="18" xfId="7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19" xfId="0" applyBorder="1"/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0" fillId="0" borderId="24" xfId="0" applyBorder="1"/>
    <xf numFmtId="0" fontId="0" fillId="0" borderId="25" xfId="0" applyBorder="1"/>
    <xf numFmtId="0" fontId="0" fillId="0" borderId="15" xfId="0" applyBorder="1"/>
    <xf numFmtId="0" fontId="9" fillId="0" borderId="15" xfId="0" applyFont="1" applyBorder="1"/>
    <xf numFmtId="0" fontId="0" fillId="0" borderId="26" xfId="0" applyBorder="1"/>
    <xf numFmtId="0" fontId="0" fillId="0" borderId="20" xfId="0" applyBorder="1" applyAlignment="1">
      <alignment horizontal="center"/>
    </xf>
    <xf numFmtId="16" fontId="6" fillId="6" borderId="27" xfId="5" applyNumberFormat="1" applyBorder="1" applyAlignment="1">
      <alignment horizontal="center"/>
    </xf>
    <xf numFmtId="0" fontId="0" fillId="0" borderId="28" xfId="0" applyBorder="1"/>
    <xf numFmtId="0" fontId="1" fillId="2" borderId="29" xfId="1" applyBorder="1" applyAlignment="1">
      <alignment horizontal="center"/>
    </xf>
    <xf numFmtId="0" fontId="4" fillId="4" borderId="24" xfId="3" applyBorder="1" applyAlignment="1">
      <alignment horizontal="center"/>
    </xf>
    <xf numFmtId="1" fontId="0" fillId="0" borderId="30" xfId="0" applyNumberFormat="1" applyBorder="1" applyAlignment="1">
      <alignment horizontal="center"/>
    </xf>
    <xf numFmtId="0" fontId="5" fillId="5" borderId="24" xfId="4" applyBorder="1" applyAlignment="1">
      <alignment horizontal="center"/>
    </xf>
    <xf numFmtId="0" fontId="4" fillId="4" borderId="25" xfId="3" applyBorder="1" applyAlignment="1">
      <alignment horizontal="center"/>
    </xf>
    <xf numFmtId="1" fontId="0" fillId="0" borderId="31" xfId="0" applyNumberFormat="1" applyBorder="1" applyAlignment="1">
      <alignment horizontal="center"/>
    </xf>
    <xf numFmtId="0" fontId="8" fillId="0" borderId="0" xfId="7" applyFill="1" applyBorder="1" applyAlignment="1">
      <alignment horizontal="center"/>
    </xf>
    <xf numFmtId="0" fontId="8" fillId="0" borderId="0" xfId="7"/>
    <xf numFmtId="0" fontId="6" fillId="6" borderId="33" xfId="5" applyBorder="1"/>
    <xf numFmtId="0" fontId="0" fillId="0" borderId="34" xfId="0" applyBorder="1" applyAlignment="1">
      <alignment horizontal="center"/>
    </xf>
    <xf numFmtId="0" fontId="6" fillId="6" borderId="35" xfId="5" applyBorder="1"/>
    <xf numFmtId="0" fontId="4" fillId="4" borderId="18" xfId="3" applyBorder="1" applyAlignment="1">
      <alignment horizontal="center"/>
    </xf>
    <xf numFmtId="0" fontId="0" fillId="0" borderId="36" xfId="0" applyBorder="1" applyAlignment="1">
      <alignment horizontal="center"/>
    </xf>
    <xf numFmtId="0" fontId="1" fillId="2" borderId="37" xfId="1" applyBorder="1" applyAlignment="1">
      <alignment horizontal="center"/>
    </xf>
    <xf numFmtId="0" fontId="1" fillId="2" borderId="38" xfId="1" applyBorder="1" applyAlignment="1">
      <alignment horizontal="center"/>
    </xf>
    <xf numFmtId="0" fontId="1" fillId="2" borderId="39" xfId="1" applyBorder="1" applyAlignment="1">
      <alignment horizontal="center"/>
    </xf>
    <xf numFmtId="0" fontId="6" fillId="6" borderId="40" xfId="5" applyBorder="1"/>
    <xf numFmtId="0" fontId="5" fillId="5" borderId="41" xfId="4" applyBorder="1" applyAlignment="1">
      <alignment horizontal="center"/>
    </xf>
    <xf numFmtId="0" fontId="8" fillId="0" borderId="41" xfId="7" applyBorder="1" applyAlignment="1">
      <alignment horizontal="center"/>
    </xf>
    <xf numFmtId="0" fontId="4" fillId="4" borderId="41" xfId="3" applyBorder="1" applyAlignment="1">
      <alignment horizontal="center"/>
    </xf>
    <xf numFmtId="0" fontId="0" fillId="0" borderId="42" xfId="0" applyBorder="1" applyAlignment="1">
      <alignment horizontal="center"/>
    </xf>
    <xf numFmtId="0" fontId="4" fillId="4" borderId="28" xfId="3" applyBorder="1" applyAlignment="1">
      <alignment horizontal="center"/>
    </xf>
    <xf numFmtId="0" fontId="0" fillId="3" borderId="43" xfId="2" applyFont="1" applyBorder="1" applyAlignment="1">
      <alignment horizontal="center"/>
    </xf>
    <xf numFmtId="0" fontId="7" fillId="7" borderId="44" xfId="6" applyBorder="1" applyAlignment="1">
      <alignment horizontal="center"/>
    </xf>
    <xf numFmtId="1" fontId="7" fillId="7" borderId="44" xfId="6" applyNumberFormat="1" applyBorder="1" applyAlignment="1">
      <alignment horizontal="center"/>
    </xf>
    <xf numFmtId="1" fontId="0" fillId="0" borderId="32" xfId="0" applyNumberFormat="1" applyBorder="1" applyAlignment="1">
      <alignment horizontal="center"/>
    </xf>
    <xf numFmtId="16" fontId="6" fillId="6" borderId="40" xfId="5" applyNumberFormat="1" applyBorder="1" applyAlignment="1">
      <alignment horizontal="center"/>
    </xf>
    <xf numFmtId="0" fontId="4" fillId="4" borderId="45" xfId="3" applyBorder="1"/>
    <xf numFmtId="1" fontId="0" fillId="0" borderId="32" xfId="0" applyNumberFormat="1" applyBorder="1"/>
  </cellXfs>
  <cellStyles count="8">
    <cellStyle name="Bad" xfId="4" builtinId="27"/>
    <cellStyle name="Check Cell" xfId="1" builtinId="23"/>
    <cellStyle name="Explanatory Text" xfId="7" builtinId="53"/>
    <cellStyle name="Good" xfId="3" builtinId="26"/>
    <cellStyle name="Input" xfId="6" builtinId="20"/>
    <cellStyle name="Neutral" xfId="5" builtinId="28"/>
    <cellStyle name="Normal" xfId="0" builtinId="0"/>
    <cellStyle name="Note" xfId="2" builtinId="10"/>
  </cellStyles>
  <dxfs count="11"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numFmt numFmtId="1" formatCode="0"/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colors>
    <mruColors>
      <color rgb="FFFA6D1E"/>
      <color rgb="FF21A0FF"/>
      <color rgb="FF28F82D"/>
      <color rgb="FFFFFF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47</xdr:row>
          <xdr:rowOff>200025</xdr:rowOff>
        </xdr:from>
        <xdr:to>
          <xdr:col>11</xdr:col>
          <xdr:colOff>1028700</xdr:colOff>
          <xdr:row>50</xdr:row>
          <xdr:rowOff>190500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Macro buttom</a:t>
              </a:r>
            </a:p>
          </xdr:txBody>
        </xdr:sp>
        <xdr:clientData/>
      </xdr:twoCellAnchor>
    </mc:Choice>
    <mc:Fallback/>
  </mc:AlternateContent>
  <xdr:twoCellAnchor editAs="oneCell">
    <xdr:from>
      <xdr:col>5</xdr:col>
      <xdr:colOff>47626</xdr:colOff>
      <xdr:row>53</xdr:row>
      <xdr:rowOff>88220</xdr:rowOff>
    </xdr:from>
    <xdr:to>
      <xdr:col>12</xdr:col>
      <xdr:colOff>249989</xdr:colOff>
      <xdr:row>71</xdr:row>
      <xdr:rowOff>203121</xdr:rowOff>
    </xdr:to>
    <xdr:pic>
      <xdr:nvPicPr>
        <xdr:cNvPr id="54" name="Picture 5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36657" y="11649189"/>
          <a:ext cx="7715207" cy="3972526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</xdr:pic>
    <xdr:clientData/>
  </xdr:twoCellAnchor>
  <xdr:twoCellAnchor editAs="oneCell">
    <xdr:from>
      <xdr:col>6</xdr:col>
      <xdr:colOff>385385</xdr:colOff>
      <xdr:row>50</xdr:row>
      <xdr:rowOff>141135</xdr:rowOff>
    </xdr:from>
    <xdr:to>
      <xdr:col>11</xdr:col>
      <xdr:colOff>65067</xdr:colOff>
      <xdr:row>54</xdr:row>
      <xdr:rowOff>62999</xdr:rowOff>
    </xdr:to>
    <xdr:pic>
      <xdr:nvPicPr>
        <xdr:cNvPr id="55" name="Picture 5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03041" y="11059166"/>
          <a:ext cx="5716151" cy="779114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</xdr:pic>
    <xdr:clientData/>
  </xdr:twoCellAnchor>
  <xdr:twoCellAnchor editAs="oneCell">
    <xdr:from>
      <xdr:col>22</xdr:col>
      <xdr:colOff>476249</xdr:colOff>
      <xdr:row>46</xdr:row>
      <xdr:rowOff>201084</xdr:rowOff>
    </xdr:from>
    <xdr:to>
      <xdr:col>23</xdr:col>
      <xdr:colOff>439208</xdr:colOff>
      <xdr:row>47</xdr:row>
      <xdr:rowOff>132836</xdr:rowOff>
    </xdr:to>
    <xdr:pic>
      <xdr:nvPicPr>
        <xdr:cNvPr id="56" name="Picture 5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272499" y="10138834"/>
          <a:ext cx="576792" cy="143418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5</xdr:col>
      <xdr:colOff>386292</xdr:colOff>
      <xdr:row>54</xdr:row>
      <xdr:rowOff>206376</xdr:rowOff>
    </xdr:from>
    <xdr:to>
      <xdr:col>6</xdr:col>
      <xdr:colOff>624510</xdr:colOff>
      <xdr:row>56</xdr:row>
      <xdr:rowOff>203257</xdr:rowOff>
    </xdr:to>
    <xdr:pic>
      <xdr:nvPicPr>
        <xdr:cNvPr id="61" name="Picture 60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79292" y="11837459"/>
          <a:ext cx="672135" cy="42021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</xdr:pic>
    <xdr:clientData/>
  </xdr:twoCellAnchor>
  <xdr:twoCellAnchor editAs="oneCell">
    <xdr:from>
      <xdr:col>7</xdr:col>
      <xdr:colOff>402167</xdr:colOff>
      <xdr:row>54</xdr:row>
      <xdr:rowOff>206376</xdr:rowOff>
    </xdr:from>
    <xdr:to>
      <xdr:col>7</xdr:col>
      <xdr:colOff>1069010</xdr:colOff>
      <xdr:row>56</xdr:row>
      <xdr:rowOff>203257</xdr:rowOff>
    </xdr:to>
    <xdr:pic>
      <xdr:nvPicPr>
        <xdr:cNvPr id="62" name="Picture 61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71000" y="11837459"/>
          <a:ext cx="666843" cy="42021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</xdr:pic>
    <xdr:clientData/>
  </xdr:twoCellAnchor>
  <xdr:twoCellAnchor editAs="oneCell">
    <xdr:from>
      <xdr:col>8</xdr:col>
      <xdr:colOff>523875</xdr:colOff>
      <xdr:row>55</xdr:row>
      <xdr:rowOff>0</xdr:rowOff>
    </xdr:from>
    <xdr:to>
      <xdr:col>8</xdr:col>
      <xdr:colOff>1190718</xdr:colOff>
      <xdr:row>56</xdr:row>
      <xdr:rowOff>203257</xdr:rowOff>
    </xdr:to>
    <xdr:pic>
      <xdr:nvPicPr>
        <xdr:cNvPr id="63" name="Picture 62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83875" y="11557000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9</xdr:col>
      <xdr:colOff>714375</xdr:colOff>
      <xdr:row>55</xdr:row>
      <xdr:rowOff>0</xdr:rowOff>
    </xdr:from>
    <xdr:to>
      <xdr:col>9</xdr:col>
      <xdr:colOff>1381218</xdr:colOff>
      <xdr:row>56</xdr:row>
      <xdr:rowOff>203257</xdr:rowOff>
    </xdr:to>
    <xdr:pic>
      <xdr:nvPicPr>
        <xdr:cNvPr id="1024" name="Picture 1023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92000" y="11557000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10</xdr:col>
      <xdr:colOff>396875</xdr:colOff>
      <xdr:row>55</xdr:row>
      <xdr:rowOff>15875</xdr:rowOff>
    </xdr:from>
    <xdr:to>
      <xdr:col>11</xdr:col>
      <xdr:colOff>222343</xdr:colOff>
      <xdr:row>57</xdr:row>
      <xdr:rowOff>12757</xdr:rowOff>
    </xdr:to>
    <xdr:pic>
      <xdr:nvPicPr>
        <xdr:cNvPr id="1025" name="Picture 102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09625" y="11572875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258535</xdr:colOff>
      <xdr:row>52</xdr:row>
      <xdr:rowOff>176892</xdr:rowOff>
    </xdr:from>
    <xdr:to>
      <xdr:col>15</xdr:col>
      <xdr:colOff>163854</xdr:colOff>
      <xdr:row>76</xdr:row>
      <xdr:rowOff>92989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64160" y="10321017"/>
          <a:ext cx="9242994" cy="4507147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2"/>
        </a:solidFill>
      </xdr:spPr>
    </xdr:pic>
    <xdr:clientData/>
  </xdr:twoCellAnchor>
  <xdr:twoCellAnchor editAs="oneCell">
    <xdr:from>
      <xdr:col>6</xdr:col>
      <xdr:colOff>803142</xdr:colOff>
      <xdr:row>49</xdr:row>
      <xdr:rowOff>109178</xdr:rowOff>
    </xdr:from>
    <xdr:to>
      <xdr:col>11</xdr:col>
      <xdr:colOff>894214</xdr:colOff>
      <xdr:row>53</xdr:row>
      <xdr:rowOff>90232</xdr:rowOff>
    </xdr:to>
    <xdr:pic>
      <xdr:nvPicPr>
        <xdr:cNvPr id="7" name="Picture 6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18367" y="9681803"/>
          <a:ext cx="5802897" cy="743054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1162050</xdr:colOff>
          <xdr:row>46</xdr:row>
          <xdr:rowOff>47625</xdr:rowOff>
        </xdr:from>
        <xdr:to>
          <xdr:col>11</xdr:col>
          <xdr:colOff>733425</xdr:colOff>
          <xdr:row>48</xdr:row>
          <xdr:rowOff>171450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Option Button 1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462641</xdr:colOff>
      <xdr:row>32</xdr:row>
      <xdr:rowOff>10885</xdr:rowOff>
    </xdr:from>
    <xdr:to>
      <xdr:col>14</xdr:col>
      <xdr:colOff>131516</xdr:colOff>
      <xdr:row>33</xdr:row>
      <xdr:rowOff>108385</xdr:rowOff>
    </xdr:to>
    <xdr:sp macro="" textlink="">
      <xdr:nvSpPr>
        <xdr:cNvPr id="322" name="Oval 1"/>
        <xdr:cNvSpPr/>
      </xdr:nvSpPr>
      <xdr:spPr>
        <a:xfrm>
          <a:off x="8511266" y="610688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574901</xdr:colOff>
      <xdr:row>57</xdr:row>
      <xdr:rowOff>51705</xdr:rowOff>
    </xdr:from>
    <xdr:to>
      <xdr:col>8</xdr:col>
      <xdr:colOff>243776</xdr:colOff>
      <xdr:row>58</xdr:row>
      <xdr:rowOff>149205</xdr:rowOff>
    </xdr:to>
    <xdr:sp macro="" textlink="">
      <xdr:nvSpPr>
        <xdr:cNvPr id="323" name="Oval 2"/>
        <xdr:cNvSpPr/>
      </xdr:nvSpPr>
      <xdr:spPr>
        <a:xfrm>
          <a:off x="4908776" y="1091020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291418</xdr:colOff>
      <xdr:row>71</xdr:row>
      <xdr:rowOff>42479</xdr:rowOff>
    </xdr:from>
    <xdr:to>
      <xdr:col>0</xdr:col>
      <xdr:colOff>579418</xdr:colOff>
      <xdr:row>72</xdr:row>
      <xdr:rowOff>139979</xdr:rowOff>
    </xdr:to>
    <xdr:sp macro="" textlink="">
      <xdr:nvSpPr>
        <xdr:cNvPr id="324" name="Oval 3"/>
        <xdr:cNvSpPr/>
      </xdr:nvSpPr>
      <xdr:spPr>
        <a:xfrm>
          <a:off x="291418" y="1356797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27</xdr:col>
      <xdr:colOff>199344</xdr:colOff>
      <xdr:row>20</xdr:row>
      <xdr:rowOff>28574</xdr:rowOff>
    </xdr:from>
    <xdr:to>
      <xdr:col>27</xdr:col>
      <xdr:colOff>487344</xdr:colOff>
      <xdr:row>21</xdr:row>
      <xdr:rowOff>126074</xdr:rowOff>
    </xdr:to>
    <xdr:sp macro="" textlink="">
      <xdr:nvSpPr>
        <xdr:cNvPr id="325" name="Oval 4"/>
        <xdr:cNvSpPr/>
      </xdr:nvSpPr>
      <xdr:spPr>
        <a:xfrm>
          <a:off x="16915719" y="383857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</xdr:col>
      <xdr:colOff>83682</xdr:colOff>
      <xdr:row>37</xdr:row>
      <xdr:rowOff>54426</xdr:rowOff>
    </xdr:from>
    <xdr:to>
      <xdr:col>23</xdr:col>
      <xdr:colOff>371682</xdr:colOff>
      <xdr:row>38</xdr:row>
      <xdr:rowOff>151926</xdr:rowOff>
    </xdr:to>
    <xdr:sp macro="" textlink="">
      <xdr:nvSpPr>
        <xdr:cNvPr id="326" name="Oval 5"/>
        <xdr:cNvSpPr/>
      </xdr:nvSpPr>
      <xdr:spPr>
        <a:xfrm>
          <a:off x="14323557" y="710292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10</xdr:col>
      <xdr:colOff>164644</xdr:colOff>
      <xdr:row>63</xdr:row>
      <xdr:rowOff>108857</xdr:rowOff>
    </xdr:from>
    <xdr:to>
      <xdr:col>10</xdr:col>
      <xdr:colOff>452644</xdr:colOff>
      <xdr:row>65</xdr:row>
      <xdr:rowOff>15857</xdr:rowOff>
    </xdr:to>
    <xdr:sp macro="" textlink="">
      <xdr:nvSpPr>
        <xdr:cNvPr id="327" name="Oval 6"/>
        <xdr:cNvSpPr/>
      </xdr:nvSpPr>
      <xdr:spPr>
        <a:xfrm>
          <a:off x="6355894" y="1211035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521453</xdr:colOff>
      <xdr:row>35</xdr:row>
      <xdr:rowOff>140152</xdr:rowOff>
    </xdr:from>
    <xdr:to>
      <xdr:col>8</xdr:col>
      <xdr:colOff>190328</xdr:colOff>
      <xdr:row>37</xdr:row>
      <xdr:rowOff>47152</xdr:rowOff>
    </xdr:to>
    <xdr:sp macro="" textlink="">
      <xdr:nvSpPr>
        <xdr:cNvPr id="328" name="Oval 7"/>
        <xdr:cNvSpPr/>
      </xdr:nvSpPr>
      <xdr:spPr>
        <a:xfrm>
          <a:off x="4855328" y="680765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15</xdr:col>
      <xdr:colOff>36738</xdr:colOff>
      <xdr:row>63</xdr:row>
      <xdr:rowOff>73477</xdr:rowOff>
    </xdr:from>
    <xdr:to>
      <xdr:col>15</xdr:col>
      <xdr:colOff>324738</xdr:colOff>
      <xdr:row>64</xdr:row>
      <xdr:rowOff>170977</xdr:rowOff>
    </xdr:to>
    <xdr:sp macro="" textlink="">
      <xdr:nvSpPr>
        <xdr:cNvPr id="329" name="Oval 8"/>
        <xdr:cNvSpPr/>
      </xdr:nvSpPr>
      <xdr:spPr>
        <a:xfrm>
          <a:off x="9323613" y="1207497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589454</xdr:colOff>
      <xdr:row>73</xdr:row>
      <xdr:rowOff>82702</xdr:rowOff>
    </xdr:from>
    <xdr:to>
      <xdr:col>8</xdr:col>
      <xdr:colOff>258329</xdr:colOff>
      <xdr:row>74</xdr:row>
      <xdr:rowOff>180202</xdr:rowOff>
    </xdr:to>
    <xdr:sp macro="" textlink="">
      <xdr:nvSpPr>
        <xdr:cNvPr id="330" name="Oval 9"/>
        <xdr:cNvSpPr/>
      </xdr:nvSpPr>
      <xdr:spPr>
        <a:xfrm>
          <a:off x="4923329" y="1398920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592974</xdr:colOff>
      <xdr:row>89</xdr:row>
      <xdr:rowOff>123533</xdr:rowOff>
    </xdr:from>
    <xdr:to>
      <xdr:col>8</xdr:col>
      <xdr:colOff>261849</xdr:colOff>
      <xdr:row>91</xdr:row>
      <xdr:rowOff>30533</xdr:rowOff>
    </xdr:to>
    <xdr:sp macro="" textlink="">
      <xdr:nvSpPr>
        <xdr:cNvPr id="331" name="Oval 10"/>
        <xdr:cNvSpPr/>
      </xdr:nvSpPr>
      <xdr:spPr>
        <a:xfrm>
          <a:off x="4926849" y="17078033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19</xdr:col>
      <xdr:colOff>164961</xdr:colOff>
      <xdr:row>55</xdr:row>
      <xdr:rowOff>60551</xdr:rowOff>
    </xdr:from>
    <xdr:to>
      <xdr:col>19</xdr:col>
      <xdr:colOff>452961</xdr:colOff>
      <xdr:row>56</xdr:row>
      <xdr:rowOff>158051</xdr:rowOff>
    </xdr:to>
    <xdr:sp macro="" textlink="">
      <xdr:nvSpPr>
        <xdr:cNvPr id="332" name="11"/>
        <xdr:cNvSpPr/>
      </xdr:nvSpPr>
      <xdr:spPr>
        <a:xfrm>
          <a:off x="11928336" y="1053805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15575</xdr:colOff>
      <xdr:row>105</xdr:row>
      <xdr:rowOff>33569</xdr:rowOff>
    </xdr:from>
    <xdr:to>
      <xdr:col>8</xdr:col>
      <xdr:colOff>303575</xdr:colOff>
      <xdr:row>106</xdr:row>
      <xdr:rowOff>131069</xdr:rowOff>
    </xdr:to>
    <xdr:sp macro="" textlink="">
      <xdr:nvSpPr>
        <xdr:cNvPr id="333" name="Oval 12"/>
        <xdr:cNvSpPr/>
      </xdr:nvSpPr>
      <xdr:spPr>
        <a:xfrm>
          <a:off x="4968575" y="2003606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24</xdr:col>
      <xdr:colOff>428625</xdr:colOff>
      <xdr:row>32</xdr:row>
      <xdr:rowOff>31975</xdr:rowOff>
    </xdr:from>
    <xdr:to>
      <xdr:col>25</xdr:col>
      <xdr:colOff>97500</xdr:colOff>
      <xdr:row>33</xdr:row>
      <xdr:rowOff>129475</xdr:rowOff>
    </xdr:to>
    <xdr:sp macro="" textlink="">
      <xdr:nvSpPr>
        <xdr:cNvPr id="334" name="Oval 333"/>
        <xdr:cNvSpPr/>
      </xdr:nvSpPr>
      <xdr:spPr>
        <a:xfrm>
          <a:off x="15287625" y="612797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18754</xdr:colOff>
      <xdr:row>115</xdr:row>
      <xdr:rowOff>92158</xdr:rowOff>
    </xdr:from>
    <xdr:to>
      <xdr:col>8</xdr:col>
      <xdr:colOff>306754</xdr:colOff>
      <xdr:row>116</xdr:row>
      <xdr:rowOff>189658</xdr:rowOff>
    </xdr:to>
    <xdr:sp macro="" textlink="">
      <xdr:nvSpPr>
        <xdr:cNvPr id="335" name="Oval 14"/>
        <xdr:cNvSpPr/>
      </xdr:nvSpPr>
      <xdr:spPr>
        <a:xfrm>
          <a:off x="4971754" y="21999658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545266</xdr:colOff>
      <xdr:row>42</xdr:row>
      <xdr:rowOff>29933</xdr:rowOff>
    </xdr:from>
    <xdr:to>
      <xdr:col>8</xdr:col>
      <xdr:colOff>214141</xdr:colOff>
      <xdr:row>43</xdr:row>
      <xdr:rowOff>127433</xdr:rowOff>
    </xdr:to>
    <xdr:sp macro="" textlink="">
      <xdr:nvSpPr>
        <xdr:cNvPr id="336" name="Oval 15"/>
        <xdr:cNvSpPr/>
      </xdr:nvSpPr>
      <xdr:spPr>
        <a:xfrm>
          <a:off x="4879141" y="8030933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12</xdr:col>
      <xdr:colOff>408892</xdr:colOff>
      <xdr:row>63</xdr:row>
      <xdr:rowOff>108857</xdr:rowOff>
    </xdr:from>
    <xdr:to>
      <xdr:col>13</xdr:col>
      <xdr:colOff>77767</xdr:colOff>
      <xdr:row>65</xdr:row>
      <xdr:rowOff>15857</xdr:rowOff>
    </xdr:to>
    <xdr:sp macro="" textlink="">
      <xdr:nvSpPr>
        <xdr:cNvPr id="337" name="Oval 16"/>
        <xdr:cNvSpPr/>
      </xdr:nvSpPr>
      <xdr:spPr>
        <a:xfrm>
          <a:off x="7838392" y="1211035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26163</xdr:colOff>
      <xdr:row>120</xdr:row>
      <xdr:rowOff>43471</xdr:rowOff>
    </xdr:from>
    <xdr:to>
      <xdr:col>8</xdr:col>
      <xdr:colOff>314163</xdr:colOff>
      <xdr:row>121</xdr:row>
      <xdr:rowOff>140971</xdr:rowOff>
    </xdr:to>
    <xdr:sp macro="" textlink="">
      <xdr:nvSpPr>
        <xdr:cNvPr id="338" name="Oval 17"/>
        <xdr:cNvSpPr/>
      </xdr:nvSpPr>
      <xdr:spPr>
        <a:xfrm>
          <a:off x="4979163" y="2290347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26</xdr:col>
      <xdr:colOff>244929</xdr:colOff>
      <xdr:row>27</xdr:row>
      <xdr:rowOff>119741</xdr:rowOff>
    </xdr:from>
    <xdr:to>
      <xdr:col>26</xdr:col>
      <xdr:colOff>532929</xdr:colOff>
      <xdr:row>29</xdr:row>
      <xdr:rowOff>26741</xdr:rowOff>
    </xdr:to>
    <xdr:sp macro="" textlink="">
      <xdr:nvSpPr>
        <xdr:cNvPr id="339" name="Oval 338"/>
        <xdr:cNvSpPr/>
      </xdr:nvSpPr>
      <xdr:spPr>
        <a:xfrm>
          <a:off x="16342179" y="526324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21397</xdr:colOff>
      <xdr:row>110</xdr:row>
      <xdr:rowOff>87616</xdr:rowOff>
    </xdr:from>
    <xdr:to>
      <xdr:col>8</xdr:col>
      <xdr:colOff>309397</xdr:colOff>
      <xdr:row>111</xdr:row>
      <xdr:rowOff>185116</xdr:rowOff>
    </xdr:to>
    <xdr:sp macro="" textlink="">
      <xdr:nvSpPr>
        <xdr:cNvPr id="340" name="Oval 19"/>
        <xdr:cNvSpPr/>
      </xdr:nvSpPr>
      <xdr:spPr>
        <a:xfrm>
          <a:off x="4974397" y="2104261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607257</xdr:colOff>
      <xdr:row>78</xdr:row>
      <xdr:rowOff>136905</xdr:rowOff>
    </xdr:from>
    <xdr:to>
      <xdr:col>8</xdr:col>
      <xdr:colOff>276132</xdr:colOff>
      <xdr:row>80</xdr:row>
      <xdr:rowOff>43905</xdr:rowOff>
    </xdr:to>
    <xdr:sp macro="" textlink="">
      <xdr:nvSpPr>
        <xdr:cNvPr id="341" name="Oval 20"/>
        <xdr:cNvSpPr/>
      </xdr:nvSpPr>
      <xdr:spPr>
        <a:xfrm>
          <a:off x="4941132" y="1499590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9754</xdr:colOff>
      <xdr:row>99</xdr:row>
      <xdr:rowOff>161250</xdr:rowOff>
    </xdr:from>
    <xdr:to>
      <xdr:col>8</xdr:col>
      <xdr:colOff>297754</xdr:colOff>
      <xdr:row>101</xdr:row>
      <xdr:rowOff>68250</xdr:rowOff>
    </xdr:to>
    <xdr:sp macro="" textlink="">
      <xdr:nvSpPr>
        <xdr:cNvPr id="342" name="Oval 21"/>
        <xdr:cNvSpPr/>
      </xdr:nvSpPr>
      <xdr:spPr>
        <a:xfrm>
          <a:off x="4962754" y="1902075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26</xdr:col>
      <xdr:colOff>606146</xdr:colOff>
      <xdr:row>68</xdr:row>
      <xdr:rowOff>105925</xdr:rowOff>
    </xdr:from>
    <xdr:to>
      <xdr:col>27</xdr:col>
      <xdr:colOff>275021</xdr:colOff>
      <xdr:row>70</xdr:row>
      <xdr:rowOff>12925</xdr:rowOff>
    </xdr:to>
    <xdr:sp macro="" textlink="">
      <xdr:nvSpPr>
        <xdr:cNvPr id="343" name="Oval 22"/>
        <xdr:cNvSpPr/>
      </xdr:nvSpPr>
      <xdr:spPr>
        <a:xfrm>
          <a:off x="16703396" y="1305992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556907</xdr:colOff>
      <xdr:row>49</xdr:row>
      <xdr:rowOff>86404</xdr:rowOff>
    </xdr:from>
    <xdr:to>
      <xdr:col>8</xdr:col>
      <xdr:colOff>225782</xdr:colOff>
      <xdr:row>50</xdr:row>
      <xdr:rowOff>183904</xdr:rowOff>
    </xdr:to>
    <xdr:sp macro="" textlink="">
      <xdr:nvSpPr>
        <xdr:cNvPr id="344" name="Oval 23"/>
        <xdr:cNvSpPr/>
      </xdr:nvSpPr>
      <xdr:spPr>
        <a:xfrm>
          <a:off x="4890782" y="942090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</xdr:col>
      <xdr:colOff>507807</xdr:colOff>
      <xdr:row>70</xdr:row>
      <xdr:rowOff>104200</xdr:rowOff>
    </xdr:from>
    <xdr:to>
      <xdr:col>24</xdr:col>
      <xdr:colOff>176682</xdr:colOff>
      <xdr:row>72</xdr:row>
      <xdr:rowOff>11200</xdr:rowOff>
    </xdr:to>
    <xdr:sp macro="" textlink="">
      <xdr:nvSpPr>
        <xdr:cNvPr id="345" name="Oval 24"/>
        <xdr:cNvSpPr/>
      </xdr:nvSpPr>
      <xdr:spPr>
        <a:xfrm>
          <a:off x="14747682" y="1343920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40180</xdr:colOff>
      <xdr:row>124</xdr:row>
      <xdr:rowOff>77187</xdr:rowOff>
    </xdr:from>
    <xdr:to>
      <xdr:col>8</xdr:col>
      <xdr:colOff>328180</xdr:colOff>
      <xdr:row>125</xdr:row>
      <xdr:rowOff>174687</xdr:rowOff>
    </xdr:to>
    <xdr:sp macro="" textlink="">
      <xdr:nvSpPr>
        <xdr:cNvPr id="346" name="Oval 25"/>
        <xdr:cNvSpPr/>
      </xdr:nvSpPr>
      <xdr:spPr>
        <a:xfrm>
          <a:off x="4993180" y="2369918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286427</xdr:colOff>
      <xdr:row>63</xdr:row>
      <xdr:rowOff>176514</xdr:rowOff>
    </xdr:from>
    <xdr:to>
      <xdr:col>3</xdr:col>
      <xdr:colOff>574427</xdr:colOff>
      <xdr:row>65</xdr:row>
      <xdr:rowOff>83514</xdr:rowOff>
    </xdr:to>
    <xdr:sp macro="" textlink="">
      <xdr:nvSpPr>
        <xdr:cNvPr id="347" name="Oval 26"/>
        <xdr:cNvSpPr/>
      </xdr:nvSpPr>
      <xdr:spPr>
        <a:xfrm>
          <a:off x="2143802" y="1217801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609377</xdr:colOff>
      <xdr:row>94</xdr:row>
      <xdr:rowOff>98051</xdr:rowOff>
    </xdr:from>
    <xdr:to>
      <xdr:col>8</xdr:col>
      <xdr:colOff>278252</xdr:colOff>
      <xdr:row>96</xdr:row>
      <xdr:rowOff>5051</xdr:rowOff>
    </xdr:to>
    <xdr:sp macro="" textlink="">
      <xdr:nvSpPr>
        <xdr:cNvPr id="348" name="Oval 27"/>
        <xdr:cNvSpPr/>
      </xdr:nvSpPr>
      <xdr:spPr>
        <a:xfrm>
          <a:off x="4943252" y="1800505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20</xdr:col>
      <xdr:colOff>179927</xdr:colOff>
      <xdr:row>71</xdr:row>
      <xdr:rowOff>112626</xdr:rowOff>
    </xdr:from>
    <xdr:to>
      <xdr:col>20</xdr:col>
      <xdr:colOff>467927</xdr:colOff>
      <xdr:row>73</xdr:row>
      <xdr:rowOff>19626</xdr:rowOff>
    </xdr:to>
    <xdr:sp macro="" textlink="">
      <xdr:nvSpPr>
        <xdr:cNvPr id="349" name="Oval 28"/>
        <xdr:cNvSpPr/>
      </xdr:nvSpPr>
      <xdr:spPr>
        <a:xfrm>
          <a:off x="12562427" y="1363812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506108</xdr:colOff>
      <xdr:row>29</xdr:row>
      <xdr:rowOff>14967</xdr:rowOff>
    </xdr:from>
    <xdr:to>
      <xdr:col>8</xdr:col>
      <xdr:colOff>174983</xdr:colOff>
      <xdr:row>30</xdr:row>
      <xdr:rowOff>112467</xdr:rowOff>
    </xdr:to>
    <xdr:sp macro="" textlink="">
      <xdr:nvSpPr>
        <xdr:cNvPr id="350" name="Oval 29"/>
        <xdr:cNvSpPr/>
      </xdr:nvSpPr>
      <xdr:spPr>
        <a:xfrm>
          <a:off x="4839983" y="553946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592589</xdr:colOff>
      <xdr:row>63</xdr:row>
      <xdr:rowOff>119062</xdr:rowOff>
    </xdr:from>
    <xdr:to>
      <xdr:col>8</xdr:col>
      <xdr:colOff>261464</xdr:colOff>
      <xdr:row>65</xdr:row>
      <xdr:rowOff>26062</xdr:rowOff>
    </xdr:to>
    <xdr:sp macro="" textlink="">
      <xdr:nvSpPr>
        <xdr:cNvPr id="351" name="Oval 30"/>
        <xdr:cNvSpPr/>
      </xdr:nvSpPr>
      <xdr:spPr>
        <a:xfrm>
          <a:off x="4926464" y="1212056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20</xdr:col>
      <xdr:colOff>528792</xdr:colOff>
      <xdr:row>50</xdr:row>
      <xdr:rowOff>48304</xdr:rowOff>
    </xdr:from>
    <xdr:to>
      <xdr:col>21</xdr:col>
      <xdr:colOff>197667</xdr:colOff>
      <xdr:row>51</xdr:row>
      <xdr:rowOff>145804</xdr:rowOff>
    </xdr:to>
    <xdr:sp macro="" textlink="">
      <xdr:nvSpPr>
        <xdr:cNvPr id="352" name="Oval 31"/>
        <xdr:cNvSpPr/>
      </xdr:nvSpPr>
      <xdr:spPr>
        <a:xfrm>
          <a:off x="12911292" y="957330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21</xdr:col>
      <xdr:colOff>562131</xdr:colOff>
      <xdr:row>43</xdr:row>
      <xdr:rowOff>180973</xdr:rowOff>
    </xdr:from>
    <xdr:to>
      <xdr:col>22</xdr:col>
      <xdr:colOff>231006</xdr:colOff>
      <xdr:row>45</xdr:row>
      <xdr:rowOff>87973</xdr:rowOff>
    </xdr:to>
    <xdr:sp macro="" textlink="">
      <xdr:nvSpPr>
        <xdr:cNvPr id="353" name="32"/>
        <xdr:cNvSpPr/>
      </xdr:nvSpPr>
      <xdr:spPr>
        <a:xfrm>
          <a:off x="13563756" y="8372473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17</xdr:col>
      <xdr:colOff>297995</xdr:colOff>
      <xdr:row>59</xdr:row>
      <xdr:rowOff>134710</xdr:rowOff>
    </xdr:from>
    <xdr:to>
      <xdr:col>17</xdr:col>
      <xdr:colOff>585995</xdr:colOff>
      <xdr:row>61</xdr:row>
      <xdr:rowOff>41710</xdr:rowOff>
    </xdr:to>
    <xdr:sp macro="" textlink="">
      <xdr:nvSpPr>
        <xdr:cNvPr id="354" name="Oval 33"/>
        <xdr:cNvSpPr/>
      </xdr:nvSpPr>
      <xdr:spPr>
        <a:xfrm>
          <a:off x="10823120" y="1137421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289832</xdr:colOff>
      <xdr:row>63</xdr:row>
      <xdr:rowOff>187098</xdr:rowOff>
    </xdr:from>
    <xdr:to>
      <xdr:col>1</xdr:col>
      <xdr:colOff>577832</xdr:colOff>
      <xdr:row>65</xdr:row>
      <xdr:rowOff>94098</xdr:rowOff>
    </xdr:to>
    <xdr:sp macro="" textlink="">
      <xdr:nvSpPr>
        <xdr:cNvPr id="355" name="Oval 34"/>
        <xdr:cNvSpPr/>
      </xdr:nvSpPr>
      <xdr:spPr>
        <a:xfrm>
          <a:off x="908957" y="12188598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217032</xdr:colOff>
      <xdr:row>23</xdr:row>
      <xdr:rowOff>91846</xdr:rowOff>
    </xdr:from>
    <xdr:to>
      <xdr:col>11</xdr:col>
      <xdr:colOff>505032</xdr:colOff>
      <xdr:row>24</xdr:row>
      <xdr:rowOff>189346</xdr:rowOff>
    </xdr:to>
    <xdr:sp macro="" textlink="">
      <xdr:nvSpPr>
        <xdr:cNvPr id="356" name="Oval 35"/>
        <xdr:cNvSpPr/>
      </xdr:nvSpPr>
      <xdr:spPr>
        <a:xfrm>
          <a:off x="7027407" y="447334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589720</xdr:colOff>
      <xdr:row>83</xdr:row>
      <xdr:rowOff>186419</xdr:rowOff>
    </xdr:from>
    <xdr:to>
      <xdr:col>8</xdr:col>
      <xdr:colOff>258595</xdr:colOff>
      <xdr:row>85</xdr:row>
      <xdr:rowOff>93419</xdr:rowOff>
    </xdr:to>
    <xdr:sp macro="" textlink="">
      <xdr:nvSpPr>
        <xdr:cNvPr id="357" name="Oval 36"/>
        <xdr:cNvSpPr/>
      </xdr:nvSpPr>
      <xdr:spPr>
        <a:xfrm>
          <a:off x="4923595" y="1599791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489026</xdr:colOff>
      <xdr:row>13</xdr:row>
      <xdr:rowOff>180974</xdr:rowOff>
    </xdr:from>
    <xdr:to>
      <xdr:col>8</xdr:col>
      <xdr:colOff>157901</xdr:colOff>
      <xdr:row>15</xdr:row>
      <xdr:rowOff>87974</xdr:rowOff>
    </xdr:to>
    <xdr:sp macro="" textlink="">
      <xdr:nvSpPr>
        <xdr:cNvPr id="358" name="Oval 37"/>
        <xdr:cNvSpPr/>
      </xdr:nvSpPr>
      <xdr:spPr>
        <a:xfrm>
          <a:off x="4822901" y="265747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</xdr:col>
      <xdr:colOff>587827</xdr:colOff>
      <xdr:row>54</xdr:row>
      <xdr:rowOff>156257</xdr:rowOff>
    </xdr:from>
    <xdr:to>
      <xdr:col>15</xdr:col>
      <xdr:colOff>256702</xdr:colOff>
      <xdr:row>56</xdr:row>
      <xdr:rowOff>63257</xdr:rowOff>
    </xdr:to>
    <xdr:sp macro="" textlink="">
      <xdr:nvSpPr>
        <xdr:cNvPr id="359" name="Oval 38"/>
        <xdr:cNvSpPr/>
      </xdr:nvSpPr>
      <xdr:spPr>
        <a:xfrm>
          <a:off x="9255577" y="1044325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493256</xdr:colOff>
      <xdr:row>21</xdr:row>
      <xdr:rowOff>42182</xdr:rowOff>
    </xdr:from>
    <xdr:to>
      <xdr:col>8</xdr:col>
      <xdr:colOff>162131</xdr:colOff>
      <xdr:row>22</xdr:row>
      <xdr:rowOff>139682</xdr:rowOff>
    </xdr:to>
    <xdr:sp macro="" textlink="">
      <xdr:nvSpPr>
        <xdr:cNvPr id="360" name="Oval 39"/>
        <xdr:cNvSpPr/>
      </xdr:nvSpPr>
      <xdr:spPr>
        <a:xfrm>
          <a:off x="4827131" y="404268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280987</xdr:colOff>
      <xdr:row>56</xdr:row>
      <xdr:rowOff>137431</xdr:rowOff>
    </xdr:from>
    <xdr:to>
      <xdr:col>0</xdr:col>
      <xdr:colOff>568987</xdr:colOff>
      <xdr:row>58</xdr:row>
      <xdr:rowOff>44431</xdr:rowOff>
    </xdr:to>
    <xdr:sp macro="" textlink="">
      <xdr:nvSpPr>
        <xdr:cNvPr id="361" name="Oval 40"/>
        <xdr:cNvSpPr/>
      </xdr:nvSpPr>
      <xdr:spPr>
        <a:xfrm>
          <a:off x="280987" y="1080543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</xdr:col>
      <xdr:colOff>520474</xdr:colOff>
      <xdr:row>44</xdr:row>
      <xdr:rowOff>14215</xdr:rowOff>
    </xdr:from>
    <xdr:to>
      <xdr:col>15</xdr:col>
      <xdr:colOff>189349</xdr:colOff>
      <xdr:row>45</xdr:row>
      <xdr:rowOff>111715</xdr:rowOff>
    </xdr:to>
    <xdr:sp macro="" textlink="">
      <xdr:nvSpPr>
        <xdr:cNvPr id="362" name="Oval 41"/>
        <xdr:cNvSpPr/>
      </xdr:nvSpPr>
      <xdr:spPr>
        <a:xfrm>
          <a:off x="9188224" y="839621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394607</xdr:colOff>
      <xdr:row>63</xdr:row>
      <xdr:rowOff>134709</xdr:rowOff>
    </xdr:from>
    <xdr:to>
      <xdr:col>6</xdr:col>
      <xdr:colOff>63482</xdr:colOff>
      <xdr:row>65</xdr:row>
      <xdr:rowOff>41709</xdr:rowOff>
    </xdr:to>
    <xdr:sp macro="" textlink="">
      <xdr:nvSpPr>
        <xdr:cNvPr id="363" name="Oval 42"/>
        <xdr:cNvSpPr/>
      </xdr:nvSpPr>
      <xdr:spPr>
        <a:xfrm>
          <a:off x="3490232" y="1213620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591120</xdr:colOff>
      <xdr:row>68</xdr:row>
      <xdr:rowOff>68953</xdr:rowOff>
    </xdr:from>
    <xdr:to>
      <xdr:col>8</xdr:col>
      <xdr:colOff>259995</xdr:colOff>
      <xdr:row>69</xdr:row>
      <xdr:rowOff>166453</xdr:rowOff>
    </xdr:to>
    <xdr:sp macro="" textlink="">
      <xdr:nvSpPr>
        <xdr:cNvPr id="364" name="Oval 43"/>
        <xdr:cNvSpPr/>
      </xdr:nvSpPr>
      <xdr:spPr>
        <a:xfrm>
          <a:off x="4924995" y="13022953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28</xdr:col>
      <xdr:colOff>418523</xdr:colOff>
      <xdr:row>61</xdr:row>
      <xdr:rowOff>12402</xdr:rowOff>
    </xdr:from>
    <xdr:to>
      <xdr:col>29</xdr:col>
      <xdr:colOff>87398</xdr:colOff>
      <xdr:row>62</xdr:row>
      <xdr:rowOff>109902</xdr:rowOff>
    </xdr:to>
    <xdr:sp macro="" textlink="">
      <xdr:nvSpPr>
        <xdr:cNvPr id="365" name="Oval 44"/>
        <xdr:cNvSpPr/>
      </xdr:nvSpPr>
      <xdr:spPr>
        <a:xfrm>
          <a:off x="17754023" y="1163290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17</xdr:col>
      <xdr:colOff>300035</xdr:colOff>
      <xdr:row>69</xdr:row>
      <xdr:rowOff>131989</xdr:rowOff>
    </xdr:from>
    <xdr:to>
      <xdr:col>17</xdr:col>
      <xdr:colOff>588035</xdr:colOff>
      <xdr:row>71</xdr:row>
      <xdr:rowOff>38989</xdr:rowOff>
    </xdr:to>
    <xdr:sp macro="" textlink="">
      <xdr:nvSpPr>
        <xdr:cNvPr id="366" name="Oval 45"/>
        <xdr:cNvSpPr/>
      </xdr:nvSpPr>
      <xdr:spPr>
        <a:xfrm>
          <a:off x="10825160" y="1327648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13901</xdr:colOff>
      <xdr:row>15</xdr:row>
      <xdr:rowOff>87974</xdr:rowOff>
    </xdr:from>
    <xdr:to>
      <xdr:col>8</xdr:col>
      <xdr:colOff>18131</xdr:colOff>
      <xdr:row>21</xdr:row>
      <xdr:rowOff>42182</xdr:rowOff>
    </xdr:to>
    <xdr:cxnSp macro="">
      <xdr:nvCxnSpPr>
        <xdr:cNvPr id="3" name="Straight Connector 50"/>
        <xdr:cNvCxnSpPr>
          <a:stCxn id="358" idx="4"/>
          <a:endCxn id="360" idx="0"/>
        </xdr:cNvCxnSpPr>
      </xdr:nvCxnSpPr>
      <xdr:spPr>
        <a:xfrm>
          <a:off x="4966901" y="2945474"/>
          <a:ext cx="4230" cy="109720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18131</xdr:colOff>
      <xdr:row>22</xdr:row>
      <xdr:rowOff>139682</xdr:rowOff>
    </xdr:from>
    <xdr:to>
      <xdr:col>8</xdr:col>
      <xdr:colOff>30983</xdr:colOff>
      <xdr:row>29</xdr:row>
      <xdr:rowOff>14967</xdr:rowOff>
    </xdr:to>
    <xdr:cxnSp macro="">
      <xdr:nvCxnSpPr>
        <xdr:cNvPr id="7" name="Straight Connector 51"/>
        <xdr:cNvCxnSpPr>
          <a:stCxn id="360" idx="4"/>
          <a:endCxn id="350" idx="0"/>
        </xdr:cNvCxnSpPr>
      </xdr:nvCxnSpPr>
      <xdr:spPr>
        <a:xfrm>
          <a:off x="4971131" y="4330682"/>
          <a:ext cx="12852" cy="120878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30983</xdr:colOff>
      <xdr:row>30</xdr:row>
      <xdr:rowOff>112467</xdr:rowOff>
    </xdr:from>
    <xdr:to>
      <xdr:col>8</xdr:col>
      <xdr:colOff>46328</xdr:colOff>
      <xdr:row>35</xdr:row>
      <xdr:rowOff>140152</xdr:rowOff>
    </xdr:to>
    <xdr:cxnSp macro="">
      <xdr:nvCxnSpPr>
        <xdr:cNvPr id="9" name="Straight Connector 52"/>
        <xdr:cNvCxnSpPr>
          <a:stCxn id="350" idx="4"/>
          <a:endCxn id="328" idx="0"/>
        </xdr:cNvCxnSpPr>
      </xdr:nvCxnSpPr>
      <xdr:spPr>
        <a:xfrm>
          <a:off x="4983983" y="5827467"/>
          <a:ext cx="15345" cy="98018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46328</xdr:colOff>
      <xdr:row>37</xdr:row>
      <xdr:rowOff>47152</xdr:rowOff>
    </xdr:from>
    <xdr:to>
      <xdr:col>8</xdr:col>
      <xdr:colOff>70141</xdr:colOff>
      <xdr:row>42</xdr:row>
      <xdr:rowOff>29933</xdr:rowOff>
    </xdr:to>
    <xdr:cxnSp macro="">
      <xdr:nvCxnSpPr>
        <xdr:cNvPr id="11" name="Straight Connector 53"/>
        <xdr:cNvCxnSpPr>
          <a:stCxn id="328" idx="4"/>
          <a:endCxn id="336" idx="0"/>
        </xdr:cNvCxnSpPr>
      </xdr:nvCxnSpPr>
      <xdr:spPr>
        <a:xfrm>
          <a:off x="4999328" y="7095652"/>
          <a:ext cx="23813" cy="93528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70141</xdr:colOff>
      <xdr:row>43</xdr:row>
      <xdr:rowOff>127433</xdr:rowOff>
    </xdr:from>
    <xdr:to>
      <xdr:col>8</xdr:col>
      <xdr:colOff>81782</xdr:colOff>
      <xdr:row>49</xdr:row>
      <xdr:rowOff>86404</xdr:rowOff>
    </xdr:to>
    <xdr:cxnSp macro="">
      <xdr:nvCxnSpPr>
        <xdr:cNvPr id="13" name="Straight Connector 54"/>
        <xdr:cNvCxnSpPr>
          <a:stCxn id="336" idx="4"/>
          <a:endCxn id="344" idx="0"/>
        </xdr:cNvCxnSpPr>
      </xdr:nvCxnSpPr>
      <xdr:spPr>
        <a:xfrm>
          <a:off x="5023141" y="8318933"/>
          <a:ext cx="11641" cy="110197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81782</xdr:colOff>
      <xdr:row>50</xdr:row>
      <xdr:rowOff>183904</xdr:rowOff>
    </xdr:from>
    <xdr:to>
      <xdr:col>8</xdr:col>
      <xdr:colOff>99776</xdr:colOff>
      <xdr:row>57</xdr:row>
      <xdr:rowOff>51705</xdr:rowOff>
    </xdr:to>
    <xdr:cxnSp macro="">
      <xdr:nvCxnSpPr>
        <xdr:cNvPr id="15" name="Straight Connector 55"/>
        <xdr:cNvCxnSpPr>
          <a:stCxn id="344" idx="4"/>
          <a:endCxn id="323" idx="0"/>
        </xdr:cNvCxnSpPr>
      </xdr:nvCxnSpPr>
      <xdr:spPr>
        <a:xfrm>
          <a:off x="5034782" y="9708904"/>
          <a:ext cx="17994" cy="120130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99776</xdr:colOff>
      <xdr:row>58</xdr:row>
      <xdr:rowOff>149205</xdr:rowOff>
    </xdr:from>
    <xdr:to>
      <xdr:col>8</xdr:col>
      <xdr:colOff>117464</xdr:colOff>
      <xdr:row>63</xdr:row>
      <xdr:rowOff>119062</xdr:rowOff>
    </xdr:to>
    <xdr:cxnSp macro="">
      <xdr:nvCxnSpPr>
        <xdr:cNvPr id="17" name="Straight Connector 56"/>
        <xdr:cNvCxnSpPr>
          <a:stCxn id="323" idx="4"/>
          <a:endCxn id="351" idx="0"/>
        </xdr:cNvCxnSpPr>
      </xdr:nvCxnSpPr>
      <xdr:spPr>
        <a:xfrm>
          <a:off x="5052776" y="11198205"/>
          <a:ext cx="17688" cy="92235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115995</xdr:colOff>
      <xdr:row>65</xdr:row>
      <xdr:rowOff>26062</xdr:rowOff>
    </xdr:from>
    <xdr:to>
      <xdr:col>8</xdr:col>
      <xdr:colOff>117464</xdr:colOff>
      <xdr:row>68</xdr:row>
      <xdr:rowOff>68953</xdr:rowOff>
    </xdr:to>
    <xdr:cxnSp macro="">
      <xdr:nvCxnSpPr>
        <xdr:cNvPr id="19" name="Straight Connector 57"/>
        <xdr:cNvCxnSpPr>
          <a:stCxn id="351" idx="4"/>
          <a:endCxn id="364" idx="0"/>
        </xdr:cNvCxnSpPr>
      </xdr:nvCxnSpPr>
      <xdr:spPr>
        <a:xfrm flipH="1">
          <a:off x="5068995" y="12408562"/>
          <a:ext cx="1469" cy="61439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114329</xdr:colOff>
      <xdr:row>69</xdr:row>
      <xdr:rowOff>166453</xdr:rowOff>
    </xdr:from>
    <xdr:to>
      <xdr:col>8</xdr:col>
      <xdr:colOff>115995</xdr:colOff>
      <xdr:row>73</xdr:row>
      <xdr:rowOff>82702</xdr:rowOff>
    </xdr:to>
    <xdr:cxnSp macro="">
      <xdr:nvCxnSpPr>
        <xdr:cNvPr id="21" name="Straight Connector 58"/>
        <xdr:cNvCxnSpPr>
          <a:stCxn id="364" idx="4"/>
          <a:endCxn id="330" idx="0"/>
        </xdr:cNvCxnSpPr>
      </xdr:nvCxnSpPr>
      <xdr:spPr>
        <a:xfrm flipH="1">
          <a:off x="5067329" y="13310953"/>
          <a:ext cx="1666" cy="67824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114329</xdr:colOff>
      <xdr:row>74</xdr:row>
      <xdr:rowOff>180202</xdr:rowOff>
    </xdr:from>
    <xdr:to>
      <xdr:col>8</xdr:col>
      <xdr:colOff>132132</xdr:colOff>
      <xdr:row>78</xdr:row>
      <xdr:rowOff>136905</xdr:rowOff>
    </xdr:to>
    <xdr:cxnSp macro="">
      <xdr:nvCxnSpPr>
        <xdr:cNvPr id="23" name="Straight Connector 59"/>
        <xdr:cNvCxnSpPr>
          <a:stCxn id="330" idx="4"/>
          <a:endCxn id="341" idx="0"/>
        </xdr:cNvCxnSpPr>
      </xdr:nvCxnSpPr>
      <xdr:spPr>
        <a:xfrm>
          <a:off x="5067329" y="14277202"/>
          <a:ext cx="17803" cy="71870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114595</xdr:colOff>
      <xdr:row>80</xdr:row>
      <xdr:rowOff>43905</xdr:rowOff>
    </xdr:from>
    <xdr:to>
      <xdr:col>8</xdr:col>
      <xdr:colOff>132132</xdr:colOff>
      <xdr:row>83</xdr:row>
      <xdr:rowOff>186419</xdr:rowOff>
    </xdr:to>
    <xdr:cxnSp macro="">
      <xdr:nvCxnSpPr>
        <xdr:cNvPr id="25" name="Straight Connector 60"/>
        <xdr:cNvCxnSpPr>
          <a:stCxn id="341" idx="4"/>
          <a:endCxn id="357" idx="0"/>
        </xdr:cNvCxnSpPr>
      </xdr:nvCxnSpPr>
      <xdr:spPr>
        <a:xfrm flipH="1">
          <a:off x="5067595" y="15283905"/>
          <a:ext cx="17537" cy="71401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114595</xdr:colOff>
      <xdr:row>85</xdr:row>
      <xdr:rowOff>93419</xdr:rowOff>
    </xdr:from>
    <xdr:to>
      <xdr:col>8</xdr:col>
      <xdr:colOff>117849</xdr:colOff>
      <xdr:row>89</xdr:row>
      <xdr:rowOff>123533</xdr:rowOff>
    </xdr:to>
    <xdr:cxnSp macro="">
      <xdr:nvCxnSpPr>
        <xdr:cNvPr id="27" name="Straight Connector 61"/>
        <xdr:cNvCxnSpPr>
          <a:stCxn id="357" idx="4"/>
          <a:endCxn id="331" idx="0"/>
        </xdr:cNvCxnSpPr>
      </xdr:nvCxnSpPr>
      <xdr:spPr>
        <a:xfrm>
          <a:off x="5067595" y="16285919"/>
          <a:ext cx="3254" cy="79211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117849</xdr:colOff>
      <xdr:row>91</xdr:row>
      <xdr:rowOff>30533</xdr:rowOff>
    </xdr:from>
    <xdr:to>
      <xdr:col>8</xdr:col>
      <xdr:colOff>134252</xdr:colOff>
      <xdr:row>94</xdr:row>
      <xdr:rowOff>98051</xdr:rowOff>
    </xdr:to>
    <xdr:cxnSp macro="">
      <xdr:nvCxnSpPr>
        <xdr:cNvPr id="29" name="Straight Connector 62"/>
        <xdr:cNvCxnSpPr>
          <a:stCxn id="331" idx="4"/>
          <a:endCxn id="348" idx="0"/>
        </xdr:cNvCxnSpPr>
      </xdr:nvCxnSpPr>
      <xdr:spPr>
        <a:xfrm>
          <a:off x="5070849" y="17366033"/>
          <a:ext cx="16403" cy="63901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134252</xdr:colOff>
      <xdr:row>96</xdr:row>
      <xdr:rowOff>5051</xdr:rowOff>
    </xdr:from>
    <xdr:to>
      <xdr:col>8</xdr:col>
      <xdr:colOff>153754</xdr:colOff>
      <xdr:row>99</xdr:row>
      <xdr:rowOff>161250</xdr:rowOff>
    </xdr:to>
    <xdr:cxnSp macro="">
      <xdr:nvCxnSpPr>
        <xdr:cNvPr id="31" name="Straight Connector 63"/>
        <xdr:cNvCxnSpPr>
          <a:stCxn id="348" idx="4"/>
          <a:endCxn id="342" idx="0"/>
        </xdr:cNvCxnSpPr>
      </xdr:nvCxnSpPr>
      <xdr:spPr>
        <a:xfrm>
          <a:off x="5087252" y="18293051"/>
          <a:ext cx="19502" cy="72769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153754</xdr:colOff>
      <xdr:row>101</xdr:row>
      <xdr:rowOff>68250</xdr:rowOff>
    </xdr:from>
    <xdr:to>
      <xdr:col>8</xdr:col>
      <xdr:colOff>159575</xdr:colOff>
      <xdr:row>105</xdr:row>
      <xdr:rowOff>33569</xdr:rowOff>
    </xdr:to>
    <xdr:cxnSp macro="">
      <xdr:nvCxnSpPr>
        <xdr:cNvPr id="449" name="Straight Connector 64"/>
        <xdr:cNvCxnSpPr>
          <a:stCxn id="342" idx="4"/>
          <a:endCxn id="333" idx="0"/>
        </xdr:cNvCxnSpPr>
      </xdr:nvCxnSpPr>
      <xdr:spPr>
        <a:xfrm>
          <a:off x="5106754" y="19308750"/>
          <a:ext cx="5821" cy="72731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159575</xdr:colOff>
      <xdr:row>106</xdr:row>
      <xdr:rowOff>131069</xdr:rowOff>
    </xdr:from>
    <xdr:to>
      <xdr:col>8</xdr:col>
      <xdr:colOff>165397</xdr:colOff>
      <xdr:row>110</xdr:row>
      <xdr:rowOff>87616</xdr:rowOff>
    </xdr:to>
    <xdr:cxnSp macro="">
      <xdr:nvCxnSpPr>
        <xdr:cNvPr id="451" name="Straight Connector 65"/>
        <xdr:cNvCxnSpPr>
          <a:stCxn id="333" idx="4"/>
          <a:endCxn id="340" idx="0"/>
        </xdr:cNvCxnSpPr>
      </xdr:nvCxnSpPr>
      <xdr:spPr>
        <a:xfrm>
          <a:off x="5112575" y="20324069"/>
          <a:ext cx="5822" cy="71854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162754</xdr:colOff>
      <xdr:row>111</xdr:row>
      <xdr:rowOff>185116</xdr:rowOff>
    </xdr:from>
    <xdr:to>
      <xdr:col>8</xdr:col>
      <xdr:colOff>165397</xdr:colOff>
      <xdr:row>115</xdr:row>
      <xdr:rowOff>92158</xdr:rowOff>
    </xdr:to>
    <xdr:cxnSp macro="">
      <xdr:nvCxnSpPr>
        <xdr:cNvPr id="453" name="Straight Connector 66"/>
        <xdr:cNvCxnSpPr>
          <a:stCxn id="340" idx="4"/>
          <a:endCxn id="335" idx="0"/>
        </xdr:cNvCxnSpPr>
      </xdr:nvCxnSpPr>
      <xdr:spPr>
        <a:xfrm flipH="1">
          <a:off x="5115754" y="21330616"/>
          <a:ext cx="2643" cy="66904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162754</xdr:colOff>
      <xdr:row>116</xdr:row>
      <xdr:rowOff>189658</xdr:rowOff>
    </xdr:from>
    <xdr:to>
      <xdr:col>8</xdr:col>
      <xdr:colOff>170163</xdr:colOff>
      <xdr:row>120</xdr:row>
      <xdr:rowOff>43471</xdr:rowOff>
    </xdr:to>
    <xdr:cxnSp macro="">
      <xdr:nvCxnSpPr>
        <xdr:cNvPr id="455" name="Straight Connector 67"/>
        <xdr:cNvCxnSpPr>
          <a:stCxn id="335" idx="4"/>
          <a:endCxn id="338" idx="0"/>
        </xdr:cNvCxnSpPr>
      </xdr:nvCxnSpPr>
      <xdr:spPr>
        <a:xfrm>
          <a:off x="5115754" y="22287658"/>
          <a:ext cx="7409" cy="61581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170163</xdr:colOff>
      <xdr:row>121</xdr:row>
      <xdr:rowOff>140971</xdr:rowOff>
    </xdr:from>
    <xdr:to>
      <xdr:col>8</xdr:col>
      <xdr:colOff>184180</xdr:colOff>
      <xdr:row>124</xdr:row>
      <xdr:rowOff>77187</xdr:rowOff>
    </xdr:to>
    <xdr:cxnSp macro="">
      <xdr:nvCxnSpPr>
        <xdr:cNvPr id="457" name="Straight Connector 68"/>
        <xdr:cNvCxnSpPr>
          <a:stCxn id="338" idx="4"/>
          <a:endCxn id="346" idx="0"/>
        </xdr:cNvCxnSpPr>
      </xdr:nvCxnSpPr>
      <xdr:spPr>
        <a:xfrm>
          <a:off x="5123163" y="23191471"/>
          <a:ext cx="14017" cy="50771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526810</xdr:colOff>
      <xdr:row>58</xdr:row>
      <xdr:rowOff>2254</xdr:rowOff>
    </xdr:from>
    <xdr:to>
      <xdr:col>1</xdr:col>
      <xdr:colOff>332009</xdr:colOff>
      <xdr:row>64</xdr:row>
      <xdr:rowOff>38775</xdr:rowOff>
    </xdr:to>
    <xdr:cxnSp macro="">
      <xdr:nvCxnSpPr>
        <xdr:cNvPr id="459" name="Straight Connector 69"/>
        <xdr:cNvCxnSpPr>
          <a:stCxn id="361" idx="5"/>
          <a:endCxn id="355" idx="1"/>
        </xdr:cNvCxnSpPr>
      </xdr:nvCxnSpPr>
      <xdr:spPr>
        <a:xfrm>
          <a:off x="526810" y="11051254"/>
          <a:ext cx="424324" cy="117952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537241</xdr:colOff>
      <xdr:row>65</xdr:row>
      <xdr:rowOff>51921</xdr:rowOff>
    </xdr:from>
    <xdr:to>
      <xdr:col>1</xdr:col>
      <xdr:colOff>332009</xdr:colOff>
      <xdr:row>71</xdr:row>
      <xdr:rowOff>84656</xdr:rowOff>
    </xdr:to>
    <xdr:cxnSp macro="">
      <xdr:nvCxnSpPr>
        <xdr:cNvPr id="462" name="Straight Connector 70"/>
        <xdr:cNvCxnSpPr>
          <a:stCxn id="324" idx="7"/>
          <a:endCxn id="355" idx="3"/>
        </xdr:cNvCxnSpPr>
      </xdr:nvCxnSpPr>
      <xdr:spPr>
        <a:xfrm flipV="1">
          <a:off x="537241" y="12434421"/>
          <a:ext cx="413893" cy="117573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577832</xdr:colOff>
      <xdr:row>64</xdr:row>
      <xdr:rowOff>130014</xdr:rowOff>
    </xdr:from>
    <xdr:to>
      <xdr:col>3</xdr:col>
      <xdr:colOff>286427</xdr:colOff>
      <xdr:row>64</xdr:row>
      <xdr:rowOff>140598</xdr:rowOff>
    </xdr:to>
    <xdr:cxnSp macro="">
      <xdr:nvCxnSpPr>
        <xdr:cNvPr id="464" name="Straight Connector 71"/>
        <xdr:cNvCxnSpPr>
          <a:stCxn id="355" idx="6"/>
          <a:endCxn id="347" idx="2"/>
        </xdr:cNvCxnSpPr>
      </xdr:nvCxnSpPr>
      <xdr:spPr>
        <a:xfrm flipV="1">
          <a:off x="1196957" y="12322014"/>
          <a:ext cx="946845" cy="1058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574427</xdr:colOff>
      <xdr:row>64</xdr:row>
      <xdr:rowOff>88209</xdr:rowOff>
    </xdr:from>
    <xdr:to>
      <xdr:col>5</xdr:col>
      <xdr:colOff>394607</xdr:colOff>
      <xdr:row>64</xdr:row>
      <xdr:rowOff>130014</xdr:rowOff>
    </xdr:to>
    <xdr:cxnSp macro="">
      <xdr:nvCxnSpPr>
        <xdr:cNvPr id="467" name="Straight Connector 72"/>
        <xdr:cNvCxnSpPr>
          <a:stCxn id="347" idx="6"/>
          <a:endCxn id="363" idx="2"/>
        </xdr:cNvCxnSpPr>
      </xdr:nvCxnSpPr>
      <xdr:spPr>
        <a:xfrm flipV="1">
          <a:off x="2431802" y="12280209"/>
          <a:ext cx="1058430" cy="4180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63482</xdr:colOff>
      <xdr:row>64</xdr:row>
      <xdr:rowOff>72562</xdr:rowOff>
    </xdr:from>
    <xdr:to>
      <xdr:col>7</xdr:col>
      <xdr:colOff>592589</xdr:colOff>
      <xdr:row>64</xdr:row>
      <xdr:rowOff>88209</xdr:rowOff>
    </xdr:to>
    <xdr:cxnSp macro="">
      <xdr:nvCxnSpPr>
        <xdr:cNvPr id="469" name="Straight Connector 73"/>
        <xdr:cNvCxnSpPr>
          <a:stCxn id="363" idx="6"/>
          <a:endCxn id="351" idx="2"/>
        </xdr:cNvCxnSpPr>
      </xdr:nvCxnSpPr>
      <xdr:spPr>
        <a:xfrm flipV="1">
          <a:off x="3778232" y="12264562"/>
          <a:ext cx="1148232" cy="1564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261464</xdr:colOff>
      <xdr:row>64</xdr:row>
      <xdr:rowOff>62357</xdr:rowOff>
    </xdr:from>
    <xdr:to>
      <xdr:col>10</xdr:col>
      <xdr:colOff>164644</xdr:colOff>
      <xdr:row>64</xdr:row>
      <xdr:rowOff>72562</xdr:rowOff>
    </xdr:to>
    <xdr:cxnSp macro="">
      <xdr:nvCxnSpPr>
        <xdr:cNvPr id="471" name="Straight Connector 74"/>
        <xdr:cNvCxnSpPr>
          <a:stCxn id="351" idx="6"/>
          <a:endCxn id="327" idx="2"/>
        </xdr:cNvCxnSpPr>
      </xdr:nvCxnSpPr>
      <xdr:spPr>
        <a:xfrm flipV="1">
          <a:off x="5214464" y="12254357"/>
          <a:ext cx="1141430" cy="1020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452644</xdr:colOff>
      <xdr:row>64</xdr:row>
      <xdr:rowOff>62357</xdr:rowOff>
    </xdr:from>
    <xdr:to>
      <xdr:col>12</xdr:col>
      <xdr:colOff>408892</xdr:colOff>
      <xdr:row>64</xdr:row>
      <xdr:rowOff>62357</xdr:rowOff>
    </xdr:to>
    <xdr:cxnSp macro="">
      <xdr:nvCxnSpPr>
        <xdr:cNvPr id="473" name="Straight Connector 75"/>
        <xdr:cNvCxnSpPr>
          <a:stCxn id="327" idx="6"/>
          <a:endCxn id="337" idx="2"/>
        </xdr:cNvCxnSpPr>
      </xdr:nvCxnSpPr>
      <xdr:spPr>
        <a:xfrm>
          <a:off x="6643894" y="12254357"/>
          <a:ext cx="1194498" cy="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77767</xdr:colOff>
      <xdr:row>64</xdr:row>
      <xdr:rowOff>26977</xdr:rowOff>
    </xdr:from>
    <xdr:to>
      <xdr:col>15</xdr:col>
      <xdr:colOff>36738</xdr:colOff>
      <xdr:row>64</xdr:row>
      <xdr:rowOff>62357</xdr:rowOff>
    </xdr:to>
    <xdr:cxnSp macro="">
      <xdr:nvCxnSpPr>
        <xdr:cNvPr id="475" name="Straight Connector 76"/>
        <xdr:cNvCxnSpPr>
          <a:stCxn id="337" idx="6"/>
          <a:endCxn id="329" idx="2"/>
        </xdr:cNvCxnSpPr>
      </xdr:nvCxnSpPr>
      <xdr:spPr>
        <a:xfrm flipV="1">
          <a:off x="8126392" y="12218977"/>
          <a:ext cx="1197221" cy="3538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324738</xdr:colOff>
      <xdr:row>60</xdr:row>
      <xdr:rowOff>190033</xdr:rowOff>
    </xdr:from>
    <xdr:to>
      <xdr:col>17</xdr:col>
      <xdr:colOff>340172</xdr:colOff>
      <xdr:row>64</xdr:row>
      <xdr:rowOff>26977</xdr:rowOff>
    </xdr:to>
    <xdr:cxnSp macro="">
      <xdr:nvCxnSpPr>
        <xdr:cNvPr id="477" name="Straight Connector 77"/>
        <xdr:cNvCxnSpPr>
          <a:stCxn id="329" idx="6"/>
          <a:endCxn id="354" idx="3"/>
        </xdr:cNvCxnSpPr>
      </xdr:nvCxnSpPr>
      <xdr:spPr>
        <a:xfrm flipV="1">
          <a:off x="9611613" y="11620033"/>
          <a:ext cx="1253684" cy="59894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585995</xdr:colOff>
      <xdr:row>56</xdr:row>
      <xdr:rowOff>115874</xdr:rowOff>
    </xdr:from>
    <xdr:to>
      <xdr:col>19</xdr:col>
      <xdr:colOff>207138</xdr:colOff>
      <xdr:row>60</xdr:row>
      <xdr:rowOff>88210</xdr:rowOff>
    </xdr:to>
    <xdr:cxnSp macro="">
      <xdr:nvCxnSpPr>
        <xdr:cNvPr id="479" name="Straight Connector 78"/>
        <xdr:cNvCxnSpPr>
          <a:stCxn id="354" idx="6"/>
          <a:endCxn id="332" idx="3"/>
        </xdr:cNvCxnSpPr>
      </xdr:nvCxnSpPr>
      <xdr:spPr>
        <a:xfrm flipV="1">
          <a:off x="11111120" y="10783874"/>
          <a:ext cx="859393" cy="73433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410784</xdr:colOff>
      <xdr:row>51</xdr:row>
      <xdr:rowOff>103627</xdr:rowOff>
    </xdr:from>
    <xdr:to>
      <xdr:col>20</xdr:col>
      <xdr:colOff>570969</xdr:colOff>
      <xdr:row>55</xdr:row>
      <xdr:rowOff>102728</xdr:rowOff>
    </xdr:to>
    <xdr:cxnSp macro="">
      <xdr:nvCxnSpPr>
        <xdr:cNvPr id="321" name="Straight Connector 79"/>
        <xdr:cNvCxnSpPr>
          <a:stCxn id="332" idx="7"/>
          <a:endCxn id="352" idx="3"/>
        </xdr:cNvCxnSpPr>
      </xdr:nvCxnSpPr>
      <xdr:spPr>
        <a:xfrm flipV="1">
          <a:off x="12174159" y="9819127"/>
          <a:ext cx="779310" cy="76110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155490</xdr:colOff>
      <xdr:row>45</xdr:row>
      <xdr:rowOff>45796</xdr:rowOff>
    </xdr:from>
    <xdr:to>
      <xdr:col>21</xdr:col>
      <xdr:colOff>604308</xdr:colOff>
      <xdr:row>50</xdr:row>
      <xdr:rowOff>90481</xdr:rowOff>
    </xdr:to>
    <xdr:cxnSp macro="">
      <xdr:nvCxnSpPr>
        <xdr:cNvPr id="368" name="Straight Connector 80"/>
        <xdr:cNvCxnSpPr>
          <a:stCxn id="352" idx="7"/>
          <a:endCxn id="353" idx="3"/>
        </xdr:cNvCxnSpPr>
      </xdr:nvCxnSpPr>
      <xdr:spPr>
        <a:xfrm flipV="1">
          <a:off x="13157115" y="8618296"/>
          <a:ext cx="448818" cy="99718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87006</xdr:colOff>
      <xdr:row>38</xdr:row>
      <xdr:rowOff>109749</xdr:rowOff>
    </xdr:from>
    <xdr:to>
      <xdr:col>23</xdr:col>
      <xdr:colOff>125859</xdr:colOff>
      <xdr:row>43</xdr:row>
      <xdr:rowOff>180973</xdr:rowOff>
    </xdr:to>
    <xdr:cxnSp macro="">
      <xdr:nvCxnSpPr>
        <xdr:cNvPr id="370" name="Straight Connector 81"/>
        <xdr:cNvCxnSpPr>
          <a:stCxn id="353" idx="0"/>
          <a:endCxn id="326" idx="3"/>
        </xdr:cNvCxnSpPr>
      </xdr:nvCxnSpPr>
      <xdr:spPr>
        <a:xfrm flipV="1">
          <a:off x="13707756" y="7348749"/>
          <a:ext cx="657978" cy="102372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329505</xdr:colOff>
      <xdr:row>33</xdr:row>
      <xdr:rowOff>87298</xdr:rowOff>
    </xdr:from>
    <xdr:to>
      <xdr:col>24</xdr:col>
      <xdr:colOff>470802</xdr:colOff>
      <xdr:row>37</xdr:row>
      <xdr:rowOff>96603</xdr:rowOff>
    </xdr:to>
    <xdr:cxnSp macro="">
      <xdr:nvCxnSpPr>
        <xdr:cNvPr id="372" name="Straight Connector 82"/>
        <xdr:cNvCxnSpPr>
          <a:stCxn id="326" idx="7"/>
          <a:endCxn id="334" idx="3"/>
        </xdr:cNvCxnSpPr>
      </xdr:nvCxnSpPr>
      <xdr:spPr>
        <a:xfrm flipV="1">
          <a:off x="14569380" y="6373798"/>
          <a:ext cx="760422" cy="77130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55323</xdr:colOff>
      <xdr:row>28</xdr:row>
      <xdr:rowOff>175064</xdr:rowOff>
    </xdr:from>
    <xdr:to>
      <xdr:col>26</xdr:col>
      <xdr:colOff>287106</xdr:colOff>
      <xdr:row>32</xdr:row>
      <xdr:rowOff>74152</xdr:rowOff>
    </xdr:to>
    <xdr:cxnSp macro="">
      <xdr:nvCxnSpPr>
        <xdr:cNvPr id="375" name="Straight Connector 83"/>
        <xdr:cNvCxnSpPr>
          <a:stCxn id="334" idx="7"/>
          <a:endCxn id="339" idx="3"/>
        </xdr:cNvCxnSpPr>
      </xdr:nvCxnSpPr>
      <xdr:spPr>
        <a:xfrm flipV="1">
          <a:off x="15533448" y="5509064"/>
          <a:ext cx="850908" cy="66108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490752</xdr:colOff>
      <xdr:row>21</xdr:row>
      <xdr:rowOff>83897</xdr:rowOff>
    </xdr:from>
    <xdr:to>
      <xdr:col>27</xdr:col>
      <xdr:colOff>241521</xdr:colOff>
      <xdr:row>27</xdr:row>
      <xdr:rowOff>161918</xdr:rowOff>
    </xdr:to>
    <xdr:cxnSp macro="">
      <xdr:nvCxnSpPr>
        <xdr:cNvPr id="378" name="Straight Connector 84"/>
        <xdr:cNvCxnSpPr>
          <a:stCxn id="339" idx="7"/>
          <a:endCxn id="325" idx="3"/>
        </xdr:cNvCxnSpPr>
      </xdr:nvCxnSpPr>
      <xdr:spPr>
        <a:xfrm flipV="1">
          <a:off x="16588002" y="4084397"/>
          <a:ext cx="369894" cy="122102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162131</xdr:colOff>
      <xdr:row>21</xdr:row>
      <xdr:rowOff>186182</xdr:rowOff>
    </xdr:from>
    <xdr:to>
      <xdr:col>11</xdr:col>
      <xdr:colOff>217032</xdr:colOff>
      <xdr:row>24</xdr:row>
      <xdr:rowOff>45346</xdr:rowOff>
    </xdr:to>
    <xdr:cxnSp macro="">
      <xdr:nvCxnSpPr>
        <xdr:cNvPr id="380" name="Straight Connector 85"/>
        <xdr:cNvCxnSpPr>
          <a:stCxn id="360" idx="6"/>
          <a:endCxn id="356" idx="2"/>
        </xdr:cNvCxnSpPr>
      </xdr:nvCxnSpPr>
      <xdr:spPr>
        <a:xfrm>
          <a:off x="5115131" y="4186682"/>
          <a:ext cx="1912276" cy="43066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462855</xdr:colOff>
      <xdr:row>24</xdr:row>
      <xdr:rowOff>147169</xdr:rowOff>
    </xdr:from>
    <xdr:to>
      <xdr:col>13</xdr:col>
      <xdr:colOff>504818</xdr:colOff>
      <xdr:row>32</xdr:row>
      <xdr:rowOff>53062</xdr:rowOff>
    </xdr:to>
    <xdr:cxnSp macro="">
      <xdr:nvCxnSpPr>
        <xdr:cNvPr id="382" name="Straight Connector 86"/>
        <xdr:cNvCxnSpPr>
          <a:stCxn id="356" idx="5"/>
          <a:endCxn id="322" idx="1"/>
        </xdr:cNvCxnSpPr>
      </xdr:nvCxnSpPr>
      <xdr:spPr>
        <a:xfrm>
          <a:off x="7273230" y="4719169"/>
          <a:ext cx="1280213" cy="142989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89339</xdr:colOff>
      <xdr:row>33</xdr:row>
      <xdr:rowOff>66208</xdr:rowOff>
    </xdr:from>
    <xdr:to>
      <xdr:col>15</xdr:col>
      <xdr:colOff>45349</xdr:colOff>
      <xdr:row>44</xdr:row>
      <xdr:rowOff>14215</xdr:rowOff>
    </xdr:to>
    <xdr:cxnSp macro="">
      <xdr:nvCxnSpPr>
        <xdr:cNvPr id="480" name="Straight Connector 87"/>
        <xdr:cNvCxnSpPr>
          <a:stCxn id="322" idx="5"/>
          <a:endCxn id="362" idx="0"/>
        </xdr:cNvCxnSpPr>
      </xdr:nvCxnSpPr>
      <xdr:spPr>
        <a:xfrm>
          <a:off x="8757089" y="6352708"/>
          <a:ext cx="575135" cy="204350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45349</xdr:colOff>
      <xdr:row>45</xdr:row>
      <xdr:rowOff>111715</xdr:rowOff>
    </xdr:from>
    <xdr:to>
      <xdr:col>15</xdr:col>
      <xdr:colOff>112702</xdr:colOff>
      <xdr:row>54</xdr:row>
      <xdr:rowOff>156257</xdr:rowOff>
    </xdr:to>
    <xdr:cxnSp macro="">
      <xdr:nvCxnSpPr>
        <xdr:cNvPr id="482" name="Straight Connector 88"/>
        <xdr:cNvCxnSpPr>
          <a:stCxn id="362" idx="4"/>
          <a:endCxn id="359" idx="0"/>
        </xdr:cNvCxnSpPr>
      </xdr:nvCxnSpPr>
      <xdr:spPr>
        <a:xfrm>
          <a:off x="9332224" y="8684215"/>
          <a:ext cx="67353" cy="175904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112702</xdr:colOff>
      <xdr:row>56</xdr:row>
      <xdr:rowOff>63257</xdr:rowOff>
    </xdr:from>
    <xdr:to>
      <xdr:col>15</xdr:col>
      <xdr:colOff>180738</xdr:colOff>
      <xdr:row>63</xdr:row>
      <xdr:rowOff>73477</xdr:rowOff>
    </xdr:to>
    <xdr:cxnSp macro="">
      <xdr:nvCxnSpPr>
        <xdr:cNvPr id="484" name="Straight Connector 89"/>
        <xdr:cNvCxnSpPr>
          <a:stCxn id="359" idx="4"/>
          <a:endCxn id="329" idx="0"/>
        </xdr:cNvCxnSpPr>
      </xdr:nvCxnSpPr>
      <xdr:spPr>
        <a:xfrm>
          <a:off x="9399577" y="10731257"/>
          <a:ext cx="68036" cy="134372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282561</xdr:colOff>
      <xdr:row>64</xdr:row>
      <xdr:rowOff>128800</xdr:rowOff>
    </xdr:from>
    <xdr:to>
      <xdr:col>17</xdr:col>
      <xdr:colOff>342212</xdr:colOff>
      <xdr:row>69</xdr:row>
      <xdr:rowOff>174166</xdr:rowOff>
    </xdr:to>
    <xdr:cxnSp macro="">
      <xdr:nvCxnSpPr>
        <xdr:cNvPr id="488" name="Straight Connector 90"/>
        <xdr:cNvCxnSpPr>
          <a:stCxn id="329" idx="5"/>
          <a:endCxn id="366" idx="1"/>
        </xdr:cNvCxnSpPr>
      </xdr:nvCxnSpPr>
      <xdr:spPr>
        <a:xfrm>
          <a:off x="9569436" y="12320800"/>
          <a:ext cx="1297901" cy="99786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588035</xdr:colOff>
      <xdr:row>70</xdr:row>
      <xdr:rowOff>85489</xdr:rowOff>
    </xdr:from>
    <xdr:to>
      <xdr:col>20</xdr:col>
      <xdr:colOff>179927</xdr:colOff>
      <xdr:row>72</xdr:row>
      <xdr:rowOff>66126</xdr:rowOff>
    </xdr:to>
    <xdr:cxnSp macro="">
      <xdr:nvCxnSpPr>
        <xdr:cNvPr id="490" name="Straight Connector 91"/>
        <xdr:cNvCxnSpPr>
          <a:stCxn id="366" idx="6"/>
          <a:endCxn id="349" idx="2"/>
        </xdr:cNvCxnSpPr>
      </xdr:nvCxnSpPr>
      <xdr:spPr>
        <a:xfrm>
          <a:off x="11113160" y="13420489"/>
          <a:ext cx="1449267" cy="36163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467927</xdr:colOff>
      <xdr:row>71</xdr:row>
      <xdr:rowOff>57700</xdr:rowOff>
    </xdr:from>
    <xdr:to>
      <xdr:col>23</xdr:col>
      <xdr:colOff>507807</xdr:colOff>
      <xdr:row>72</xdr:row>
      <xdr:rowOff>66126</xdr:rowOff>
    </xdr:to>
    <xdr:cxnSp macro="">
      <xdr:nvCxnSpPr>
        <xdr:cNvPr id="492" name="Straight Connector 92"/>
        <xdr:cNvCxnSpPr>
          <a:stCxn id="349" idx="6"/>
          <a:endCxn id="345" idx="2"/>
        </xdr:cNvCxnSpPr>
      </xdr:nvCxnSpPr>
      <xdr:spPr>
        <a:xfrm flipV="1">
          <a:off x="12850427" y="13583200"/>
          <a:ext cx="1897255" cy="19892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176682</xdr:colOff>
      <xdr:row>69</xdr:row>
      <xdr:rowOff>161248</xdr:rowOff>
    </xdr:from>
    <xdr:to>
      <xdr:col>27</xdr:col>
      <xdr:colOff>29198</xdr:colOff>
      <xdr:row>71</xdr:row>
      <xdr:rowOff>57700</xdr:rowOff>
    </xdr:to>
    <xdr:cxnSp macro="">
      <xdr:nvCxnSpPr>
        <xdr:cNvPr id="494" name="Straight Connector 93"/>
        <xdr:cNvCxnSpPr>
          <a:stCxn id="345" idx="6"/>
          <a:endCxn id="343" idx="3"/>
        </xdr:cNvCxnSpPr>
      </xdr:nvCxnSpPr>
      <xdr:spPr>
        <a:xfrm flipV="1">
          <a:off x="15035682" y="13305748"/>
          <a:ext cx="1709891" cy="27745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232844</xdr:colOff>
      <xdr:row>62</xdr:row>
      <xdr:rowOff>67725</xdr:rowOff>
    </xdr:from>
    <xdr:to>
      <xdr:col>28</xdr:col>
      <xdr:colOff>460700</xdr:colOff>
      <xdr:row>68</xdr:row>
      <xdr:rowOff>148102</xdr:rowOff>
    </xdr:to>
    <xdr:cxnSp macro="">
      <xdr:nvCxnSpPr>
        <xdr:cNvPr id="496" name="Straight Connector 94"/>
        <xdr:cNvCxnSpPr>
          <a:stCxn id="343" idx="7"/>
          <a:endCxn id="365" idx="3"/>
        </xdr:cNvCxnSpPr>
      </xdr:nvCxnSpPr>
      <xdr:spPr>
        <a:xfrm flipV="1">
          <a:off x="16949219" y="11878725"/>
          <a:ext cx="846981" cy="122337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OD585"/>
  <sheetViews>
    <sheetView showGridLines="0" showRowColHeaders="0" zoomScale="60" zoomScaleNormal="60" workbookViewId="0">
      <selection activeCell="R20" sqref="R20"/>
    </sheetView>
  </sheetViews>
  <sheetFormatPr defaultColWidth="9.140625" defaultRowHeight="15" x14ac:dyDescent="0.25"/>
  <cols>
    <col min="1" max="1" width="23.42578125" style="10" customWidth="1"/>
    <col min="2" max="2" width="34.42578125" style="12" customWidth="1"/>
    <col min="3" max="3" width="28.85546875" style="17" customWidth="1"/>
    <col min="4" max="4" width="11.42578125" style="21" customWidth="1"/>
    <col min="5" max="5" width="14.140625" style="1" customWidth="1"/>
    <col min="6" max="6" width="6.42578125" style="1" customWidth="1"/>
    <col min="7" max="7" width="14.140625" style="27" customWidth="1"/>
    <col min="8" max="8" width="19.7109375" style="3" customWidth="1"/>
    <col min="9" max="9" width="19.7109375" style="1" customWidth="1"/>
    <col min="10" max="10" width="24.42578125" style="1" customWidth="1"/>
    <col min="11" max="11" width="12.7109375" style="33" customWidth="1"/>
    <col min="12" max="12" width="15.7109375" customWidth="1"/>
    <col min="13" max="13" width="3.85546875" customWidth="1"/>
    <col min="14" max="14" width="9.140625" customWidth="1"/>
  </cols>
  <sheetData>
    <row r="1" spans="1:394" s="31" customFormat="1" ht="16.5" thickTop="1" thickBot="1" x14ac:dyDescent="0.3">
      <c r="A1" s="68" t="s">
        <v>0</v>
      </c>
      <c r="B1" s="69" t="s">
        <v>1</v>
      </c>
      <c r="C1" s="69" t="s">
        <v>70</v>
      </c>
      <c r="D1" s="69" t="s">
        <v>2</v>
      </c>
      <c r="E1" s="55" t="s">
        <v>78</v>
      </c>
      <c r="F1" s="4"/>
      <c r="G1" s="68" t="s">
        <v>2</v>
      </c>
      <c r="H1" s="69" t="s">
        <v>71</v>
      </c>
      <c r="I1" s="69" t="s">
        <v>79</v>
      </c>
      <c r="J1" s="69" t="s">
        <v>129</v>
      </c>
      <c r="K1" s="69" t="s">
        <v>3</v>
      </c>
      <c r="L1" s="55" t="s">
        <v>4</v>
      </c>
      <c r="M1" s="54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3"/>
      <c r="Z1" s="4"/>
      <c r="AA1" s="4"/>
      <c r="AB1" s="4"/>
      <c r="AC1" s="4"/>
      <c r="AD1" s="4"/>
      <c r="AE1" s="4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</row>
    <row r="2" spans="1:394" ht="16.5" thickTop="1" thickBot="1" x14ac:dyDescent="0.3">
      <c r="A2" s="81" t="s">
        <v>72</v>
      </c>
      <c r="B2" s="72" t="s">
        <v>67</v>
      </c>
      <c r="C2" s="73">
        <v>1</v>
      </c>
      <c r="D2" s="74" t="s">
        <v>48</v>
      </c>
      <c r="E2" s="75">
        <f>VALUE(IF(B2="grafity","1",IF(B2="pulled door","1",IF(B2="no ticket","1",IF(B2="revenue dispute","2",IF(B2="sucidial","2",IF(B2="spat","2",IF(B2="etching","2",IF(B2="sleeping vagrant","2",IF(B2="soiled",2,IF(B2="verbal assault","3",IF(B2="aggressive passenger","3",IF(B2="drunk passenger","3",IF(B2="broken window","3",IF(B2="unstable passenger","3",IF(B2="distorbing","3",IF(B2="fight","4",IF(B2="steal","4",IF(B2="indecent exposure","4",IF(B2="physical assault","4",IF(B2="BTP intervention","5",IF(B2="assault with seriously attack","5"))))))))))))))))))))))</f>
        <v>3</v>
      </c>
      <c r="F2" s="2"/>
      <c r="G2" s="82" t="s">
        <v>26</v>
      </c>
      <c r="H2" s="77">
        <f>SUMIF(D:D,"ABS",C:C)</f>
        <v>0</v>
      </c>
      <c r="I2" s="78">
        <f>IF(H2&gt;4, 4,H2)+1</f>
        <v>1</v>
      </c>
      <c r="J2" s="79">
        <f t="shared" ref="J2:J46" si="0">IFERROR(AVERAGEIF($D$2:$D$957,G2,$E$2:$E$957),1)</f>
        <v>1</v>
      </c>
      <c r="K2" s="78">
        <v>1</v>
      </c>
      <c r="L2" s="83">
        <f>I2*J2*K2</f>
        <v>1</v>
      </c>
      <c r="M2" s="47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4"/>
      <c r="Z2" s="4"/>
      <c r="AA2" s="4"/>
      <c r="AB2" s="4"/>
      <c r="AC2" s="4"/>
      <c r="AD2" s="4"/>
      <c r="AE2" s="4"/>
    </row>
    <row r="3" spans="1:394" ht="16.5" thickTop="1" thickBot="1" x14ac:dyDescent="0.3">
      <c r="A3" s="11" t="s">
        <v>72</v>
      </c>
      <c r="B3" s="13" t="s">
        <v>23</v>
      </c>
      <c r="C3" s="18">
        <v>1</v>
      </c>
      <c r="D3" s="22" t="s">
        <v>12</v>
      </c>
      <c r="E3" s="9">
        <f t="shared" ref="E3:E66" si="1">VALUE(IF(B3="grafity","1",IF(B3="pulled door","1",IF(B3="no ticket","1",IF(B3="revenue dispute","2",IF(B3="sucidial","2",IF(B3="spat","2",IF(B3="etching","2",IF(B3="sleeping vagrant","2",IF(B3="soiled",2,IF(B3="verbal assault","3",IF(B3="aggressive passenger","3",IF(B3="drunk passenger","3",IF(B3="broken window","3",IF(B3="unstable passenger","3",IF(B3="distorbing","3",IF(B3="fight","4",IF(B3="steal","4",IF(B3="indecent exposure","4",IF(B3="physical assault","4",IF(B3="BTP intervention","5",IF(B3="assault with seriously attack","5"))))))))))))))))))))))</f>
        <v>2</v>
      </c>
      <c r="F3" s="2"/>
      <c r="G3" s="29" t="s">
        <v>27</v>
      </c>
      <c r="H3" s="5">
        <f>SUMIF(D:D,"ALS",C:C)</f>
        <v>5</v>
      </c>
      <c r="I3" s="34">
        <f t="shared" ref="I3:I46" si="2">IF(H3&gt;4, 4,H3)+1</f>
        <v>5</v>
      </c>
      <c r="J3" s="35">
        <f t="shared" si="0"/>
        <v>3.2</v>
      </c>
      <c r="K3" s="34">
        <v>1</v>
      </c>
      <c r="L3" s="6">
        <f t="shared" ref="L3:L33" si="3">I3*J3*K3</f>
        <v>16</v>
      </c>
      <c r="M3" s="47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4"/>
      <c r="Z3" s="4"/>
      <c r="AA3" s="4"/>
      <c r="AB3" s="4"/>
      <c r="AC3" s="4"/>
      <c r="AD3" s="4"/>
      <c r="AE3" s="4"/>
    </row>
    <row r="4" spans="1:394" ht="16.5" thickTop="1" thickBot="1" x14ac:dyDescent="0.3">
      <c r="A4" s="11" t="s">
        <v>72</v>
      </c>
      <c r="B4" s="13" t="s">
        <v>16</v>
      </c>
      <c r="C4" s="18">
        <v>1</v>
      </c>
      <c r="D4" s="22" t="s">
        <v>15</v>
      </c>
      <c r="E4" s="9">
        <f t="shared" si="1"/>
        <v>3</v>
      </c>
      <c r="F4" s="2"/>
      <c r="G4" s="29" t="s">
        <v>6</v>
      </c>
      <c r="H4" s="5">
        <f>SUMIF(D:D,"BAN",C:C)</f>
        <v>2</v>
      </c>
      <c r="I4" s="34">
        <f t="shared" si="2"/>
        <v>3</v>
      </c>
      <c r="J4" s="35">
        <f t="shared" si="0"/>
        <v>3</v>
      </c>
      <c r="K4" s="34">
        <v>1</v>
      </c>
      <c r="L4" s="6">
        <f t="shared" si="3"/>
        <v>9</v>
      </c>
      <c r="M4" s="47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4"/>
      <c r="Z4" s="4"/>
      <c r="AA4" s="4"/>
      <c r="AB4" s="4"/>
      <c r="AC4" s="4"/>
      <c r="AD4" s="4"/>
      <c r="AE4" s="4"/>
    </row>
    <row r="5" spans="1:394" ht="16.5" thickTop="1" thickBot="1" x14ac:dyDescent="0.3">
      <c r="A5" s="11" t="s">
        <v>72</v>
      </c>
      <c r="B5" s="13" t="s">
        <v>22</v>
      </c>
      <c r="C5" s="18">
        <v>1</v>
      </c>
      <c r="D5" s="22" t="s">
        <v>45</v>
      </c>
      <c r="E5" s="9">
        <f t="shared" si="1"/>
        <v>3</v>
      </c>
      <c r="F5" s="2"/>
      <c r="G5" s="29" t="s">
        <v>28</v>
      </c>
      <c r="H5" s="5">
        <f>SUMIF(D:D,"BEC",C:C)</f>
        <v>2</v>
      </c>
      <c r="I5" s="34">
        <f t="shared" si="2"/>
        <v>3</v>
      </c>
      <c r="J5" s="35">
        <f t="shared" si="0"/>
        <v>3</v>
      </c>
      <c r="K5" s="34">
        <v>2</v>
      </c>
      <c r="L5" s="6">
        <f t="shared" si="3"/>
        <v>18</v>
      </c>
      <c r="M5" s="47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4"/>
      <c r="Z5" s="4"/>
      <c r="AA5" s="4"/>
      <c r="AB5" s="4"/>
      <c r="AC5" s="4"/>
      <c r="AD5" s="4"/>
      <c r="AE5" s="4"/>
    </row>
    <row r="6" spans="1:394" ht="16.5" thickTop="1" thickBot="1" x14ac:dyDescent="0.3">
      <c r="A6" s="11" t="s">
        <v>72</v>
      </c>
      <c r="B6" s="13" t="s">
        <v>23</v>
      </c>
      <c r="C6" s="18">
        <v>1</v>
      </c>
      <c r="D6" s="22" t="s">
        <v>7</v>
      </c>
      <c r="E6" s="9">
        <f t="shared" si="1"/>
        <v>2</v>
      </c>
      <c r="F6" s="2"/>
      <c r="G6" s="29" t="s">
        <v>29</v>
      </c>
      <c r="H6" s="5">
        <f>SUMIF(D:D,"BEP",C:C)</f>
        <v>0</v>
      </c>
      <c r="I6" s="34">
        <f t="shared" si="2"/>
        <v>1</v>
      </c>
      <c r="J6" s="35">
        <f t="shared" si="0"/>
        <v>1</v>
      </c>
      <c r="K6" s="34">
        <v>5</v>
      </c>
      <c r="L6" s="6">
        <f t="shared" si="3"/>
        <v>5</v>
      </c>
      <c r="M6" s="47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4"/>
      <c r="Z6" s="4"/>
      <c r="AA6" s="4"/>
      <c r="AB6" s="4"/>
      <c r="AC6" s="4"/>
      <c r="AD6" s="4"/>
      <c r="AE6" s="4"/>
    </row>
    <row r="7" spans="1:394" ht="16.5" thickTop="1" thickBot="1" x14ac:dyDescent="0.3">
      <c r="A7" s="11" t="s">
        <v>72</v>
      </c>
      <c r="B7" s="13" t="s">
        <v>24</v>
      </c>
      <c r="C7" s="18">
        <v>1</v>
      </c>
      <c r="D7" s="22" t="s">
        <v>43</v>
      </c>
      <c r="E7" s="9">
        <f t="shared" si="1"/>
        <v>2</v>
      </c>
      <c r="F7" s="2"/>
      <c r="G7" s="29" t="s">
        <v>30</v>
      </c>
      <c r="H7" s="5">
        <f>SUMIF(D:D,"BLA",C:C)</f>
        <v>1</v>
      </c>
      <c r="I7" s="34">
        <f t="shared" si="2"/>
        <v>2</v>
      </c>
      <c r="J7" s="35">
        <f t="shared" si="0"/>
        <v>2</v>
      </c>
      <c r="K7" s="34">
        <v>2</v>
      </c>
      <c r="L7" s="6">
        <f t="shared" si="3"/>
        <v>8</v>
      </c>
      <c r="M7" s="47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4"/>
      <c r="Z7" s="4"/>
      <c r="AA7" s="4"/>
      <c r="AB7" s="4"/>
      <c r="AC7" s="4"/>
      <c r="AD7" s="4"/>
      <c r="AE7" s="4"/>
    </row>
    <row r="8" spans="1:394" ht="16.5" thickTop="1" thickBot="1" x14ac:dyDescent="0.3">
      <c r="A8" s="11" t="s">
        <v>72</v>
      </c>
      <c r="B8" s="13" t="s">
        <v>63</v>
      </c>
      <c r="C8" s="18">
        <v>1</v>
      </c>
      <c r="D8" s="22" t="s">
        <v>14</v>
      </c>
      <c r="E8" s="9">
        <f t="shared" si="1"/>
        <v>3</v>
      </c>
      <c r="F8" s="2"/>
      <c r="G8" s="29" t="s">
        <v>31</v>
      </c>
      <c r="H8" s="5">
        <f>SUMIF(D:D,"BOC",C:C)</f>
        <v>1</v>
      </c>
      <c r="I8" s="34">
        <f t="shared" si="2"/>
        <v>2</v>
      </c>
      <c r="J8" s="35">
        <f t="shared" si="0"/>
        <v>1</v>
      </c>
      <c r="K8" s="34">
        <v>5</v>
      </c>
      <c r="L8" s="6">
        <f t="shared" si="3"/>
        <v>10</v>
      </c>
      <c r="M8" s="47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4"/>
      <c r="Z8" s="4"/>
      <c r="AA8" s="4"/>
      <c r="AB8" s="4"/>
      <c r="AC8" s="4"/>
      <c r="AD8" s="4"/>
      <c r="AE8" s="4"/>
    </row>
    <row r="9" spans="1:394" ht="16.5" thickTop="1" thickBot="1" x14ac:dyDescent="0.3">
      <c r="A9" s="11" t="s">
        <v>72</v>
      </c>
      <c r="B9" s="13" t="s">
        <v>23</v>
      </c>
      <c r="C9" s="18">
        <v>1</v>
      </c>
      <c r="D9" s="22" t="s">
        <v>10</v>
      </c>
      <c r="E9" s="9">
        <f t="shared" si="1"/>
        <v>2</v>
      </c>
      <c r="F9" s="2"/>
      <c r="G9" s="29" t="s">
        <v>32</v>
      </c>
      <c r="H9" s="5">
        <f>SUMIF(D:D,"CAT",C:C)</f>
        <v>1</v>
      </c>
      <c r="I9" s="34">
        <f t="shared" si="2"/>
        <v>2</v>
      </c>
      <c r="J9" s="35">
        <f t="shared" si="0"/>
        <v>4</v>
      </c>
      <c r="K9" s="34">
        <v>1</v>
      </c>
      <c r="L9" s="6">
        <f t="shared" si="3"/>
        <v>8</v>
      </c>
      <c r="M9" s="47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4"/>
      <c r="Z9" s="4"/>
      <c r="AA9" s="4"/>
      <c r="AB9" s="4"/>
      <c r="AC9" s="4"/>
      <c r="AD9" s="4"/>
      <c r="AE9" s="4"/>
    </row>
    <row r="10" spans="1:394" ht="16.5" thickTop="1" thickBot="1" x14ac:dyDescent="0.3">
      <c r="A10" s="11" t="s">
        <v>72</v>
      </c>
      <c r="B10" s="13" t="s">
        <v>23</v>
      </c>
      <c r="C10" s="18">
        <v>1</v>
      </c>
      <c r="D10" s="22" t="s">
        <v>10</v>
      </c>
      <c r="E10" s="9">
        <f t="shared" si="1"/>
        <v>2</v>
      </c>
      <c r="F10" s="2"/>
      <c r="G10" s="29" t="s">
        <v>33</v>
      </c>
      <c r="H10" s="5">
        <f>SUMIF(D:D,"CAW",C:C)</f>
        <v>3</v>
      </c>
      <c r="I10" s="34">
        <f t="shared" si="2"/>
        <v>4</v>
      </c>
      <c r="J10" s="35">
        <f t="shared" si="0"/>
        <v>3</v>
      </c>
      <c r="K10" s="34">
        <v>4</v>
      </c>
      <c r="L10" s="6">
        <f t="shared" si="3"/>
        <v>48</v>
      </c>
      <c r="M10" s="47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4"/>
      <c r="Z10" s="4"/>
      <c r="AA10" s="4"/>
      <c r="AB10" s="4"/>
      <c r="AC10" s="4"/>
      <c r="AD10" s="4"/>
      <c r="AE10" s="4"/>
    </row>
    <row r="11" spans="1:394" ht="16.5" thickTop="1" thickBot="1" x14ac:dyDescent="0.3">
      <c r="A11" s="11" t="s">
        <v>72</v>
      </c>
      <c r="B11" s="13" t="s">
        <v>16</v>
      </c>
      <c r="C11" s="18">
        <v>1</v>
      </c>
      <c r="D11" s="22" t="s">
        <v>58</v>
      </c>
      <c r="E11" s="9">
        <f t="shared" si="1"/>
        <v>3</v>
      </c>
      <c r="F11" s="2"/>
      <c r="G11" s="29" t="s">
        <v>34</v>
      </c>
      <c r="H11" s="5">
        <f>SUMIF(D:D,"CBO",C:C)</f>
        <v>0</v>
      </c>
      <c r="I11" s="34">
        <f t="shared" si="2"/>
        <v>1</v>
      </c>
      <c r="J11" s="35">
        <f t="shared" si="0"/>
        <v>1</v>
      </c>
      <c r="K11" s="34">
        <v>1</v>
      </c>
      <c r="L11" s="6">
        <f t="shared" si="3"/>
        <v>1</v>
      </c>
      <c r="M11" s="47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4"/>
      <c r="Z11" s="4"/>
      <c r="AA11" s="4"/>
      <c r="AB11" s="4"/>
      <c r="AC11" s="4"/>
      <c r="AD11" s="4"/>
      <c r="AE11" s="4"/>
    </row>
    <row r="12" spans="1:394" ht="16.5" thickTop="1" thickBot="1" x14ac:dyDescent="0.3">
      <c r="A12" s="11" t="s">
        <v>72</v>
      </c>
      <c r="B12" s="13" t="s">
        <v>73</v>
      </c>
      <c r="C12" s="18">
        <v>1</v>
      </c>
      <c r="D12" s="22" t="s">
        <v>56</v>
      </c>
      <c r="E12" s="9">
        <f t="shared" si="1"/>
        <v>2</v>
      </c>
      <c r="F12" s="2"/>
      <c r="G12" s="29" t="s">
        <v>35</v>
      </c>
      <c r="H12" s="5">
        <f>SUMIF(D:D,"CUH",C:C)</f>
        <v>0</v>
      </c>
      <c r="I12" s="34">
        <f t="shared" si="2"/>
        <v>1</v>
      </c>
      <c r="J12" s="35">
        <f t="shared" si="0"/>
        <v>1</v>
      </c>
      <c r="K12" s="34">
        <v>1</v>
      </c>
      <c r="L12" s="6">
        <f t="shared" si="3"/>
        <v>1</v>
      </c>
      <c r="M12" s="47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4"/>
      <c r="Z12" s="4"/>
      <c r="AA12" s="4"/>
      <c r="AB12" s="4"/>
      <c r="AC12" s="4"/>
      <c r="AD12" s="4"/>
      <c r="AE12" s="4"/>
    </row>
    <row r="13" spans="1:394" ht="16.5" thickTop="1" thickBot="1" x14ac:dyDescent="0.3">
      <c r="A13" s="11" t="s">
        <v>72</v>
      </c>
      <c r="B13" s="13" t="s">
        <v>18</v>
      </c>
      <c r="C13" s="18">
        <v>1</v>
      </c>
      <c r="D13" s="22" t="s">
        <v>27</v>
      </c>
      <c r="E13" s="9">
        <f t="shared" si="1"/>
        <v>4</v>
      </c>
      <c r="F13" s="2"/>
      <c r="G13" s="29" t="s">
        <v>36</v>
      </c>
      <c r="H13" s="5">
        <f>SUMIF(D:D,"CUS",C:C)</f>
        <v>0</v>
      </c>
      <c r="I13" s="34">
        <f t="shared" si="2"/>
        <v>1</v>
      </c>
      <c r="J13" s="35">
        <f t="shared" si="0"/>
        <v>1</v>
      </c>
      <c r="K13" s="34">
        <v>1</v>
      </c>
      <c r="L13" s="6">
        <f t="shared" si="3"/>
        <v>1</v>
      </c>
      <c r="M13" s="47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4"/>
      <c r="Z13" s="4"/>
      <c r="AA13" s="4"/>
      <c r="AB13" s="4"/>
      <c r="AC13" s="4"/>
      <c r="AD13" s="4"/>
      <c r="AE13" s="4"/>
    </row>
    <row r="14" spans="1:394" ht="16.5" thickTop="1" thickBot="1" x14ac:dyDescent="0.3">
      <c r="A14" s="11" t="s">
        <v>72</v>
      </c>
      <c r="B14" s="13" t="s">
        <v>74</v>
      </c>
      <c r="C14" s="18">
        <v>1</v>
      </c>
      <c r="D14" s="22" t="s">
        <v>28</v>
      </c>
      <c r="E14" s="9">
        <f t="shared" si="1"/>
        <v>2</v>
      </c>
      <c r="F14" s="2"/>
      <c r="G14" s="29" t="s">
        <v>37</v>
      </c>
      <c r="H14" s="5">
        <f>SUMIF(D:D,"CYP",C:C)</f>
        <v>0</v>
      </c>
      <c r="I14" s="34">
        <f t="shared" si="2"/>
        <v>1</v>
      </c>
      <c r="J14" s="35">
        <f t="shared" si="0"/>
        <v>1</v>
      </c>
      <c r="K14" s="34">
        <v>1</v>
      </c>
      <c r="L14" s="6">
        <f t="shared" si="3"/>
        <v>1</v>
      </c>
      <c r="M14" s="47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4"/>
      <c r="Z14" s="4"/>
      <c r="AA14" s="4"/>
      <c r="AB14" s="4"/>
      <c r="AC14" s="4"/>
      <c r="AD14" s="4"/>
      <c r="AE14" s="4"/>
    </row>
    <row r="15" spans="1:394" ht="16.5" thickTop="1" thickBot="1" x14ac:dyDescent="0.3">
      <c r="A15" s="11" t="s">
        <v>72</v>
      </c>
      <c r="B15" s="13" t="s">
        <v>65</v>
      </c>
      <c r="C15" s="18">
        <v>1</v>
      </c>
      <c r="D15" s="22" t="s">
        <v>7</v>
      </c>
      <c r="E15" s="9">
        <f t="shared" si="1"/>
        <v>5</v>
      </c>
      <c r="F15" s="2"/>
      <c r="G15" s="29" t="s">
        <v>38</v>
      </c>
      <c r="H15" s="5">
        <f>SUMIF(D:D,"DER",C:C)</f>
        <v>2</v>
      </c>
      <c r="I15" s="34">
        <f t="shared" si="2"/>
        <v>3</v>
      </c>
      <c r="J15" s="35">
        <f t="shared" si="0"/>
        <v>3</v>
      </c>
      <c r="K15" s="34">
        <v>1</v>
      </c>
      <c r="L15" s="6">
        <f t="shared" si="3"/>
        <v>9</v>
      </c>
      <c r="M15" s="47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4"/>
      <c r="Z15" s="4"/>
      <c r="AA15" s="4"/>
      <c r="AB15" s="4"/>
      <c r="AC15" s="4"/>
      <c r="AD15" s="4"/>
      <c r="AE15" s="4"/>
    </row>
    <row r="16" spans="1:394" ht="16.5" thickTop="1" thickBot="1" x14ac:dyDescent="0.3">
      <c r="A16" s="11" t="s">
        <v>72</v>
      </c>
      <c r="B16" s="13" t="s">
        <v>67</v>
      </c>
      <c r="C16" s="18">
        <v>1</v>
      </c>
      <c r="D16" s="22" t="s">
        <v>48</v>
      </c>
      <c r="E16" s="9">
        <f t="shared" si="1"/>
        <v>3</v>
      </c>
      <c r="F16" s="2"/>
      <c r="G16" s="29" t="s">
        <v>39</v>
      </c>
      <c r="H16" s="5">
        <f>SUMIF(D:D,"DER",C:C)</f>
        <v>2</v>
      </c>
      <c r="I16" s="34">
        <f t="shared" si="2"/>
        <v>3</v>
      </c>
      <c r="J16" s="35">
        <f t="shared" si="0"/>
        <v>3</v>
      </c>
      <c r="K16" s="34">
        <v>1</v>
      </c>
      <c r="L16" s="6">
        <f t="shared" si="3"/>
        <v>9</v>
      </c>
      <c r="M16" s="47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4"/>
      <c r="Z16" s="4"/>
      <c r="AA16" s="4"/>
      <c r="AB16" s="4"/>
      <c r="AC16" s="4"/>
      <c r="AD16" s="4"/>
      <c r="AE16" s="4"/>
    </row>
    <row r="17" spans="1:31" ht="16.5" thickTop="1" thickBot="1" x14ac:dyDescent="0.3">
      <c r="A17" s="11" t="s">
        <v>72</v>
      </c>
      <c r="B17" s="13" t="s">
        <v>69</v>
      </c>
      <c r="C17" s="18">
        <v>1</v>
      </c>
      <c r="D17" s="22" t="s">
        <v>27</v>
      </c>
      <c r="E17" s="9">
        <f t="shared" si="1"/>
        <v>3</v>
      </c>
      <c r="F17" s="2"/>
      <c r="G17" s="29" t="s">
        <v>40</v>
      </c>
      <c r="H17" s="5">
        <f>SUMIF(D:D,"EAI",C:C)</f>
        <v>2</v>
      </c>
      <c r="I17" s="34">
        <f t="shared" si="2"/>
        <v>3</v>
      </c>
      <c r="J17" s="35">
        <f t="shared" si="0"/>
        <v>2.5</v>
      </c>
      <c r="K17" s="34">
        <v>1</v>
      </c>
      <c r="L17" s="6">
        <f t="shared" si="3"/>
        <v>7.5</v>
      </c>
      <c r="M17" s="47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4"/>
      <c r="Z17" s="4"/>
      <c r="AA17" s="4"/>
      <c r="AB17" s="4"/>
      <c r="AC17" s="4"/>
      <c r="AD17" s="4"/>
      <c r="AE17" s="4"/>
    </row>
    <row r="18" spans="1:31" ht="16.5" thickTop="1" thickBot="1" x14ac:dyDescent="0.3">
      <c r="A18" s="11" t="s">
        <v>72</v>
      </c>
      <c r="B18" s="13" t="s">
        <v>23</v>
      </c>
      <c r="C18" s="18">
        <v>1</v>
      </c>
      <c r="D18" s="22" t="s">
        <v>10</v>
      </c>
      <c r="E18" s="9">
        <f t="shared" si="1"/>
        <v>2</v>
      </c>
      <c r="F18" s="2"/>
      <c r="G18" s="29" t="s">
        <v>41</v>
      </c>
      <c r="H18" s="5">
        <f>SUMIF(D:D,"ELR",C:C)</f>
        <v>1</v>
      </c>
      <c r="I18" s="34">
        <f t="shared" si="2"/>
        <v>2</v>
      </c>
      <c r="J18" s="35">
        <f t="shared" si="0"/>
        <v>2</v>
      </c>
      <c r="K18" s="34">
        <v>2</v>
      </c>
      <c r="L18" s="6">
        <f t="shared" si="3"/>
        <v>8</v>
      </c>
      <c r="M18" s="47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4"/>
      <c r="Z18" s="4"/>
      <c r="AA18" s="4"/>
      <c r="AB18" s="4"/>
      <c r="AC18" s="4"/>
      <c r="AD18" s="4"/>
      <c r="AE18" s="4"/>
    </row>
    <row r="19" spans="1:31" ht="16.5" thickTop="1" thickBot="1" x14ac:dyDescent="0.3">
      <c r="A19" s="11" t="s">
        <v>72</v>
      </c>
      <c r="B19" s="13" t="s">
        <v>23</v>
      </c>
      <c r="C19" s="18">
        <v>1</v>
      </c>
      <c r="D19" s="22" t="s">
        <v>60</v>
      </c>
      <c r="E19" s="9">
        <f t="shared" si="1"/>
        <v>2</v>
      </c>
      <c r="F19" s="2"/>
      <c r="G19" s="29" t="s">
        <v>42</v>
      </c>
      <c r="H19" s="5">
        <f>SUMIF(D:D,"GAR",C:C)</f>
        <v>0</v>
      </c>
      <c r="I19" s="34">
        <f t="shared" si="2"/>
        <v>1</v>
      </c>
      <c r="J19" s="35">
        <f t="shared" si="0"/>
        <v>1</v>
      </c>
      <c r="K19" s="34">
        <v>1</v>
      </c>
      <c r="L19" s="6">
        <f t="shared" si="3"/>
        <v>1</v>
      </c>
      <c r="M19" s="47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4"/>
      <c r="Z19" s="4"/>
      <c r="AA19" s="4"/>
      <c r="AB19" s="4"/>
      <c r="AC19" s="4"/>
      <c r="AD19" s="4"/>
      <c r="AE19" s="4"/>
    </row>
    <row r="20" spans="1:31" ht="16.5" thickTop="1" thickBot="1" x14ac:dyDescent="0.3">
      <c r="A20" s="11" t="s">
        <v>72</v>
      </c>
      <c r="B20" s="13" t="s">
        <v>23</v>
      </c>
      <c r="C20" s="18">
        <v>1</v>
      </c>
      <c r="D20" s="22" t="s">
        <v>40</v>
      </c>
      <c r="E20" s="9">
        <f t="shared" si="1"/>
        <v>2</v>
      </c>
      <c r="F20" s="2"/>
      <c r="G20" s="29" t="s">
        <v>43</v>
      </c>
      <c r="H20" s="5">
        <f>SUMIF(D:D,"GRE",C:C)</f>
        <v>2</v>
      </c>
      <c r="I20" s="34">
        <f t="shared" si="2"/>
        <v>3</v>
      </c>
      <c r="J20" s="35">
        <f t="shared" si="0"/>
        <v>3</v>
      </c>
      <c r="K20" s="34">
        <v>1</v>
      </c>
      <c r="L20" s="6">
        <f t="shared" si="3"/>
        <v>9</v>
      </c>
      <c r="M20" s="47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4"/>
      <c r="Z20" s="4"/>
      <c r="AA20" s="4"/>
      <c r="AB20" s="4"/>
      <c r="AC20" s="4"/>
      <c r="AD20" s="4"/>
      <c r="AE20" s="4"/>
    </row>
    <row r="21" spans="1:31" ht="16.5" thickTop="1" thickBot="1" x14ac:dyDescent="0.3">
      <c r="A21" s="11" t="s">
        <v>72</v>
      </c>
      <c r="B21" s="13" t="s">
        <v>20</v>
      </c>
      <c r="C21" s="18">
        <v>1</v>
      </c>
      <c r="D21" s="23" t="s">
        <v>31</v>
      </c>
      <c r="E21" s="9">
        <f t="shared" si="1"/>
        <v>1</v>
      </c>
      <c r="F21" s="2"/>
      <c r="G21" s="29" t="s">
        <v>44</v>
      </c>
      <c r="H21" s="5">
        <f>SUMIF(D:D,"HEQ",C:C)</f>
        <v>1</v>
      </c>
      <c r="I21" s="34">
        <f t="shared" si="2"/>
        <v>2</v>
      </c>
      <c r="J21" s="35">
        <f t="shared" si="0"/>
        <v>1</v>
      </c>
      <c r="K21" s="34">
        <v>1</v>
      </c>
      <c r="L21" s="6">
        <f t="shared" si="3"/>
        <v>2</v>
      </c>
      <c r="M21" s="47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4"/>
      <c r="Z21" s="4"/>
      <c r="AA21" s="4"/>
      <c r="AB21" s="4"/>
      <c r="AC21" s="4"/>
      <c r="AD21" s="4"/>
      <c r="AE21" s="4"/>
    </row>
    <row r="22" spans="1:31" ht="16.5" thickTop="1" thickBot="1" x14ac:dyDescent="0.3">
      <c r="A22" s="11" t="s">
        <v>72</v>
      </c>
      <c r="B22" s="14" t="s">
        <v>20</v>
      </c>
      <c r="C22" s="18">
        <v>1</v>
      </c>
      <c r="D22" s="24" t="s">
        <v>10</v>
      </c>
      <c r="E22" s="9">
        <f t="shared" si="1"/>
        <v>1</v>
      </c>
      <c r="F22" s="2"/>
      <c r="G22" s="28" t="s">
        <v>45</v>
      </c>
      <c r="H22" s="5">
        <f>SUMIF(D:D,"ISG",C:C)</f>
        <v>1</v>
      </c>
      <c r="I22" s="34">
        <f t="shared" si="2"/>
        <v>2</v>
      </c>
      <c r="J22" s="35">
        <f t="shared" si="0"/>
        <v>3</v>
      </c>
      <c r="K22" s="34">
        <v>1</v>
      </c>
      <c r="L22" s="6">
        <f t="shared" si="3"/>
        <v>6</v>
      </c>
      <c r="M22" s="47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4"/>
      <c r="Z22" s="4"/>
      <c r="AA22" s="4"/>
      <c r="AB22" s="4"/>
      <c r="AC22" s="4"/>
      <c r="AD22" s="4"/>
      <c r="AE22" s="4"/>
    </row>
    <row r="23" spans="1:31" ht="16.5" thickTop="1" thickBot="1" x14ac:dyDescent="0.3">
      <c r="A23" s="11" t="s">
        <v>72</v>
      </c>
      <c r="B23" s="13" t="s">
        <v>20</v>
      </c>
      <c r="C23" s="18">
        <v>1</v>
      </c>
      <c r="D23" s="22" t="s">
        <v>44</v>
      </c>
      <c r="E23" s="9">
        <f t="shared" si="1"/>
        <v>1</v>
      </c>
      <c r="F23" s="2"/>
      <c r="G23" s="29" t="s">
        <v>46</v>
      </c>
      <c r="H23" s="5">
        <f>SUMIF(D:D,"KGV",C:C)</f>
        <v>3</v>
      </c>
      <c r="I23" s="34">
        <f t="shared" si="2"/>
        <v>4</v>
      </c>
      <c r="J23" s="35">
        <f t="shared" si="0"/>
        <v>4.333333333333333</v>
      </c>
      <c r="K23" s="34">
        <v>1</v>
      </c>
      <c r="L23" s="6">
        <f t="shared" si="3"/>
        <v>17.333333333333332</v>
      </c>
      <c r="M23" s="47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4"/>
      <c r="Z23" s="4"/>
      <c r="AA23" s="4"/>
      <c r="AB23" s="4"/>
      <c r="AC23" s="4"/>
      <c r="AD23" s="4"/>
      <c r="AE23" s="4"/>
    </row>
    <row r="24" spans="1:31" ht="16.5" thickTop="1" thickBot="1" x14ac:dyDescent="0.3">
      <c r="A24" s="53" t="s">
        <v>72</v>
      </c>
      <c r="B24" s="14" t="s">
        <v>67</v>
      </c>
      <c r="C24" s="19">
        <v>1</v>
      </c>
      <c r="D24" s="25" t="s">
        <v>12</v>
      </c>
      <c r="E24" s="52">
        <f t="shared" si="1"/>
        <v>3</v>
      </c>
      <c r="F24" s="2"/>
      <c r="G24" s="29" t="s">
        <v>47</v>
      </c>
      <c r="H24" s="5">
        <f>SUMIF(D:D,"LAP",C:C)</f>
        <v>0</v>
      </c>
      <c r="I24" s="34">
        <f t="shared" si="2"/>
        <v>1</v>
      </c>
      <c r="J24" s="35">
        <f t="shared" si="0"/>
        <v>1</v>
      </c>
      <c r="K24" s="34">
        <v>1</v>
      </c>
      <c r="L24" s="6">
        <f t="shared" si="3"/>
        <v>1</v>
      </c>
      <c r="M24" s="47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4"/>
      <c r="Z24" s="4"/>
      <c r="AA24" s="4"/>
      <c r="AB24" s="4"/>
      <c r="AC24" s="4"/>
      <c r="AD24" s="4"/>
      <c r="AE24" s="4"/>
    </row>
    <row r="25" spans="1:31" ht="16.5" thickTop="1" thickBot="1" x14ac:dyDescent="0.3">
      <c r="A25" s="11" t="s">
        <v>72</v>
      </c>
      <c r="B25" s="14" t="s">
        <v>65</v>
      </c>
      <c r="C25" s="18">
        <v>1</v>
      </c>
      <c r="D25" s="25" t="s">
        <v>46</v>
      </c>
      <c r="E25" s="9">
        <f t="shared" si="1"/>
        <v>5</v>
      </c>
      <c r="F25" s="2"/>
      <c r="G25" s="28" t="s">
        <v>48</v>
      </c>
      <c r="H25" s="5">
        <f>SUMIF(D:D,"LCA",C:C)</f>
        <v>5</v>
      </c>
      <c r="I25" s="34">
        <f t="shared" si="2"/>
        <v>5</v>
      </c>
      <c r="J25" s="35">
        <f t="shared" si="0"/>
        <v>3</v>
      </c>
      <c r="K25" s="34">
        <v>5</v>
      </c>
      <c r="L25" s="6">
        <f t="shared" si="3"/>
        <v>75</v>
      </c>
      <c r="M25" s="47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4"/>
      <c r="Z25" s="4"/>
      <c r="AA25" s="4"/>
      <c r="AB25" s="4"/>
      <c r="AC25" s="4"/>
      <c r="AD25" s="4"/>
      <c r="AE25" s="4"/>
    </row>
    <row r="26" spans="1:31" ht="16.5" thickTop="1" thickBot="1" x14ac:dyDescent="0.3">
      <c r="A26" s="11" t="s">
        <v>72</v>
      </c>
      <c r="B26" s="13" t="s">
        <v>62</v>
      </c>
      <c r="C26" s="18">
        <v>1</v>
      </c>
      <c r="D26" s="25" t="s">
        <v>33</v>
      </c>
      <c r="E26" s="9">
        <f t="shared" si="1"/>
        <v>2</v>
      </c>
      <c r="F26" s="2"/>
      <c r="G26" s="29" t="s">
        <v>49</v>
      </c>
      <c r="H26" s="5">
        <f>SUMIF(D:D,"LEW",C:C)</f>
        <v>0</v>
      </c>
      <c r="I26" s="34">
        <f t="shared" si="2"/>
        <v>1</v>
      </c>
      <c r="J26" s="35">
        <f t="shared" si="0"/>
        <v>1</v>
      </c>
      <c r="K26" s="34">
        <v>1</v>
      </c>
      <c r="L26" s="6">
        <f t="shared" si="3"/>
        <v>1</v>
      </c>
      <c r="M26" s="47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4"/>
      <c r="Z26" s="4"/>
      <c r="AA26" s="4"/>
      <c r="AB26" s="4"/>
      <c r="AC26" s="4"/>
      <c r="AD26" s="4"/>
      <c r="AE26" s="4"/>
    </row>
    <row r="27" spans="1:31" ht="16.5" thickTop="1" thickBot="1" x14ac:dyDescent="0.3">
      <c r="A27" s="11" t="s">
        <v>72</v>
      </c>
      <c r="B27" s="13" t="s">
        <v>64</v>
      </c>
      <c r="C27" s="18">
        <v>1</v>
      </c>
      <c r="D27" s="22" t="s">
        <v>32</v>
      </c>
      <c r="E27" s="9">
        <f t="shared" si="1"/>
        <v>4</v>
      </c>
      <c r="F27" s="2"/>
      <c r="G27" s="29" t="s">
        <v>7</v>
      </c>
      <c r="H27" s="5">
        <f>SUMIF(D:D,"LIM",C:C)</f>
        <v>5</v>
      </c>
      <c r="I27" s="34">
        <f t="shared" si="2"/>
        <v>5</v>
      </c>
      <c r="J27" s="35">
        <f t="shared" si="0"/>
        <v>3.4</v>
      </c>
      <c r="K27" s="34">
        <v>4</v>
      </c>
      <c r="L27" s="6">
        <f t="shared" si="3"/>
        <v>68</v>
      </c>
      <c r="M27" s="47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4"/>
      <c r="Z27" s="4"/>
      <c r="AA27" s="4"/>
      <c r="AB27" s="4"/>
      <c r="AC27" s="4"/>
      <c r="AD27" s="4"/>
      <c r="AE27" s="4"/>
    </row>
    <row r="28" spans="1:31" ht="16.5" thickTop="1" thickBot="1" x14ac:dyDescent="0.3">
      <c r="A28" s="11" t="s">
        <v>72</v>
      </c>
      <c r="B28" s="15" t="s">
        <v>17</v>
      </c>
      <c r="C28" s="20">
        <v>1</v>
      </c>
      <c r="D28" s="23" t="s">
        <v>13</v>
      </c>
      <c r="E28" s="9">
        <f t="shared" si="1"/>
        <v>2</v>
      </c>
      <c r="F28" s="2"/>
      <c r="G28" s="29" t="s">
        <v>50</v>
      </c>
      <c r="H28" s="5">
        <f>SUMIF(D:D,"MUD",C:C)</f>
        <v>0</v>
      </c>
      <c r="I28" s="34">
        <f t="shared" si="2"/>
        <v>1</v>
      </c>
      <c r="J28" s="35">
        <f t="shared" si="0"/>
        <v>1</v>
      </c>
      <c r="K28" s="34">
        <v>1</v>
      </c>
      <c r="L28" s="6">
        <f t="shared" si="3"/>
        <v>1</v>
      </c>
      <c r="M28" s="47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4"/>
      <c r="Z28" s="4"/>
      <c r="AA28" s="4"/>
      <c r="AB28" s="4"/>
      <c r="AC28" s="4"/>
      <c r="AD28" s="4"/>
      <c r="AE28" s="4"/>
    </row>
    <row r="29" spans="1:31" ht="16.5" thickTop="1" thickBot="1" x14ac:dyDescent="0.3">
      <c r="A29" s="11" t="s">
        <v>72</v>
      </c>
      <c r="B29" s="13" t="s">
        <v>63</v>
      </c>
      <c r="C29" s="18">
        <v>1</v>
      </c>
      <c r="D29" s="22" t="s">
        <v>12</v>
      </c>
      <c r="E29" s="9">
        <f t="shared" si="1"/>
        <v>3</v>
      </c>
      <c r="F29" s="2"/>
      <c r="G29" s="29" t="s">
        <v>51</v>
      </c>
      <c r="H29" s="5">
        <f>SUMIF(D:D,"PDK",C:C)</f>
        <v>0</v>
      </c>
      <c r="I29" s="34">
        <f t="shared" si="2"/>
        <v>1</v>
      </c>
      <c r="J29" s="35">
        <f t="shared" si="0"/>
        <v>1</v>
      </c>
      <c r="K29" s="34">
        <v>1</v>
      </c>
      <c r="L29" s="6">
        <f t="shared" si="3"/>
        <v>1</v>
      </c>
      <c r="M29" s="47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4"/>
      <c r="Z29" s="4"/>
      <c r="AA29" s="4"/>
      <c r="AB29" s="4"/>
      <c r="AC29" s="4"/>
      <c r="AD29" s="4"/>
      <c r="AE29" s="4"/>
    </row>
    <row r="30" spans="1:31" ht="16.5" thickTop="1" thickBot="1" x14ac:dyDescent="0.3">
      <c r="A30" s="11" t="s">
        <v>72</v>
      </c>
      <c r="B30" s="15" t="s">
        <v>68</v>
      </c>
      <c r="C30" s="19">
        <v>1</v>
      </c>
      <c r="D30" s="22" t="s">
        <v>7</v>
      </c>
      <c r="E30" s="9">
        <f t="shared" si="1"/>
        <v>3</v>
      </c>
      <c r="F30" s="2"/>
      <c r="G30" s="29" t="s">
        <v>52</v>
      </c>
      <c r="H30" s="5">
        <f>SUMIF(D:D,"PML",C:C)</f>
        <v>0</v>
      </c>
      <c r="I30" s="34">
        <f t="shared" si="2"/>
        <v>1</v>
      </c>
      <c r="J30" s="35">
        <f t="shared" si="0"/>
        <v>1</v>
      </c>
      <c r="K30" s="34">
        <v>1</v>
      </c>
      <c r="L30" s="6">
        <f t="shared" si="3"/>
        <v>1</v>
      </c>
      <c r="M30" s="47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4"/>
      <c r="Z30" s="4"/>
      <c r="AA30" s="4"/>
      <c r="AB30" s="4"/>
      <c r="AC30" s="4"/>
      <c r="AD30" s="4"/>
      <c r="AE30" s="4"/>
    </row>
    <row r="31" spans="1:31" ht="16.5" thickTop="1" thickBot="1" x14ac:dyDescent="0.3">
      <c r="A31" s="11" t="s">
        <v>72</v>
      </c>
      <c r="B31" s="16" t="s">
        <v>66</v>
      </c>
      <c r="C31" s="18">
        <v>1</v>
      </c>
      <c r="D31" s="25" t="s">
        <v>60</v>
      </c>
      <c r="E31" s="9">
        <f t="shared" si="1"/>
        <v>4</v>
      </c>
      <c r="F31" s="2"/>
      <c r="G31" s="29" t="s">
        <v>10</v>
      </c>
      <c r="H31" s="5">
        <f>SUMIF(D:D,"POP",C:C)</f>
        <v>11</v>
      </c>
      <c r="I31" s="34">
        <f t="shared" si="2"/>
        <v>5</v>
      </c>
      <c r="J31" s="35">
        <f t="shared" si="0"/>
        <v>2.8181818181818183</v>
      </c>
      <c r="K31" s="34">
        <v>2</v>
      </c>
      <c r="L31" s="6">
        <f t="shared" si="3"/>
        <v>28.181818181818183</v>
      </c>
      <c r="M31" s="47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4"/>
      <c r="Z31" s="4"/>
      <c r="AA31" s="4"/>
      <c r="AB31" s="4"/>
      <c r="AC31" s="4"/>
      <c r="AD31" s="4"/>
      <c r="AE31" s="4"/>
    </row>
    <row r="32" spans="1:31" ht="16.5" thickTop="1" thickBot="1" x14ac:dyDescent="0.3">
      <c r="A32" s="11" t="s">
        <v>72</v>
      </c>
      <c r="B32" s="13" t="s">
        <v>73</v>
      </c>
      <c r="C32" s="18">
        <v>1</v>
      </c>
      <c r="D32" s="22" t="s">
        <v>11</v>
      </c>
      <c r="E32" s="9">
        <f t="shared" si="1"/>
        <v>2</v>
      </c>
      <c r="F32" s="2"/>
      <c r="G32" s="29" t="s">
        <v>53</v>
      </c>
      <c r="H32" s="5">
        <f>SUMIF(D:D,"PPR",C:C)</f>
        <v>0</v>
      </c>
      <c r="I32" s="34">
        <f t="shared" si="2"/>
        <v>1</v>
      </c>
      <c r="J32" s="35">
        <f t="shared" si="0"/>
        <v>1</v>
      </c>
      <c r="K32" s="34">
        <v>1</v>
      </c>
      <c r="L32" s="6">
        <f t="shared" si="3"/>
        <v>1</v>
      </c>
      <c r="M32" s="47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4"/>
      <c r="Z32" s="4"/>
      <c r="AA32" s="4"/>
      <c r="AB32" s="4"/>
      <c r="AC32" s="4"/>
      <c r="AD32" s="4"/>
      <c r="AE32" s="4"/>
    </row>
    <row r="33" spans="1:31" ht="16.5" thickTop="1" thickBot="1" x14ac:dyDescent="0.3">
      <c r="A33" s="11" t="s">
        <v>72</v>
      </c>
      <c r="B33" s="15" t="s">
        <v>22</v>
      </c>
      <c r="C33" s="18">
        <v>1</v>
      </c>
      <c r="D33" s="22" t="s">
        <v>6</v>
      </c>
      <c r="E33" s="9">
        <f t="shared" si="1"/>
        <v>3</v>
      </c>
      <c r="F33" s="2"/>
      <c r="G33" s="29" t="s">
        <v>54</v>
      </c>
      <c r="H33" s="5">
        <f>SUMIF(D:D,"ROA",C:C)</f>
        <v>0</v>
      </c>
      <c r="I33" s="34">
        <f t="shared" si="2"/>
        <v>1</v>
      </c>
      <c r="J33" s="35">
        <f t="shared" si="0"/>
        <v>1</v>
      </c>
      <c r="K33" s="34">
        <v>1</v>
      </c>
      <c r="L33" s="6">
        <f t="shared" si="3"/>
        <v>1</v>
      </c>
      <c r="M33" s="47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4"/>
      <c r="Z33" s="4"/>
      <c r="AA33" s="4"/>
      <c r="AB33" s="4"/>
      <c r="AC33" s="4"/>
      <c r="AD33" s="4"/>
      <c r="AE33" s="4"/>
    </row>
    <row r="34" spans="1:31" ht="16.5" thickTop="1" thickBot="1" x14ac:dyDescent="0.3">
      <c r="A34" s="11" t="s">
        <v>72</v>
      </c>
      <c r="B34" s="13" t="s">
        <v>19</v>
      </c>
      <c r="C34" s="18">
        <v>1</v>
      </c>
      <c r="D34" s="22" t="s">
        <v>10</v>
      </c>
      <c r="E34" s="9">
        <f t="shared" si="1"/>
        <v>1</v>
      </c>
      <c r="F34" s="2"/>
      <c r="G34" s="29" t="s">
        <v>8</v>
      </c>
      <c r="H34" s="5">
        <f>SUMIF(D:D,"ROV",C:C)</f>
        <v>1</v>
      </c>
      <c r="I34" s="34">
        <f t="shared" si="2"/>
        <v>2</v>
      </c>
      <c r="J34" s="35">
        <f t="shared" si="0"/>
        <v>4</v>
      </c>
      <c r="K34" s="34">
        <v>1</v>
      </c>
      <c r="L34" s="6">
        <f t="shared" ref="L34:L45" si="4">I34*J34*K34</f>
        <v>8</v>
      </c>
      <c r="M34" s="47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4"/>
      <c r="Z34" s="4"/>
      <c r="AA34" s="4"/>
      <c r="AB34" s="4"/>
      <c r="AC34" s="4"/>
      <c r="AD34" s="4"/>
      <c r="AE34" s="4"/>
    </row>
    <row r="35" spans="1:31" ht="16.5" thickTop="1" thickBot="1" x14ac:dyDescent="0.3">
      <c r="A35" s="11" t="s">
        <v>72</v>
      </c>
      <c r="B35" s="13" t="s">
        <v>16</v>
      </c>
      <c r="C35" s="18">
        <v>1</v>
      </c>
      <c r="D35" s="25" t="s">
        <v>10</v>
      </c>
      <c r="E35" s="9">
        <f t="shared" si="1"/>
        <v>3</v>
      </c>
      <c r="F35" s="2"/>
      <c r="G35" s="29" t="s">
        <v>14</v>
      </c>
      <c r="H35" s="5">
        <f>SUMIF(D:D,"SHA",C:C)</f>
        <v>1</v>
      </c>
      <c r="I35" s="34">
        <f t="shared" si="2"/>
        <v>2</v>
      </c>
      <c r="J35" s="35">
        <f t="shared" si="0"/>
        <v>3</v>
      </c>
      <c r="K35" s="34">
        <v>1</v>
      </c>
      <c r="L35" s="6">
        <f t="shared" si="4"/>
        <v>6</v>
      </c>
      <c r="M35" s="47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4"/>
      <c r="Z35" s="4"/>
      <c r="AA35" s="4"/>
      <c r="AB35" s="4"/>
      <c r="AC35" s="4"/>
      <c r="AD35" s="4"/>
      <c r="AE35" s="4"/>
    </row>
    <row r="36" spans="1:31" ht="16.5" thickTop="1" thickBot="1" x14ac:dyDescent="0.3">
      <c r="A36" s="11" t="s">
        <v>72</v>
      </c>
      <c r="B36" s="14" t="s">
        <v>23</v>
      </c>
      <c r="C36" s="18">
        <v>1</v>
      </c>
      <c r="D36" s="22" t="s">
        <v>41</v>
      </c>
      <c r="E36" s="9">
        <f t="shared" si="1"/>
        <v>2</v>
      </c>
      <c r="F36" s="2"/>
      <c r="G36" s="29" t="s">
        <v>55</v>
      </c>
      <c r="H36" s="5">
        <f>SUMIF(D:D,"SHS",C:C)</f>
        <v>0</v>
      </c>
      <c r="I36" s="34">
        <f t="shared" si="2"/>
        <v>1</v>
      </c>
      <c r="J36" s="35">
        <f t="shared" si="0"/>
        <v>1</v>
      </c>
      <c r="K36" s="34">
        <v>1</v>
      </c>
      <c r="L36" s="6">
        <f t="shared" si="4"/>
        <v>1</v>
      </c>
      <c r="M36" s="47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4"/>
      <c r="Z36" s="4"/>
      <c r="AA36" s="4"/>
      <c r="AB36" s="4"/>
      <c r="AC36" s="4"/>
      <c r="AD36" s="4"/>
      <c r="AE36" s="4"/>
    </row>
    <row r="37" spans="1:31" ht="16.5" thickTop="1" thickBot="1" x14ac:dyDescent="0.3">
      <c r="A37" s="11" t="s">
        <v>72</v>
      </c>
      <c r="B37" s="13" t="s">
        <v>23</v>
      </c>
      <c r="C37" s="18">
        <v>1</v>
      </c>
      <c r="D37" s="25" t="s">
        <v>30</v>
      </c>
      <c r="E37" s="9">
        <f t="shared" si="1"/>
        <v>2</v>
      </c>
      <c r="F37" s="2"/>
      <c r="G37" s="29" t="s">
        <v>56</v>
      </c>
      <c r="H37" s="5">
        <f>SUMIF(D:D,"SOQ",C:C)</f>
        <v>1</v>
      </c>
      <c r="I37" s="34">
        <f t="shared" si="2"/>
        <v>2</v>
      </c>
      <c r="J37" s="35">
        <f t="shared" si="0"/>
        <v>2</v>
      </c>
      <c r="K37" s="34">
        <v>2</v>
      </c>
      <c r="L37" s="6">
        <f t="shared" si="4"/>
        <v>8</v>
      </c>
      <c r="M37" s="47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4"/>
      <c r="Z37" s="4"/>
      <c r="AA37" s="4"/>
      <c r="AB37" s="4"/>
      <c r="AC37" s="4"/>
      <c r="AD37" s="4"/>
      <c r="AE37" s="4"/>
    </row>
    <row r="38" spans="1:31" ht="16.5" thickTop="1" thickBot="1" x14ac:dyDescent="0.3">
      <c r="A38" s="11" t="s">
        <v>72</v>
      </c>
      <c r="B38" s="15" t="s">
        <v>69</v>
      </c>
      <c r="C38" s="18">
        <v>1</v>
      </c>
      <c r="D38" s="25" t="s">
        <v>33</v>
      </c>
      <c r="E38" s="9">
        <f t="shared" si="1"/>
        <v>3</v>
      </c>
      <c r="F38" s="2"/>
      <c r="G38" s="29" t="s">
        <v>57</v>
      </c>
      <c r="H38" s="5">
        <f>SUMIF(D:D,"STI",C:C)</f>
        <v>1</v>
      </c>
      <c r="I38" s="34">
        <f t="shared" si="2"/>
        <v>2</v>
      </c>
      <c r="J38" s="35">
        <f t="shared" si="0"/>
        <v>3</v>
      </c>
      <c r="K38" s="34">
        <v>1</v>
      </c>
      <c r="L38" s="6">
        <f t="shared" si="4"/>
        <v>6</v>
      </c>
      <c r="M38" s="47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4"/>
      <c r="Z38" s="4"/>
      <c r="AA38" s="4"/>
      <c r="AB38" s="4"/>
      <c r="AC38" s="4"/>
      <c r="AD38" s="4"/>
      <c r="AE38" s="4"/>
    </row>
    <row r="39" spans="1:31" ht="16.5" thickTop="1" thickBot="1" x14ac:dyDescent="0.3">
      <c r="A39" s="11" t="s">
        <v>72</v>
      </c>
      <c r="B39" s="16" t="s">
        <v>21</v>
      </c>
      <c r="C39" s="18">
        <v>1</v>
      </c>
      <c r="D39" s="25" t="s">
        <v>59</v>
      </c>
      <c r="E39" s="9">
        <f t="shared" si="1"/>
        <v>4</v>
      </c>
      <c r="F39" s="2"/>
      <c r="G39" s="29" t="s">
        <v>9</v>
      </c>
      <c r="H39" s="5">
        <f>SUMIF(D:D,"STL",C:C)</f>
        <v>0</v>
      </c>
      <c r="I39" s="34">
        <f t="shared" si="2"/>
        <v>1</v>
      </c>
      <c r="J39" s="35">
        <f t="shared" si="0"/>
        <v>1</v>
      </c>
      <c r="K39" s="34">
        <v>1</v>
      </c>
      <c r="L39" s="6">
        <f t="shared" si="4"/>
        <v>1</v>
      </c>
      <c r="M39" s="47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4"/>
      <c r="Z39" s="4"/>
      <c r="AA39" s="4"/>
      <c r="AB39" s="4"/>
      <c r="AC39" s="4"/>
      <c r="AD39" s="4"/>
      <c r="AE39" s="4"/>
    </row>
    <row r="40" spans="1:31" ht="16.5" thickTop="1" thickBot="1" x14ac:dyDescent="0.3">
      <c r="A40" s="11" t="s">
        <v>72</v>
      </c>
      <c r="B40" s="13" t="s">
        <v>21</v>
      </c>
      <c r="C40" s="18">
        <v>1</v>
      </c>
      <c r="D40" s="25" t="s">
        <v>10</v>
      </c>
      <c r="E40" s="9">
        <f t="shared" si="1"/>
        <v>4</v>
      </c>
      <c r="F40" s="2"/>
      <c r="G40" s="29" t="s">
        <v>58</v>
      </c>
      <c r="H40" s="5">
        <f>SUMIF(D:D,"STR",C:C)</f>
        <v>1</v>
      </c>
      <c r="I40" s="34">
        <f t="shared" si="2"/>
        <v>2</v>
      </c>
      <c r="J40" s="35">
        <f t="shared" si="0"/>
        <v>3</v>
      </c>
      <c r="K40" s="34">
        <v>1</v>
      </c>
      <c r="L40" s="6">
        <f>I40*J40*K40</f>
        <v>6</v>
      </c>
      <c r="M40" s="47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4"/>
      <c r="Z40" s="4"/>
      <c r="AA40" s="4"/>
      <c r="AB40" s="4"/>
      <c r="AC40" s="4"/>
      <c r="AD40" s="4"/>
      <c r="AE40" s="4"/>
    </row>
    <row r="41" spans="1:31" ht="16.5" thickTop="1" thickBot="1" x14ac:dyDescent="0.3">
      <c r="A41" s="11" t="s">
        <v>72</v>
      </c>
      <c r="B41" s="14" t="s">
        <v>18</v>
      </c>
      <c r="C41" s="18">
        <v>1</v>
      </c>
      <c r="D41" s="25" t="s">
        <v>28</v>
      </c>
      <c r="E41" s="9">
        <f t="shared" si="1"/>
        <v>4</v>
      </c>
      <c r="F41" s="2"/>
      <c r="G41" s="29" t="s">
        <v>13</v>
      </c>
      <c r="H41" s="5">
        <f>SUMIF(D:D,"TOG",C:C)</f>
        <v>1</v>
      </c>
      <c r="I41" s="34">
        <f t="shared" si="2"/>
        <v>2</v>
      </c>
      <c r="J41" s="35">
        <f t="shared" si="0"/>
        <v>2</v>
      </c>
      <c r="K41" s="34">
        <v>28</v>
      </c>
      <c r="L41" s="6">
        <f t="shared" si="4"/>
        <v>112</v>
      </c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4"/>
      <c r="Z41" s="4"/>
      <c r="AA41" s="4"/>
      <c r="AB41" s="4"/>
      <c r="AC41" s="4"/>
      <c r="AD41" s="4"/>
      <c r="AE41" s="4"/>
    </row>
    <row r="42" spans="1:31" ht="16.5" thickTop="1" thickBot="1" x14ac:dyDescent="0.3">
      <c r="A42" s="11" t="s">
        <v>72</v>
      </c>
      <c r="B42" s="14" t="s">
        <v>18</v>
      </c>
      <c r="C42" s="18">
        <v>1</v>
      </c>
      <c r="D42" s="25" t="s">
        <v>7</v>
      </c>
      <c r="E42" s="9">
        <f t="shared" si="1"/>
        <v>4</v>
      </c>
      <c r="F42" s="2"/>
      <c r="G42" s="28" t="s">
        <v>59</v>
      </c>
      <c r="H42" s="5">
        <f>SUMIF(D:D,"WEH",C:C)</f>
        <v>1</v>
      </c>
      <c r="I42" s="34">
        <f t="shared" si="2"/>
        <v>2</v>
      </c>
      <c r="J42" s="35">
        <f t="shared" si="0"/>
        <v>4</v>
      </c>
      <c r="K42" s="34">
        <v>1</v>
      </c>
      <c r="L42" s="6">
        <f t="shared" si="4"/>
        <v>8</v>
      </c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4"/>
      <c r="Z42" s="4"/>
      <c r="AA42" s="4"/>
      <c r="AB42" s="4"/>
      <c r="AC42" s="4"/>
      <c r="AD42" s="4"/>
      <c r="AE42" s="4"/>
    </row>
    <row r="43" spans="1:31" ht="16.5" thickTop="1" thickBot="1" x14ac:dyDescent="0.3">
      <c r="A43" s="11" t="s">
        <v>72</v>
      </c>
      <c r="B43" s="13" t="s">
        <v>25</v>
      </c>
      <c r="C43" s="18">
        <v>1</v>
      </c>
      <c r="D43" s="25" t="s">
        <v>10</v>
      </c>
      <c r="E43" s="9">
        <f t="shared" si="1"/>
        <v>5</v>
      </c>
      <c r="F43" s="2"/>
      <c r="G43" s="29" t="s">
        <v>60</v>
      </c>
      <c r="H43" s="5">
        <f>SUMIF(D:D,"WES",C:C)</f>
        <v>8</v>
      </c>
      <c r="I43" s="34">
        <f t="shared" si="2"/>
        <v>5</v>
      </c>
      <c r="J43" s="35">
        <f t="shared" si="0"/>
        <v>3.5</v>
      </c>
      <c r="K43" s="34">
        <v>3</v>
      </c>
      <c r="L43" s="6">
        <f t="shared" si="4"/>
        <v>52.5</v>
      </c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4"/>
      <c r="Z43" s="4"/>
      <c r="AA43" s="4"/>
      <c r="AB43" s="4"/>
      <c r="AC43" s="4"/>
      <c r="AD43" s="4"/>
      <c r="AE43" s="4"/>
    </row>
    <row r="44" spans="1:31" ht="16.5" thickTop="1" thickBot="1" x14ac:dyDescent="0.3">
      <c r="A44" s="11" t="s">
        <v>72</v>
      </c>
      <c r="B44" s="14" t="s">
        <v>18</v>
      </c>
      <c r="C44" s="18">
        <v>1</v>
      </c>
      <c r="D44" s="25" t="s">
        <v>10</v>
      </c>
      <c r="E44" s="9">
        <f t="shared" si="1"/>
        <v>4</v>
      </c>
      <c r="F44" s="2"/>
      <c r="G44" s="29" t="s">
        <v>5</v>
      </c>
      <c r="H44" s="5">
        <f>SUMIF(D:D,"WIQ",C:C)</f>
        <v>1</v>
      </c>
      <c r="I44" s="34">
        <f t="shared" si="2"/>
        <v>2</v>
      </c>
      <c r="J44" s="35">
        <f t="shared" si="0"/>
        <v>4</v>
      </c>
      <c r="K44" s="34">
        <v>1</v>
      </c>
      <c r="L44" s="6">
        <f t="shared" si="4"/>
        <v>8</v>
      </c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4"/>
      <c r="Z44" s="4"/>
      <c r="AA44" s="4"/>
      <c r="AB44" s="4"/>
      <c r="AC44" s="4"/>
      <c r="AD44" s="4"/>
      <c r="AE44" s="4"/>
    </row>
    <row r="45" spans="1:31" ht="16.5" thickTop="1" thickBot="1" x14ac:dyDescent="0.3">
      <c r="A45" s="11" t="s">
        <v>72</v>
      </c>
      <c r="B45" s="14" t="s">
        <v>18</v>
      </c>
      <c r="C45" s="18">
        <v>1</v>
      </c>
      <c r="D45" s="25" t="s">
        <v>46</v>
      </c>
      <c r="E45" s="9">
        <f t="shared" si="1"/>
        <v>4</v>
      </c>
      <c r="F45" s="2"/>
      <c r="G45" s="29" t="s">
        <v>12</v>
      </c>
      <c r="H45" s="5">
        <f>SUMIF(D:D,"WOA",C:C)</f>
        <v>6</v>
      </c>
      <c r="I45" s="34">
        <f t="shared" si="2"/>
        <v>5</v>
      </c>
      <c r="J45" s="35">
        <f t="shared" si="0"/>
        <v>2.8333333333333335</v>
      </c>
      <c r="K45" s="34">
        <v>5</v>
      </c>
      <c r="L45" s="6">
        <f t="shared" si="4"/>
        <v>70.833333333333343</v>
      </c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4"/>
      <c r="Z45" s="4"/>
      <c r="AA45" s="4"/>
      <c r="AB45" s="4"/>
      <c r="AC45" s="4"/>
      <c r="AD45" s="4"/>
      <c r="AE45" s="4"/>
    </row>
    <row r="46" spans="1:31" ht="16.5" thickTop="1" thickBot="1" x14ac:dyDescent="0.3">
      <c r="A46" s="11" t="s">
        <v>72</v>
      </c>
      <c r="B46" s="13" t="s">
        <v>61</v>
      </c>
      <c r="C46" s="20">
        <v>1</v>
      </c>
      <c r="D46" s="22" t="s">
        <v>12</v>
      </c>
      <c r="E46" s="9">
        <f t="shared" si="1"/>
        <v>3</v>
      </c>
      <c r="F46" s="2"/>
      <c r="G46" s="30" t="s">
        <v>15</v>
      </c>
      <c r="H46" s="7">
        <f>SUMIF(D:D,"WST",C:C)</f>
        <v>2</v>
      </c>
      <c r="I46" s="36">
        <f t="shared" si="2"/>
        <v>3</v>
      </c>
      <c r="J46" s="37">
        <f t="shared" si="0"/>
        <v>3</v>
      </c>
      <c r="K46" s="36">
        <v>1</v>
      </c>
      <c r="L46" s="8">
        <f>I46*J46*K46</f>
        <v>9</v>
      </c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4"/>
      <c r="Z46" s="4"/>
      <c r="AA46" s="4"/>
      <c r="AB46" s="4"/>
      <c r="AC46" s="4"/>
      <c r="AD46" s="4"/>
      <c r="AE46" s="4"/>
    </row>
    <row r="47" spans="1:31" ht="16.5" thickTop="1" thickBot="1" x14ac:dyDescent="0.3">
      <c r="A47" s="11" t="s">
        <v>72</v>
      </c>
      <c r="B47" s="13" t="s">
        <v>61</v>
      </c>
      <c r="C47" s="20">
        <v>1</v>
      </c>
      <c r="D47" s="25" t="s">
        <v>27</v>
      </c>
      <c r="E47" s="9">
        <f t="shared" si="1"/>
        <v>3</v>
      </c>
      <c r="F47" s="2"/>
      <c r="G47" s="4"/>
      <c r="H47" s="4"/>
      <c r="I47" s="2"/>
      <c r="J47" s="2"/>
      <c r="K47" s="45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4"/>
      <c r="Z47" s="4"/>
      <c r="AA47" s="4"/>
      <c r="AB47" s="4"/>
      <c r="AC47" s="4"/>
      <c r="AD47" s="4"/>
      <c r="AE47" s="4"/>
    </row>
    <row r="48" spans="1:31" ht="16.5" thickTop="1" thickBot="1" x14ac:dyDescent="0.3">
      <c r="A48" s="11" t="s">
        <v>72</v>
      </c>
      <c r="B48" s="13" t="s">
        <v>18</v>
      </c>
      <c r="C48" s="20">
        <v>1</v>
      </c>
      <c r="D48" s="25" t="s">
        <v>33</v>
      </c>
      <c r="E48" s="9">
        <f t="shared" si="1"/>
        <v>4</v>
      </c>
      <c r="F48" s="2"/>
      <c r="G48" s="4"/>
      <c r="H48" s="4"/>
      <c r="I48" s="2"/>
      <c r="J48" s="2"/>
      <c r="K48" s="45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4"/>
      <c r="Z48" s="4"/>
      <c r="AA48" s="4"/>
      <c r="AB48" s="4"/>
      <c r="AC48" s="4"/>
      <c r="AD48" s="4"/>
      <c r="AE48" s="4"/>
    </row>
    <row r="49" spans="1:31" ht="16.5" thickTop="1" thickBot="1" x14ac:dyDescent="0.3">
      <c r="A49" s="11" t="s">
        <v>72</v>
      </c>
      <c r="B49" s="13" t="s">
        <v>18</v>
      </c>
      <c r="C49" s="20">
        <v>1</v>
      </c>
      <c r="D49" s="25" t="s">
        <v>46</v>
      </c>
      <c r="E49" s="9">
        <f t="shared" si="1"/>
        <v>4</v>
      </c>
      <c r="F49" s="2"/>
      <c r="G49" s="4"/>
      <c r="H49" s="4"/>
      <c r="I49" s="2"/>
      <c r="J49" s="2"/>
      <c r="K49" s="45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4"/>
      <c r="Z49" s="4"/>
      <c r="AA49" s="4"/>
      <c r="AB49" s="4"/>
      <c r="AC49" s="4"/>
      <c r="AD49" s="4"/>
      <c r="AE49" s="4"/>
    </row>
    <row r="50" spans="1:31" ht="16.5" thickTop="1" thickBot="1" x14ac:dyDescent="0.3">
      <c r="A50" s="11" t="s">
        <v>72</v>
      </c>
      <c r="B50" s="13" t="s">
        <v>75</v>
      </c>
      <c r="C50" s="20">
        <v>1</v>
      </c>
      <c r="D50" s="22" t="s">
        <v>10</v>
      </c>
      <c r="E50" s="9">
        <f t="shared" si="1"/>
        <v>4</v>
      </c>
      <c r="F50" s="2"/>
      <c r="G50" s="4"/>
      <c r="H50" s="4"/>
      <c r="I50" s="2"/>
      <c r="J50" s="2"/>
      <c r="K50" s="45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4"/>
      <c r="Z50" s="4"/>
      <c r="AA50" s="4"/>
      <c r="AB50" s="4"/>
      <c r="AC50" s="4"/>
      <c r="AD50" s="4"/>
      <c r="AE50" s="4"/>
    </row>
    <row r="51" spans="1:31" ht="16.5" thickTop="1" thickBot="1" x14ac:dyDescent="0.3">
      <c r="A51" s="11" t="s">
        <v>72</v>
      </c>
      <c r="B51" s="13" t="s">
        <v>16</v>
      </c>
      <c r="C51" s="20">
        <v>1</v>
      </c>
      <c r="D51" s="22" t="s">
        <v>10</v>
      </c>
      <c r="E51" s="9">
        <f t="shared" si="1"/>
        <v>3</v>
      </c>
      <c r="F51" s="4"/>
      <c r="G51" s="4"/>
      <c r="H51" s="4"/>
      <c r="I51" s="2"/>
      <c r="J51" s="2"/>
      <c r="K51" s="45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4"/>
      <c r="Z51" s="4"/>
      <c r="AA51" s="4"/>
      <c r="AB51" s="4"/>
      <c r="AC51" s="4"/>
      <c r="AD51" s="4"/>
      <c r="AE51" s="4"/>
    </row>
    <row r="52" spans="1:31" ht="16.5" thickTop="1" thickBot="1" x14ac:dyDescent="0.3">
      <c r="A52" s="11" t="s">
        <v>72</v>
      </c>
      <c r="B52" s="13" t="s">
        <v>16</v>
      </c>
      <c r="C52" s="20">
        <v>1</v>
      </c>
      <c r="D52" s="25" t="s">
        <v>6</v>
      </c>
      <c r="E52" s="9">
        <f t="shared" si="1"/>
        <v>3</v>
      </c>
      <c r="F52" s="4"/>
      <c r="G52" s="4"/>
      <c r="H52" s="4"/>
      <c r="I52" s="4"/>
      <c r="J52" s="4"/>
      <c r="K52" s="46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4"/>
      <c r="Z52" s="4"/>
      <c r="AA52" s="4"/>
      <c r="AB52" s="4"/>
      <c r="AC52" s="4"/>
      <c r="AD52" s="4"/>
      <c r="AE52" s="4"/>
    </row>
    <row r="53" spans="1:31" ht="16.5" thickTop="1" thickBot="1" x14ac:dyDescent="0.3">
      <c r="A53" s="11" t="s">
        <v>72</v>
      </c>
      <c r="B53" s="13" t="s">
        <v>18</v>
      </c>
      <c r="C53" s="20">
        <v>1</v>
      </c>
      <c r="D53" s="22" t="s">
        <v>8</v>
      </c>
      <c r="E53" s="9">
        <f t="shared" si="1"/>
        <v>4</v>
      </c>
      <c r="F53" s="4"/>
      <c r="G53" s="4"/>
      <c r="H53" s="4"/>
      <c r="I53" s="4"/>
      <c r="J53" s="4"/>
      <c r="K53" s="46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4"/>
      <c r="Z53" s="4"/>
      <c r="AA53" s="4"/>
      <c r="AB53" s="4"/>
      <c r="AC53" s="4"/>
      <c r="AD53" s="4"/>
      <c r="AE53" s="4"/>
    </row>
    <row r="54" spans="1:31" ht="16.5" thickTop="1" thickBot="1" x14ac:dyDescent="0.3">
      <c r="A54" s="11" t="s">
        <v>72</v>
      </c>
      <c r="B54" s="14" t="s">
        <v>16</v>
      </c>
      <c r="C54" s="20">
        <v>1</v>
      </c>
      <c r="D54" s="22" t="s">
        <v>48</v>
      </c>
      <c r="E54" s="9">
        <f t="shared" si="1"/>
        <v>3</v>
      </c>
      <c r="F54" s="4"/>
      <c r="G54" s="4"/>
      <c r="H54" s="4"/>
      <c r="I54" s="4"/>
      <c r="J54" s="4"/>
      <c r="K54" s="46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4"/>
      <c r="Z54" s="4"/>
      <c r="AA54" s="4"/>
      <c r="AB54" s="4"/>
      <c r="AC54" s="4"/>
      <c r="AD54" s="4"/>
      <c r="AE54" s="4"/>
    </row>
    <row r="55" spans="1:31" ht="16.5" thickTop="1" thickBot="1" x14ac:dyDescent="0.3">
      <c r="A55" s="11" t="s">
        <v>72</v>
      </c>
      <c r="B55" s="13" t="s">
        <v>16</v>
      </c>
      <c r="C55" s="20">
        <v>1</v>
      </c>
      <c r="D55" s="22" t="s">
        <v>15</v>
      </c>
      <c r="E55" s="9">
        <f t="shared" si="1"/>
        <v>3</v>
      </c>
      <c r="F55" s="4"/>
      <c r="G55" s="4"/>
      <c r="H55" s="4"/>
      <c r="I55" s="4"/>
      <c r="J55" s="4"/>
      <c r="K55" s="46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4"/>
      <c r="Z55" s="4"/>
      <c r="AA55" s="4"/>
      <c r="AB55" s="4"/>
      <c r="AC55" s="4"/>
      <c r="AD55" s="4"/>
      <c r="AE55" s="4"/>
    </row>
    <row r="56" spans="1:31" ht="16.5" thickTop="1" thickBot="1" x14ac:dyDescent="0.3">
      <c r="A56" s="11" t="s">
        <v>72</v>
      </c>
      <c r="B56" s="14" t="s">
        <v>16</v>
      </c>
      <c r="C56" s="20">
        <v>1</v>
      </c>
      <c r="D56" s="22" t="s">
        <v>48</v>
      </c>
      <c r="E56" s="9">
        <f t="shared" si="1"/>
        <v>3</v>
      </c>
      <c r="F56" s="4"/>
      <c r="G56" s="4"/>
      <c r="H56" s="4"/>
      <c r="I56" s="4"/>
      <c r="J56" s="4"/>
      <c r="K56" s="46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4"/>
      <c r="Z56" s="4"/>
      <c r="AA56" s="4"/>
      <c r="AB56" s="4"/>
      <c r="AC56" s="4"/>
      <c r="AD56" s="4"/>
      <c r="AE56" s="4"/>
    </row>
    <row r="57" spans="1:31" ht="16.5" thickTop="1" thickBot="1" x14ac:dyDescent="0.3">
      <c r="A57" s="11" t="s">
        <v>72</v>
      </c>
      <c r="B57" s="13" t="s">
        <v>18</v>
      </c>
      <c r="C57" s="20">
        <v>1</v>
      </c>
      <c r="D57" s="22" t="s">
        <v>60</v>
      </c>
      <c r="E57" s="9">
        <f t="shared" si="1"/>
        <v>4</v>
      </c>
      <c r="F57" s="4"/>
      <c r="G57" s="4"/>
      <c r="H57" s="4"/>
      <c r="I57" s="4"/>
      <c r="J57" s="4"/>
      <c r="K57" s="46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4"/>
      <c r="Z57" s="4"/>
      <c r="AA57" s="4"/>
      <c r="AB57" s="4"/>
      <c r="AC57" s="4"/>
      <c r="AD57" s="4"/>
      <c r="AE57" s="4"/>
    </row>
    <row r="58" spans="1:31" ht="16.5" thickTop="1" thickBot="1" x14ac:dyDescent="0.3">
      <c r="A58" s="11" t="s">
        <v>72</v>
      </c>
      <c r="B58" s="14" t="s">
        <v>67</v>
      </c>
      <c r="C58" s="20">
        <v>1</v>
      </c>
      <c r="D58" s="22" t="s">
        <v>38</v>
      </c>
      <c r="E58" s="9">
        <f t="shared" si="1"/>
        <v>3</v>
      </c>
      <c r="F58" s="4"/>
      <c r="G58" s="4"/>
      <c r="H58" s="4"/>
      <c r="I58" s="4"/>
      <c r="J58" s="4"/>
      <c r="K58" s="46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4"/>
      <c r="Z58" s="4"/>
      <c r="AA58" s="4"/>
      <c r="AB58" s="4"/>
      <c r="AC58" s="4"/>
      <c r="AD58" s="4"/>
      <c r="AE58" s="4"/>
    </row>
    <row r="59" spans="1:31" ht="16.5" thickTop="1" thickBot="1" x14ac:dyDescent="0.3">
      <c r="A59" s="11" t="s">
        <v>72</v>
      </c>
      <c r="B59" s="14" t="s">
        <v>18</v>
      </c>
      <c r="C59" s="20">
        <v>1</v>
      </c>
      <c r="D59" s="22" t="s">
        <v>43</v>
      </c>
      <c r="E59" s="9">
        <f t="shared" si="1"/>
        <v>4</v>
      </c>
      <c r="F59" s="4"/>
      <c r="G59" s="4"/>
      <c r="H59" s="4"/>
      <c r="I59" s="4"/>
      <c r="J59" s="4"/>
      <c r="K59" s="46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4"/>
      <c r="Z59" s="4"/>
      <c r="AA59" s="4"/>
      <c r="AB59" s="4"/>
      <c r="AC59" s="4"/>
      <c r="AD59" s="4"/>
      <c r="AE59" s="4"/>
    </row>
    <row r="60" spans="1:31" ht="16.5" thickTop="1" thickBot="1" x14ac:dyDescent="0.3">
      <c r="A60" s="11" t="s">
        <v>72</v>
      </c>
      <c r="B60" s="13" t="s">
        <v>16</v>
      </c>
      <c r="C60" s="20">
        <v>1</v>
      </c>
      <c r="D60" s="22" t="s">
        <v>48</v>
      </c>
      <c r="E60" s="9">
        <f t="shared" si="1"/>
        <v>3</v>
      </c>
      <c r="F60" s="4"/>
      <c r="G60" s="4"/>
      <c r="H60" s="4"/>
      <c r="I60" s="4"/>
      <c r="J60" s="4"/>
      <c r="K60" s="46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4"/>
      <c r="Z60" s="4"/>
      <c r="AA60" s="4"/>
      <c r="AB60" s="4"/>
      <c r="AC60" s="4"/>
      <c r="AD60" s="4"/>
      <c r="AE60" s="4"/>
    </row>
    <row r="61" spans="1:31" ht="16.5" thickTop="1" thickBot="1" x14ac:dyDescent="0.3">
      <c r="A61" s="11" t="s">
        <v>72</v>
      </c>
      <c r="B61" s="14" t="s">
        <v>16</v>
      </c>
      <c r="C61" s="20">
        <v>1</v>
      </c>
      <c r="D61" s="25" t="s">
        <v>60</v>
      </c>
      <c r="E61" s="9">
        <f t="shared" si="1"/>
        <v>3</v>
      </c>
      <c r="F61" s="4"/>
      <c r="G61" s="4"/>
      <c r="H61" s="4"/>
      <c r="I61" s="4"/>
      <c r="J61" s="4"/>
      <c r="K61" s="46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4"/>
      <c r="Z61" s="4"/>
      <c r="AA61" s="4"/>
      <c r="AB61" s="4"/>
      <c r="AC61" s="4"/>
      <c r="AD61" s="4"/>
      <c r="AE61" s="4"/>
    </row>
    <row r="62" spans="1:31" ht="16.5" thickTop="1" thickBot="1" x14ac:dyDescent="0.3">
      <c r="A62" s="11" t="s">
        <v>72</v>
      </c>
      <c r="B62" s="14" t="s">
        <v>18</v>
      </c>
      <c r="C62" s="20">
        <v>1</v>
      </c>
      <c r="D62" s="22" t="s">
        <v>27</v>
      </c>
      <c r="E62" s="9">
        <f t="shared" si="1"/>
        <v>4</v>
      </c>
      <c r="F62" s="4"/>
      <c r="G62" s="4"/>
      <c r="H62" s="4"/>
      <c r="I62" s="4"/>
      <c r="J62" s="4"/>
      <c r="K62" s="46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4"/>
      <c r="Z62" s="4"/>
      <c r="AA62" s="4"/>
      <c r="AB62" s="4"/>
      <c r="AC62" s="4"/>
      <c r="AD62" s="4"/>
      <c r="AE62" s="4"/>
    </row>
    <row r="63" spans="1:31" ht="16.5" thickTop="1" thickBot="1" x14ac:dyDescent="0.3">
      <c r="A63" s="11" t="s">
        <v>72</v>
      </c>
      <c r="B63" s="14" t="s">
        <v>16</v>
      </c>
      <c r="C63" s="20">
        <v>1</v>
      </c>
      <c r="D63" s="22" t="s">
        <v>7</v>
      </c>
      <c r="E63" s="9">
        <f t="shared" si="1"/>
        <v>3</v>
      </c>
      <c r="F63" s="4"/>
      <c r="G63" s="4"/>
      <c r="H63" s="4"/>
      <c r="I63" s="4"/>
      <c r="J63" s="4"/>
      <c r="K63" s="46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4"/>
      <c r="Z63" s="4"/>
      <c r="AA63" s="4"/>
      <c r="AB63" s="4"/>
      <c r="AC63" s="4"/>
      <c r="AD63" s="4"/>
      <c r="AE63" s="4"/>
    </row>
    <row r="64" spans="1:31" ht="16.5" thickTop="1" thickBot="1" x14ac:dyDescent="0.3">
      <c r="A64" s="11" t="s">
        <v>72</v>
      </c>
      <c r="B64" s="13" t="s">
        <v>16</v>
      </c>
      <c r="C64" s="20">
        <v>1</v>
      </c>
      <c r="D64" s="22" t="s">
        <v>12</v>
      </c>
      <c r="E64" s="9">
        <f t="shared" si="1"/>
        <v>3</v>
      </c>
      <c r="F64" s="4"/>
      <c r="G64" s="4"/>
      <c r="H64" s="4"/>
      <c r="I64" s="4"/>
      <c r="J64" s="4"/>
      <c r="K64" s="46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4"/>
      <c r="Z64" s="4"/>
      <c r="AA64" s="4"/>
      <c r="AB64" s="4"/>
      <c r="AC64" s="4"/>
      <c r="AD64" s="4"/>
      <c r="AE64" s="4"/>
    </row>
    <row r="65" spans="1:31" ht="16.5" thickTop="1" thickBot="1" x14ac:dyDescent="0.3">
      <c r="A65" s="11" t="s">
        <v>72</v>
      </c>
      <c r="B65" s="13" t="s">
        <v>66</v>
      </c>
      <c r="C65" s="20">
        <v>1</v>
      </c>
      <c r="D65" s="22" t="s">
        <v>60</v>
      </c>
      <c r="E65" s="9">
        <f t="shared" si="1"/>
        <v>4</v>
      </c>
      <c r="F65" s="4"/>
      <c r="G65" s="4"/>
      <c r="H65" s="4"/>
      <c r="I65" s="4"/>
      <c r="J65" s="4"/>
      <c r="K65" s="46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4"/>
      <c r="Z65" s="4"/>
      <c r="AA65" s="4"/>
      <c r="AB65" s="4"/>
      <c r="AC65" s="4"/>
      <c r="AD65" s="4"/>
      <c r="AE65" s="4"/>
    </row>
    <row r="66" spans="1:31" ht="16.5" thickTop="1" thickBot="1" x14ac:dyDescent="0.3">
      <c r="A66" s="11" t="s">
        <v>72</v>
      </c>
      <c r="B66" s="14" t="s">
        <v>16</v>
      </c>
      <c r="C66" s="20">
        <v>1</v>
      </c>
      <c r="D66" s="22" t="s">
        <v>57</v>
      </c>
      <c r="E66" s="9">
        <f t="shared" si="1"/>
        <v>3</v>
      </c>
      <c r="F66" s="4"/>
      <c r="G66" s="4"/>
      <c r="H66" s="4"/>
      <c r="I66" s="4"/>
      <c r="J66" s="4"/>
      <c r="K66" s="46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4"/>
      <c r="Z66" s="4"/>
      <c r="AA66" s="4"/>
      <c r="AB66" s="4"/>
      <c r="AC66" s="4"/>
      <c r="AD66" s="4"/>
      <c r="AE66" s="4"/>
    </row>
    <row r="67" spans="1:31" ht="16.5" thickTop="1" thickBot="1" x14ac:dyDescent="0.3">
      <c r="A67" s="11" t="s">
        <v>72</v>
      </c>
      <c r="B67" s="14" t="s">
        <v>22</v>
      </c>
      <c r="C67" s="20">
        <v>1</v>
      </c>
      <c r="D67" s="22" t="s">
        <v>76</v>
      </c>
      <c r="E67" s="9">
        <f t="shared" ref="E67:E76" si="5">VALUE(IF(B67="grafity","1",IF(B67="pulled door","1",IF(B67="no ticket","1",IF(B67="revenue dispute","2",IF(B67="sucidial","2",IF(B67="spat","2",IF(B67="etching","2",IF(B67="sleeping vagrant","2",IF(B67="soiled",2,IF(B67="verbal assault","3",IF(B67="aggressive passenger","3",IF(B67="drunk passenger","3",IF(B67="broken window","3",IF(B67="unstable passenger","3",IF(B67="distorbing","3",IF(B67="fight","4",IF(B67="steal","4",IF(B67="indecent exposure","4",IF(B67="physical assault","4",IF(B67="BTP intervention","5",IF(B67="assault with seriously attack","5"))))))))))))))))))))))</f>
        <v>3</v>
      </c>
      <c r="F67" s="4"/>
      <c r="G67" s="4"/>
      <c r="H67" s="4"/>
      <c r="I67" s="4"/>
      <c r="J67" s="4"/>
      <c r="K67" s="46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4"/>
      <c r="Z67" s="4"/>
      <c r="AA67" s="4"/>
      <c r="AB67" s="4"/>
      <c r="AC67" s="4"/>
      <c r="AD67" s="4"/>
      <c r="AE67" s="4"/>
    </row>
    <row r="68" spans="1:31" ht="16.5" thickTop="1" thickBot="1" x14ac:dyDescent="0.3">
      <c r="A68" s="11" t="s">
        <v>72</v>
      </c>
      <c r="B68" s="14" t="s">
        <v>16</v>
      </c>
      <c r="C68" s="20">
        <v>1</v>
      </c>
      <c r="D68" s="25" t="s">
        <v>39</v>
      </c>
      <c r="E68" s="9">
        <f t="shared" si="5"/>
        <v>3</v>
      </c>
      <c r="F68" s="4"/>
      <c r="G68" s="4"/>
      <c r="H68" s="4"/>
      <c r="I68" s="4"/>
      <c r="J68" s="4"/>
      <c r="K68" s="46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4"/>
      <c r="Z68" s="4"/>
      <c r="AA68" s="4"/>
      <c r="AB68" s="4"/>
      <c r="AC68" s="4"/>
      <c r="AD68" s="4"/>
      <c r="AE68" s="4"/>
    </row>
    <row r="69" spans="1:31" ht="16.5" thickTop="1" thickBot="1" x14ac:dyDescent="0.3">
      <c r="A69" s="11" t="s">
        <v>72</v>
      </c>
      <c r="B69" s="14" t="s">
        <v>18</v>
      </c>
      <c r="C69" s="20">
        <v>1</v>
      </c>
      <c r="D69" s="22" t="s">
        <v>5</v>
      </c>
      <c r="E69" s="9">
        <f t="shared" si="5"/>
        <v>4</v>
      </c>
      <c r="F69" s="4"/>
      <c r="G69" s="4"/>
      <c r="H69" s="4"/>
      <c r="I69" s="4"/>
      <c r="J69" s="4"/>
      <c r="K69" s="46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4"/>
      <c r="Z69" s="4"/>
      <c r="AA69" s="4"/>
      <c r="AB69" s="4"/>
      <c r="AC69" s="4"/>
      <c r="AD69" s="4"/>
      <c r="AE69" s="4"/>
    </row>
    <row r="70" spans="1:31" ht="16.5" thickTop="1" thickBot="1" x14ac:dyDescent="0.3">
      <c r="A70" s="11" t="s">
        <v>72</v>
      </c>
      <c r="B70" s="14" t="s">
        <v>18</v>
      </c>
      <c r="C70" s="20">
        <v>1</v>
      </c>
      <c r="D70" s="25" t="s">
        <v>60</v>
      </c>
      <c r="E70" s="9">
        <f t="shared" si="5"/>
        <v>4</v>
      </c>
      <c r="F70" s="4"/>
      <c r="G70" s="4"/>
      <c r="H70" s="4"/>
      <c r="I70" s="4"/>
      <c r="J70" s="4"/>
      <c r="K70" s="46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4"/>
      <c r="Z70" s="4"/>
      <c r="AA70" s="4"/>
      <c r="AB70" s="4"/>
      <c r="AC70" s="4"/>
      <c r="AD70" s="4"/>
      <c r="AE70" s="4"/>
    </row>
    <row r="71" spans="1:31" ht="16.5" thickTop="1" thickBot="1" x14ac:dyDescent="0.3">
      <c r="A71" s="11" t="s">
        <v>72</v>
      </c>
      <c r="B71" s="14" t="s">
        <v>18</v>
      </c>
      <c r="C71" s="20">
        <v>1</v>
      </c>
      <c r="D71" s="22" t="s">
        <v>60</v>
      </c>
      <c r="E71" s="9">
        <f t="shared" si="5"/>
        <v>4</v>
      </c>
      <c r="F71" s="4"/>
      <c r="G71" s="4"/>
      <c r="H71" s="4"/>
      <c r="I71" s="4"/>
      <c r="J71" s="4"/>
      <c r="K71" s="46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4"/>
      <c r="Z71" s="4"/>
      <c r="AA71" s="4"/>
      <c r="AB71" s="4"/>
      <c r="AC71" s="4"/>
      <c r="AD71" s="4"/>
      <c r="AE71" s="4"/>
    </row>
    <row r="72" spans="1:31" ht="16.5" thickTop="1" thickBot="1" x14ac:dyDescent="0.3">
      <c r="A72" s="11" t="s">
        <v>72</v>
      </c>
      <c r="B72" s="13" t="s">
        <v>16</v>
      </c>
      <c r="C72" s="20">
        <v>1</v>
      </c>
      <c r="D72" s="25" t="s">
        <v>39</v>
      </c>
      <c r="E72" s="9">
        <f t="shared" si="5"/>
        <v>3</v>
      </c>
      <c r="F72" s="4"/>
      <c r="G72" s="4"/>
      <c r="H72" s="4"/>
      <c r="I72" s="4"/>
      <c r="J72" s="4"/>
      <c r="K72" s="46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4"/>
      <c r="Z72" s="4"/>
      <c r="AA72" s="4"/>
      <c r="AB72" s="4"/>
      <c r="AC72" s="4"/>
      <c r="AD72" s="4"/>
      <c r="AE72" s="4"/>
    </row>
    <row r="73" spans="1:31" ht="16.5" thickTop="1" thickBot="1" x14ac:dyDescent="0.3">
      <c r="A73" s="11" t="s">
        <v>72</v>
      </c>
      <c r="B73" s="14" t="s">
        <v>23</v>
      </c>
      <c r="C73" s="20">
        <v>1</v>
      </c>
      <c r="D73" s="25" t="s">
        <v>27</v>
      </c>
      <c r="E73" s="9">
        <f t="shared" si="5"/>
        <v>2</v>
      </c>
      <c r="F73" s="4"/>
      <c r="G73" s="4"/>
      <c r="H73" s="4"/>
      <c r="I73" s="4"/>
      <c r="J73" s="4"/>
      <c r="K73" s="46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4"/>
      <c r="Z73" s="4"/>
      <c r="AA73" s="4"/>
      <c r="AB73" s="4"/>
      <c r="AC73" s="4"/>
      <c r="AD73" s="4"/>
      <c r="AE73" s="4"/>
    </row>
    <row r="74" spans="1:31" ht="16.5" thickTop="1" thickBot="1" x14ac:dyDescent="0.3">
      <c r="A74" s="11" t="s">
        <v>72</v>
      </c>
      <c r="B74" s="14" t="s">
        <v>16</v>
      </c>
      <c r="C74" s="20">
        <v>1</v>
      </c>
      <c r="D74" s="25" t="s">
        <v>40</v>
      </c>
      <c r="E74" s="9">
        <f t="shared" si="5"/>
        <v>3</v>
      </c>
      <c r="F74" s="4"/>
      <c r="G74" s="4"/>
      <c r="H74" s="4"/>
      <c r="I74" s="4"/>
      <c r="J74" s="4"/>
      <c r="K74" s="46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4"/>
      <c r="Z74" s="4"/>
      <c r="AA74" s="4"/>
      <c r="AB74" s="4"/>
      <c r="AC74" s="4"/>
      <c r="AD74" s="4"/>
      <c r="AE74" s="4"/>
    </row>
    <row r="75" spans="1:31" ht="16.5" thickTop="1" thickBot="1" x14ac:dyDescent="0.3">
      <c r="A75" s="11" t="s">
        <v>72</v>
      </c>
      <c r="B75" s="14" t="s">
        <v>16</v>
      </c>
      <c r="C75" s="18">
        <v>1</v>
      </c>
      <c r="D75" s="25" t="s">
        <v>12</v>
      </c>
      <c r="E75" s="9">
        <f t="shared" si="5"/>
        <v>3</v>
      </c>
      <c r="F75" s="4"/>
      <c r="G75" s="4"/>
      <c r="H75" s="4"/>
      <c r="I75" s="4"/>
      <c r="J75" s="4"/>
      <c r="K75" s="46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4"/>
      <c r="Z75" s="4"/>
      <c r="AA75" s="4"/>
      <c r="AB75" s="4"/>
      <c r="AC75" s="4"/>
      <c r="AD75" s="4"/>
      <c r="AE75" s="4"/>
    </row>
    <row r="76" spans="1:31" ht="16.5" thickTop="1" thickBot="1" x14ac:dyDescent="0.3">
      <c r="A76" s="38" t="s">
        <v>72</v>
      </c>
      <c r="B76" s="39" t="s">
        <v>22</v>
      </c>
      <c r="C76" s="40">
        <v>1</v>
      </c>
      <c r="D76" s="26" t="s">
        <v>60</v>
      </c>
      <c r="E76" s="41">
        <f t="shared" si="5"/>
        <v>3</v>
      </c>
      <c r="F76" s="4"/>
      <c r="G76" s="4"/>
      <c r="H76" s="4"/>
      <c r="I76" s="4"/>
      <c r="J76" s="4"/>
      <c r="K76" s="46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4"/>
      <c r="Z76" s="4"/>
      <c r="AA76" s="4"/>
      <c r="AB76" s="4"/>
      <c r="AC76" s="4"/>
      <c r="AD76" s="4"/>
      <c r="AE76" s="4"/>
    </row>
    <row r="77" spans="1:31" x14ac:dyDescent="0.25">
      <c r="A77" s="47"/>
      <c r="B77" s="4"/>
      <c r="C77" s="4"/>
      <c r="D77" s="4"/>
      <c r="E77" s="4"/>
      <c r="F77" s="4"/>
      <c r="G77" s="4"/>
      <c r="H77" s="4"/>
      <c r="I77" s="4"/>
      <c r="J77" s="4"/>
      <c r="K77" s="46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4"/>
      <c r="Z77" s="4"/>
      <c r="AA77" s="4"/>
      <c r="AB77" s="4"/>
      <c r="AC77" s="4"/>
      <c r="AD77" s="4"/>
      <c r="AE77" s="4"/>
    </row>
    <row r="78" spans="1:31" ht="15.75" thickBot="1" x14ac:dyDescent="0.3">
      <c r="A78" s="48"/>
      <c r="B78" s="49"/>
      <c r="C78" s="49"/>
      <c r="D78" s="49"/>
      <c r="E78" s="49"/>
      <c r="F78" s="49"/>
      <c r="G78" s="49"/>
      <c r="H78" s="49"/>
      <c r="I78" s="49"/>
      <c r="J78" s="49"/>
      <c r="K78" s="50"/>
      <c r="L78" s="49"/>
      <c r="M78" s="49"/>
      <c r="N78" s="49"/>
      <c r="O78" s="49"/>
      <c r="P78" s="49"/>
      <c r="Q78" s="49"/>
      <c r="R78" s="49"/>
      <c r="S78" s="49"/>
      <c r="T78" s="49"/>
      <c r="U78" s="49"/>
      <c r="V78" s="49"/>
      <c r="W78" s="49"/>
      <c r="X78" s="49"/>
      <c r="Y78" s="51"/>
      <c r="Z78" s="4"/>
      <c r="AA78" s="4"/>
      <c r="AB78" s="4"/>
      <c r="AC78" s="4"/>
      <c r="AD78" s="4"/>
      <c r="AE78" s="4"/>
    </row>
    <row r="79" spans="1:31" x14ac:dyDescent="0.25">
      <c r="A79" s="47"/>
      <c r="B79" s="4"/>
      <c r="C79" s="4"/>
      <c r="D79" s="4"/>
      <c r="E79" s="4"/>
      <c r="F79" s="4"/>
      <c r="G79" s="4"/>
      <c r="H79" s="4"/>
      <c r="I79" s="4"/>
      <c r="J79" s="4"/>
      <c r="K79" s="46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</row>
    <row r="80" spans="1:31" x14ac:dyDescent="0.25">
      <c r="A80" s="47"/>
      <c r="B80" s="4"/>
      <c r="C80" s="4"/>
      <c r="D80" s="4"/>
      <c r="E80" s="4"/>
      <c r="F80" s="4"/>
      <c r="G80" s="4"/>
      <c r="H80" s="4"/>
      <c r="I80" s="4"/>
      <c r="J80" s="4"/>
      <c r="K80" s="46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</row>
    <row r="81" spans="1:31" x14ac:dyDescent="0.25">
      <c r="A81" s="47"/>
      <c r="B81" s="4"/>
      <c r="C81" s="4"/>
      <c r="D81" s="4"/>
      <c r="E81" s="4"/>
      <c r="F81" s="4"/>
      <c r="G81" s="4"/>
      <c r="H81" s="4"/>
      <c r="I81" s="4"/>
      <c r="J81" s="4"/>
      <c r="K81" s="46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</row>
    <row r="82" spans="1:31" x14ac:dyDescent="0.25">
      <c r="A82" s="47"/>
      <c r="B82" s="4"/>
      <c r="C82" s="4"/>
      <c r="D82" s="4"/>
      <c r="E82" s="4"/>
      <c r="F82" s="4"/>
      <c r="G82" s="4"/>
      <c r="H82" s="4"/>
      <c r="I82" s="4"/>
      <c r="J82" s="4"/>
      <c r="K82" s="46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</row>
    <row r="83" spans="1:31" x14ac:dyDescent="0.25">
      <c r="A83" s="47"/>
      <c r="B83" s="4"/>
      <c r="C83" s="4"/>
      <c r="D83" s="4"/>
      <c r="E83" s="4"/>
      <c r="F83" s="4"/>
      <c r="G83" s="4"/>
      <c r="H83" s="4"/>
      <c r="I83" s="4"/>
      <c r="J83" s="4"/>
      <c r="K83" s="46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</row>
    <row r="84" spans="1:31" x14ac:dyDescent="0.25">
      <c r="A84" s="47"/>
      <c r="B84" s="4"/>
      <c r="C84" s="4"/>
      <c r="D84" s="4"/>
      <c r="E84" s="4"/>
      <c r="F84" s="4"/>
      <c r="G84" s="4"/>
      <c r="H84" s="4"/>
      <c r="I84" s="4"/>
      <c r="J84" s="4"/>
      <c r="K84" s="46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</row>
    <row r="85" spans="1:31" x14ac:dyDescent="0.25">
      <c r="A85" s="47"/>
      <c r="B85" s="4"/>
      <c r="C85" s="4"/>
      <c r="D85" s="4"/>
      <c r="E85" s="4"/>
      <c r="F85" s="4"/>
      <c r="G85" s="4"/>
      <c r="H85" s="4"/>
      <c r="I85" s="4"/>
      <c r="J85" s="4"/>
      <c r="K85" s="46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</row>
    <row r="86" spans="1:31" x14ac:dyDescent="0.25">
      <c r="A86" s="47"/>
      <c r="B86" s="4"/>
      <c r="C86" s="4"/>
      <c r="D86" s="4"/>
      <c r="E86" s="4"/>
      <c r="F86" s="4"/>
      <c r="G86" s="4"/>
      <c r="H86" s="4"/>
      <c r="I86" s="4"/>
      <c r="J86" s="4"/>
      <c r="K86" s="46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</row>
    <row r="87" spans="1:31" x14ac:dyDescent="0.25">
      <c r="A87" s="47"/>
      <c r="B87" s="4"/>
      <c r="C87" s="4"/>
      <c r="D87" s="4"/>
      <c r="E87" s="4"/>
      <c r="F87" s="4"/>
      <c r="G87" s="4"/>
      <c r="H87" s="4"/>
      <c r="I87" s="4"/>
      <c r="J87" s="4"/>
      <c r="K87" s="46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</row>
    <row r="88" spans="1:31" x14ac:dyDescent="0.25">
      <c r="A88" s="47"/>
      <c r="B88" s="4"/>
      <c r="C88" s="4"/>
      <c r="D88" s="4"/>
      <c r="E88" s="4"/>
      <c r="F88" s="4"/>
      <c r="G88" s="4"/>
      <c r="H88" s="4"/>
      <c r="I88" s="4"/>
      <c r="J88" s="4"/>
      <c r="K88" s="46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</row>
    <row r="89" spans="1:3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6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</row>
    <row r="90" spans="1:31" x14ac:dyDescent="0.25">
      <c r="A90"/>
      <c r="B90"/>
      <c r="C90"/>
      <c r="D90"/>
      <c r="E90"/>
      <c r="F90"/>
      <c r="G90"/>
      <c r="H90"/>
      <c r="I90"/>
      <c r="J90"/>
      <c r="K90" s="32"/>
    </row>
    <row r="91" spans="1:31" x14ac:dyDescent="0.25">
      <c r="A91"/>
      <c r="B91"/>
      <c r="C91"/>
      <c r="D91"/>
      <c r="E91"/>
      <c r="F91"/>
      <c r="G91"/>
      <c r="H91"/>
      <c r="I91"/>
      <c r="J91"/>
      <c r="K91" s="32"/>
    </row>
    <row r="92" spans="1:31" x14ac:dyDescent="0.25">
      <c r="A92"/>
      <c r="B92"/>
      <c r="C92"/>
      <c r="D92"/>
      <c r="E92"/>
      <c r="F92"/>
      <c r="G92"/>
      <c r="H92"/>
      <c r="I92"/>
      <c r="J92"/>
      <c r="K92" s="32"/>
    </row>
    <row r="93" spans="1:31" x14ac:dyDescent="0.25">
      <c r="A93"/>
      <c r="B93"/>
      <c r="C93"/>
      <c r="D93"/>
      <c r="E93"/>
      <c r="F93"/>
      <c r="G93"/>
      <c r="H93"/>
      <c r="I93"/>
      <c r="J93"/>
      <c r="K93" s="32"/>
    </row>
    <row r="94" spans="1:31" x14ac:dyDescent="0.25">
      <c r="A94"/>
      <c r="B94"/>
      <c r="C94"/>
      <c r="D94"/>
      <c r="E94"/>
      <c r="F94"/>
      <c r="G94"/>
      <c r="H94"/>
      <c r="I94"/>
      <c r="J94"/>
      <c r="K94" s="32"/>
    </row>
    <row r="95" spans="1:31" x14ac:dyDescent="0.25">
      <c r="A95"/>
      <c r="B95"/>
      <c r="C95"/>
      <c r="D95"/>
      <c r="E95"/>
      <c r="F95"/>
      <c r="G95"/>
      <c r="H95"/>
      <c r="I95"/>
      <c r="J95"/>
      <c r="K95" s="32"/>
    </row>
    <row r="96" spans="1:31" x14ac:dyDescent="0.25">
      <c r="A96"/>
      <c r="B96"/>
      <c r="C96"/>
      <c r="D96"/>
      <c r="E96"/>
      <c r="F96"/>
      <c r="G96"/>
      <c r="H96"/>
      <c r="I96"/>
      <c r="J96"/>
      <c r="K96" s="32"/>
    </row>
    <row r="97" spans="1:11" x14ac:dyDescent="0.25">
      <c r="A97"/>
      <c r="B97"/>
      <c r="C97"/>
      <c r="D97"/>
      <c r="E97"/>
      <c r="F97"/>
      <c r="G97"/>
      <c r="H97"/>
      <c r="I97"/>
      <c r="J97"/>
      <c r="K97" s="32"/>
    </row>
    <row r="98" spans="1:11" x14ac:dyDescent="0.25">
      <c r="A98"/>
      <c r="B98"/>
      <c r="C98"/>
      <c r="D98"/>
      <c r="E98"/>
      <c r="F98"/>
      <c r="G98"/>
      <c r="H98"/>
      <c r="I98"/>
      <c r="J98"/>
      <c r="K98" s="32"/>
    </row>
    <row r="99" spans="1:11" x14ac:dyDescent="0.25">
      <c r="A99"/>
      <c r="B99"/>
      <c r="C99"/>
      <c r="D99"/>
      <c r="E99"/>
      <c r="F99"/>
      <c r="G99"/>
      <c r="H99"/>
      <c r="I99"/>
      <c r="J99"/>
      <c r="K99" s="32"/>
    </row>
    <row r="100" spans="1:11" x14ac:dyDescent="0.25">
      <c r="A100"/>
      <c r="B100"/>
      <c r="C100"/>
      <c r="D100"/>
      <c r="E100"/>
      <c r="F100"/>
      <c r="G100"/>
      <c r="H100"/>
      <c r="I100"/>
      <c r="J100"/>
      <c r="K100" s="32"/>
    </row>
    <row r="101" spans="1:11" x14ac:dyDescent="0.25">
      <c r="A101"/>
      <c r="B101"/>
      <c r="C101"/>
      <c r="D101"/>
      <c r="E101"/>
      <c r="F101"/>
      <c r="G101"/>
      <c r="H101"/>
      <c r="I101"/>
      <c r="J101"/>
      <c r="K101" s="32"/>
    </row>
    <row r="102" spans="1:11" x14ac:dyDescent="0.25">
      <c r="A102"/>
      <c r="B102"/>
      <c r="C102"/>
      <c r="D102"/>
      <c r="E102"/>
      <c r="F102"/>
      <c r="G102"/>
      <c r="H102"/>
      <c r="I102"/>
      <c r="J102"/>
      <c r="K102" s="32"/>
    </row>
    <row r="103" spans="1:11" x14ac:dyDescent="0.25">
      <c r="A103"/>
      <c r="B103"/>
      <c r="C103"/>
      <c r="D103"/>
      <c r="E103"/>
      <c r="F103"/>
      <c r="G103"/>
      <c r="H103"/>
      <c r="I103"/>
      <c r="J103"/>
      <c r="K103" s="32"/>
    </row>
    <row r="104" spans="1:11" x14ac:dyDescent="0.25">
      <c r="A104"/>
      <c r="B104"/>
      <c r="C104"/>
      <c r="D104"/>
      <c r="E104"/>
      <c r="F104"/>
      <c r="G104"/>
      <c r="H104"/>
      <c r="I104"/>
      <c r="J104"/>
      <c r="K104" s="32"/>
    </row>
    <row r="105" spans="1:11" x14ac:dyDescent="0.25">
      <c r="A105"/>
      <c r="B105"/>
      <c r="C105"/>
      <c r="D105"/>
      <c r="E105"/>
      <c r="F105"/>
      <c r="G105"/>
      <c r="H105"/>
      <c r="I105"/>
      <c r="J105"/>
      <c r="K105" s="32"/>
    </row>
    <row r="106" spans="1:11" x14ac:dyDescent="0.25">
      <c r="A106"/>
      <c r="B106"/>
      <c r="C106"/>
      <c r="D106"/>
      <c r="E106"/>
      <c r="F106"/>
      <c r="G106"/>
      <c r="H106"/>
      <c r="I106"/>
      <c r="J106"/>
      <c r="K106" s="32"/>
    </row>
    <row r="107" spans="1:11" x14ac:dyDescent="0.25">
      <c r="A107"/>
      <c r="B107"/>
      <c r="C107"/>
      <c r="D107"/>
      <c r="E107"/>
      <c r="F107"/>
      <c r="G107"/>
      <c r="H107"/>
      <c r="I107"/>
      <c r="J107"/>
      <c r="K107" s="32"/>
    </row>
    <row r="108" spans="1:11" x14ac:dyDescent="0.25">
      <c r="A108"/>
      <c r="B108"/>
      <c r="C108"/>
      <c r="D108"/>
      <c r="E108"/>
      <c r="F108"/>
      <c r="G108"/>
      <c r="H108"/>
      <c r="I108"/>
      <c r="J108"/>
      <c r="K108" s="32"/>
    </row>
    <row r="109" spans="1:11" x14ac:dyDescent="0.25">
      <c r="A109"/>
      <c r="B109"/>
      <c r="C109"/>
      <c r="D109"/>
      <c r="E109"/>
      <c r="F109"/>
      <c r="G109"/>
      <c r="H109"/>
      <c r="I109"/>
      <c r="J109"/>
      <c r="K109" s="32"/>
    </row>
    <row r="110" spans="1:11" x14ac:dyDescent="0.25">
      <c r="A110"/>
      <c r="B110"/>
      <c r="C110"/>
      <c r="D110"/>
      <c r="E110"/>
      <c r="F110"/>
      <c r="G110"/>
      <c r="H110"/>
      <c r="I110"/>
      <c r="J110"/>
      <c r="K110" s="32"/>
    </row>
    <row r="111" spans="1:11" x14ac:dyDescent="0.25">
      <c r="A111"/>
      <c r="B111"/>
      <c r="C111"/>
      <c r="D111"/>
      <c r="E111"/>
      <c r="F111"/>
      <c r="G111"/>
      <c r="H111"/>
      <c r="I111"/>
      <c r="J111"/>
      <c r="K111" s="32"/>
    </row>
    <row r="112" spans="1:11" x14ac:dyDescent="0.25">
      <c r="A112"/>
      <c r="B112"/>
      <c r="C112"/>
      <c r="D112"/>
      <c r="E112"/>
      <c r="F112"/>
      <c r="G112"/>
      <c r="H112"/>
      <c r="I112"/>
      <c r="J112"/>
      <c r="K112" s="32"/>
    </row>
    <row r="113" spans="1:11" x14ac:dyDescent="0.25">
      <c r="A113"/>
      <c r="B113"/>
      <c r="C113"/>
      <c r="D113"/>
      <c r="E113"/>
      <c r="F113"/>
      <c r="G113"/>
      <c r="H113"/>
      <c r="I113"/>
      <c r="J113"/>
      <c r="K113" s="32"/>
    </row>
    <row r="114" spans="1:11" x14ac:dyDescent="0.25">
      <c r="A114"/>
      <c r="B114"/>
      <c r="C114"/>
      <c r="D114"/>
      <c r="E114"/>
      <c r="F114"/>
      <c r="G114"/>
      <c r="H114"/>
      <c r="I114"/>
      <c r="J114"/>
      <c r="K114" s="32"/>
    </row>
    <row r="115" spans="1:11" x14ac:dyDescent="0.25">
      <c r="A115"/>
      <c r="B115"/>
      <c r="C115"/>
      <c r="D115"/>
      <c r="E115"/>
      <c r="F115"/>
      <c r="G115"/>
      <c r="H115"/>
      <c r="I115"/>
      <c r="J115"/>
      <c r="K115" s="32"/>
    </row>
    <row r="116" spans="1:11" x14ac:dyDescent="0.25">
      <c r="A116"/>
      <c r="B116"/>
      <c r="C116"/>
      <c r="D116"/>
      <c r="E116"/>
      <c r="F116"/>
      <c r="G116"/>
      <c r="H116"/>
      <c r="I116"/>
      <c r="J116"/>
      <c r="K116" s="32"/>
    </row>
    <row r="117" spans="1:11" x14ac:dyDescent="0.25">
      <c r="A117"/>
      <c r="B117"/>
      <c r="C117"/>
      <c r="D117"/>
      <c r="E117"/>
      <c r="F117"/>
      <c r="G117"/>
      <c r="H117"/>
      <c r="I117"/>
      <c r="J117"/>
      <c r="K117" s="32"/>
    </row>
    <row r="118" spans="1:11" x14ac:dyDescent="0.25">
      <c r="A118"/>
      <c r="B118"/>
      <c r="C118"/>
      <c r="D118"/>
      <c r="E118"/>
      <c r="F118"/>
      <c r="G118"/>
      <c r="H118"/>
      <c r="I118"/>
      <c r="J118"/>
      <c r="K118" s="32"/>
    </row>
    <row r="119" spans="1:11" x14ac:dyDescent="0.25">
      <c r="A119"/>
      <c r="B119"/>
      <c r="C119"/>
      <c r="D119"/>
      <c r="E119"/>
      <c r="F119"/>
      <c r="G119"/>
      <c r="H119"/>
      <c r="I119"/>
      <c r="J119"/>
      <c r="K119" s="32"/>
    </row>
    <row r="120" spans="1:11" x14ac:dyDescent="0.25">
      <c r="A120"/>
      <c r="B120"/>
      <c r="C120"/>
      <c r="D120"/>
      <c r="E120"/>
      <c r="F120"/>
      <c r="G120"/>
      <c r="H120"/>
      <c r="I120"/>
      <c r="J120"/>
      <c r="K120" s="32"/>
    </row>
    <row r="121" spans="1:11" x14ac:dyDescent="0.25">
      <c r="A121"/>
      <c r="B121"/>
      <c r="C121"/>
      <c r="D121"/>
      <c r="E121"/>
      <c r="F121"/>
      <c r="G121"/>
      <c r="H121"/>
      <c r="I121"/>
      <c r="J121"/>
      <c r="K121" s="32"/>
    </row>
    <row r="122" spans="1:11" x14ac:dyDescent="0.25">
      <c r="A122"/>
      <c r="B122"/>
      <c r="C122"/>
      <c r="D122"/>
      <c r="E122"/>
      <c r="F122"/>
      <c r="G122"/>
      <c r="H122"/>
      <c r="I122"/>
      <c r="J122"/>
      <c r="K122" s="32"/>
    </row>
    <row r="123" spans="1:11" x14ac:dyDescent="0.25">
      <c r="A123"/>
      <c r="B123"/>
      <c r="C123"/>
      <c r="D123"/>
      <c r="E123"/>
      <c r="F123"/>
      <c r="G123"/>
      <c r="H123"/>
      <c r="I123"/>
      <c r="J123"/>
      <c r="K123" s="32"/>
    </row>
    <row r="124" spans="1:11" x14ac:dyDescent="0.25">
      <c r="A124"/>
      <c r="B124"/>
      <c r="C124"/>
      <c r="D124"/>
      <c r="E124"/>
      <c r="F124"/>
      <c r="G124"/>
      <c r="H124"/>
      <c r="I124"/>
      <c r="J124"/>
      <c r="K124" s="32"/>
    </row>
    <row r="125" spans="1:11" x14ac:dyDescent="0.25">
      <c r="A125"/>
      <c r="B125"/>
      <c r="C125"/>
      <c r="D125"/>
      <c r="E125"/>
      <c r="F125"/>
      <c r="G125"/>
      <c r="H125"/>
      <c r="I125"/>
      <c r="J125"/>
      <c r="K125" s="32"/>
    </row>
    <row r="126" spans="1:11" x14ac:dyDescent="0.25">
      <c r="A126"/>
      <c r="B126"/>
      <c r="C126"/>
      <c r="D126"/>
      <c r="E126"/>
      <c r="F126"/>
      <c r="G126"/>
      <c r="H126"/>
      <c r="I126"/>
      <c r="J126"/>
      <c r="K126" s="32"/>
    </row>
    <row r="127" spans="1:11" x14ac:dyDescent="0.25">
      <c r="A127"/>
      <c r="B127"/>
      <c r="C127"/>
      <c r="D127"/>
      <c r="E127"/>
      <c r="F127"/>
      <c r="G127"/>
      <c r="H127"/>
      <c r="I127"/>
      <c r="J127"/>
      <c r="K127" s="32"/>
    </row>
    <row r="128" spans="1:11" x14ac:dyDescent="0.25">
      <c r="A128"/>
      <c r="B128"/>
      <c r="C128"/>
      <c r="D128"/>
      <c r="E128"/>
      <c r="F128"/>
      <c r="G128"/>
      <c r="H128"/>
      <c r="I128"/>
      <c r="J128"/>
      <c r="K128" s="32"/>
    </row>
    <row r="129" spans="1:11" x14ac:dyDescent="0.25">
      <c r="A129"/>
      <c r="B129"/>
      <c r="C129"/>
      <c r="D129"/>
      <c r="E129"/>
      <c r="F129"/>
      <c r="G129"/>
      <c r="H129"/>
      <c r="I129"/>
      <c r="J129"/>
      <c r="K129" s="32"/>
    </row>
    <row r="130" spans="1:11" x14ac:dyDescent="0.25">
      <c r="A130"/>
      <c r="B130"/>
      <c r="C130"/>
      <c r="D130"/>
      <c r="E130"/>
      <c r="F130"/>
      <c r="G130"/>
      <c r="H130"/>
      <c r="I130"/>
      <c r="J130"/>
      <c r="K130" s="32"/>
    </row>
    <row r="131" spans="1:11" x14ac:dyDescent="0.25">
      <c r="A131"/>
      <c r="B131"/>
      <c r="C131"/>
      <c r="D131"/>
      <c r="E131"/>
      <c r="F131"/>
      <c r="G131"/>
      <c r="H131"/>
      <c r="I131"/>
      <c r="J131"/>
      <c r="K131" s="32"/>
    </row>
    <row r="132" spans="1:11" x14ac:dyDescent="0.25">
      <c r="A132"/>
      <c r="B132"/>
      <c r="C132"/>
      <c r="D132"/>
      <c r="E132"/>
      <c r="F132"/>
      <c r="G132"/>
      <c r="H132"/>
      <c r="I132"/>
      <c r="J132"/>
      <c r="K132" s="32"/>
    </row>
    <row r="133" spans="1:11" x14ac:dyDescent="0.25">
      <c r="A133"/>
      <c r="B133"/>
      <c r="C133"/>
      <c r="D133"/>
      <c r="E133"/>
      <c r="F133"/>
      <c r="G133"/>
      <c r="H133"/>
      <c r="I133"/>
      <c r="J133"/>
      <c r="K133" s="32"/>
    </row>
    <row r="134" spans="1:11" x14ac:dyDescent="0.25">
      <c r="A134"/>
      <c r="B134"/>
      <c r="C134"/>
      <c r="D134"/>
      <c r="E134"/>
      <c r="F134"/>
      <c r="G134"/>
      <c r="H134"/>
      <c r="I134"/>
      <c r="J134"/>
      <c r="K134" s="32"/>
    </row>
    <row r="135" spans="1:11" x14ac:dyDescent="0.25">
      <c r="A135"/>
      <c r="B135"/>
      <c r="C135"/>
      <c r="D135"/>
      <c r="E135"/>
      <c r="F135"/>
      <c r="G135"/>
      <c r="H135"/>
      <c r="I135"/>
      <c r="J135"/>
      <c r="K135" s="32"/>
    </row>
    <row r="136" spans="1:11" x14ac:dyDescent="0.25">
      <c r="A136"/>
      <c r="B136"/>
      <c r="C136"/>
      <c r="D136"/>
      <c r="E136"/>
      <c r="F136"/>
      <c r="G136"/>
      <c r="H136"/>
      <c r="I136"/>
      <c r="J136"/>
      <c r="K136" s="32"/>
    </row>
    <row r="137" spans="1:11" x14ac:dyDescent="0.25">
      <c r="A137"/>
      <c r="B137"/>
      <c r="C137"/>
      <c r="D137"/>
      <c r="E137"/>
      <c r="F137"/>
      <c r="G137"/>
      <c r="H137"/>
      <c r="I137"/>
      <c r="J137"/>
      <c r="K137" s="32"/>
    </row>
    <row r="138" spans="1:11" x14ac:dyDescent="0.25">
      <c r="A138"/>
      <c r="B138"/>
      <c r="C138"/>
      <c r="D138"/>
      <c r="E138"/>
      <c r="F138"/>
      <c r="G138"/>
      <c r="H138"/>
      <c r="I138"/>
      <c r="J138"/>
      <c r="K138" s="32"/>
    </row>
    <row r="139" spans="1:11" x14ac:dyDescent="0.25">
      <c r="A139"/>
      <c r="B139"/>
      <c r="C139"/>
      <c r="D139"/>
      <c r="E139"/>
      <c r="F139"/>
      <c r="G139"/>
      <c r="H139"/>
      <c r="I139"/>
      <c r="J139"/>
      <c r="K139" s="32"/>
    </row>
    <row r="140" spans="1:11" x14ac:dyDescent="0.25">
      <c r="A140"/>
      <c r="B140"/>
      <c r="C140"/>
      <c r="D140"/>
      <c r="E140"/>
      <c r="F140"/>
      <c r="G140"/>
      <c r="H140"/>
      <c r="I140"/>
      <c r="J140"/>
      <c r="K140" s="32"/>
    </row>
    <row r="141" spans="1:11" x14ac:dyDescent="0.25">
      <c r="A141"/>
      <c r="B141"/>
      <c r="C141"/>
      <c r="D141"/>
      <c r="E141"/>
      <c r="F141"/>
      <c r="G141"/>
      <c r="H141"/>
      <c r="I141"/>
      <c r="J141"/>
      <c r="K141" s="32"/>
    </row>
    <row r="142" spans="1:11" x14ac:dyDescent="0.25">
      <c r="A142"/>
      <c r="B142"/>
      <c r="C142"/>
      <c r="D142"/>
      <c r="E142"/>
      <c r="F142"/>
      <c r="G142"/>
      <c r="H142"/>
      <c r="I142"/>
      <c r="J142"/>
      <c r="K142" s="32"/>
    </row>
    <row r="143" spans="1:11" x14ac:dyDescent="0.25">
      <c r="A143"/>
      <c r="B143"/>
      <c r="C143"/>
      <c r="D143"/>
      <c r="E143"/>
      <c r="F143"/>
      <c r="G143"/>
      <c r="H143"/>
      <c r="I143"/>
      <c r="J143"/>
      <c r="K143" s="32"/>
    </row>
    <row r="144" spans="1:11" x14ac:dyDescent="0.25">
      <c r="A144"/>
      <c r="B144"/>
      <c r="C144"/>
      <c r="D144"/>
      <c r="E144"/>
      <c r="F144"/>
      <c r="G144"/>
      <c r="H144"/>
      <c r="I144"/>
      <c r="J144"/>
      <c r="K144" s="32"/>
    </row>
    <row r="145" spans="1:11" x14ac:dyDescent="0.25">
      <c r="A145"/>
      <c r="B145"/>
      <c r="C145"/>
      <c r="D145"/>
      <c r="E145"/>
      <c r="F145"/>
      <c r="G145"/>
      <c r="H145"/>
      <c r="I145"/>
      <c r="J145"/>
      <c r="K145" s="32"/>
    </row>
    <row r="146" spans="1:11" x14ac:dyDescent="0.25">
      <c r="A146"/>
      <c r="B146"/>
      <c r="C146"/>
      <c r="D146"/>
      <c r="E146"/>
      <c r="F146"/>
      <c r="G146"/>
      <c r="H146"/>
      <c r="I146"/>
      <c r="J146"/>
      <c r="K146" s="32"/>
    </row>
    <row r="147" spans="1:11" x14ac:dyDescent="0.25">
      <c r="A147"/>
      <c r="B147"/>
      <c r="C147"/>
      <c r="D147"/>
      <c r="E147"/>
      <c r="F147"/>
      <c r="G147"/>
      <c r="H147"/>
      <c r="I147"/>
      <c r="J147"/>
      <c r="K147" s="32"/>
    </row>
    <row r="148" spans="1:11" x14ac:dyDescent="0.25">
      <c r="A148"/>
      <c r="B148"/>
      <c r="C148"/>
      <c r="D148"/>
      <c r="E148"/>
      <c r="F148"/>
      <c r="G148"/>
      <c r="H148"/>
      <c r="I148"/>
      <c r="J148"/>
      <c r="K148" s="32"/>
    </row>
    <row r="149" spans="1:11" x14ac:dyDescent="0.25">
      <c r="A149"/>
      <c r="B149"/>
      <c r="C149"/>
      <c r="D149"/>
      <c r="E149"/>
      <c r="F149"/>
      <c r="G149"/>
      <c r="H149"/>
      <c r="I149"/>
      <c r="J149"/>
      <c r="K149" s="32"/>
    </row>
    <row r="150" spans="1:11" x14ac:dyDescent="0.25">
      <c r="A150"/>
      <c r="B150"/>
      <c r="C150"/>
      <c r="D150"/>
      <c r="E150"/>
      <c r="F150"/>
      <c r="G150"/>
      <c r="H150"/>
      <c r="I150"/>
      <c r="J150"/>
      <c r="K150" s="32"/>
    </row>
    <row r="151" spans="1:11" x14ac:dyDescent="0.25">
      <c r="A151"/>
      <c r="B151"/>
      <c r="C151"/>
      <c r="D151"/>
      <c r="E151"/>
      <c r="F151"/>
      <c r="G151"/>
      <c r="H151"/>
      <c r="I151"/>
      <c r="J151"/>
      <c r="K151" s="32"/>
    </row>
    <row r="152" spans="1:11" x14ac:dyDescent="0.25">
      <c r="A152"/>
      <c r="B152"/>
      <c r="C152"/>
      <c r="D152"/>
      <c r="E152"/>
      <c r="F152"/>
      <c r="G152"/>
      <c r="H152"/>
      <c r="I152"/>
      <c r="J152"/>
      <c r="K152" s="32"/>
    </row>
    <row r="153" spans="1:11" x14ac:dyDescent="0.25">
      <c r="A153"/>
      <c r="B153"/>
      <c r="C153"/>
      <c r="D153"/>
      <c r="E153"/>
      <c r="F153"/>
      <c r="G153"/>
      <c r="H153"/>
      <c r="I153"/>
      <c r="J153"/>
      <c r="K153" s="32"/>
    </row>
    <row r="154" spans="1:11" x14ac:dyDescent="0.25">
      <c r="A154"/>
      <c r="B154"/>
      <c r="C154"/>
      <c r="D154"/>
      <c r="E154"/>
      <c r="F154"/>
      <c r="G154"/>
      <c r="H154"/>
      <c r="I154"/>
      <c r="J154"/>
      <c r="K154" s="32"/>
    </row>
    <row r="155" spans="1:11" x14ac:dyDescent="0.25">
      <c r="A155"/>
      <c r="B155"/>
      <c r="C155"/>
      <c r="D155"/>
      <c r="E155"/>
      <c r="F155"/>
      <c r="G155"/>
      <c r="H155"/>
      <c r="I155"/>
      <c r="J155"/>
      <c r="K155" s="32"/>
    </row>
    <row r="156" spans="1:11" x14ac:dyDescent="0.25">
      <c r="A156"/>
      <c r="B156"/>
      <c r="C156"/>
      <c r="D156"/>
      <c r="E156"/>
      <c r="F156"/>
      <c r="G156"/>
      <c r="H156"/>
      <c r="I156"/>
      <c r="J156"/>
      <c r="K156" s="32"/>
    </row>
    <row r="157" spans="1:11" x14ac:dyDescent="0.25">
      <c r="A157"/>
      <c r="B157"/>
      <c r="C157"/>
      <c r="D157"/>
      <c r="E157"/>
      <c r="F157"/>
      <c r="G157"/>
      <c r="H157"/>
      <c r="I157"/>
      <c r="J157"/>
      <c r="K157" s="32"/>
    </row>
    <row r="158" spans="1:11" x14ac:dyDescent="0.25">
      <c r="A158"/>
      <c r="B158"/>
      <c r="C158"/>
      <c r="D158"/>
      <c r="E158"/>
      <c r="F158"/>
      <c r="G158"/>
      <c r="H158"/>
      <c r="I158"/>
      <c r="J158"/>
      <c r="K158" s="32"/>
    </row>
    <row r="159" spans="1:11" x14ac:dyDescent="0.25">
      <c r="A159"/>
      <c r="B159"/>
      <c r="C159"/>
      <c r="D159"/>
      <c r="E159"/>
      <c r="F159"/>
      <c r="G159"/>
      <c r="H159"/>
      <c r="I159"/>
      <c r="J159"/>
      <c r="K159" s="32"/>
    </row>
    <row r="160" spans="1:11" x14ac:dyDescent="0.25">
      <c r="A160"/>
      <c r="B160"/>
      <c r="C160"/>
      <c r="D160"/>
      <c r="E160"/>
      <c r="F160"/>
      <c r="G160"/>
      <c r="H160"/>
      <c r="I160"/>
      <c r="J160"/>
      <c r="K160" s="32"/>
    </row>
    <row r="161" spans="1:11" x14ac:dyDescent="0.25">
      <c r="A161"/>
      <c r="B161"/>
      <c r="C161"/>
      <c r="D161"/>
      <c r="E161"/>
      <c r="F161"/>
      <c r="G161"/>
      <c r="H161"/>
      <c r="I161"/>
      <c r="J161"/>
      <c r="K161" s="32"/>
    </row>
    <row r="162" spans="1:11" x14ac:dyDescent="0.25">
      <c r="A162"/>
      <c r="B162"/>
      <c r="C162"/>
      <c r="D162"/>
      <c r="E162"/>
      <c r="F162"/>
      <c r="G162"/>
      <c r="H162"/>
      <c r="I162"/>
      <c r="J162"/>
      <c r="K162" s="32"/>
    </row>
    <row r="163" spans="1:11" x14ac:dyDescent="0.25">
      <c r="A163"/>
      <c r="B163"/>
      <c r="C163"/>
      <c r="D163"/>
      <c r="E163"/>
      <c r="F163"/>
      <c r="G163"/>
      <c r="H163"/>
      <c r="I163"/>
      <c r="J163"/>
      <c r="K163" s="32"/>
    </row>
    <row r="164" spans="1:11" x14ac:dyDescent="0.25">
      <c r="A164"/>
      <c r="B164"/>
      <c r="C164"/>
      <c r="D164"/>
      <c r="E164"/>
      <c r="F164"/>
      <c r="G164"/>
      <c r="H164"/>
      <c r="I164"/>
      <c r="J164"/>
      <c r="K164" s="32"/>
    </row>
    <row r="165" spans="1:11" x14ac:dyDescent="0.25">
      <c r="A165"/>
      <c r="B165"/>
      <c r="C165"/>
      <c r="D165"/>
      <c r="E165"/>
      <c r="F165"/>
      <c r="G165"/>
      <c r="H165"/>
      <c r="I165"/>
      <c r="J165"/>
      <c r="K165" s="32"/>
    </row>
    <row r="166" spans="1:11" x14ac:dyDescent="0.25">
      <c r="A166"/>
      <c r="B166"/>
      <c r="C166"/>
      <c r="D166"/>
      <c r="E166"/>
      <c r="F166"/>
      <c r="G166"/>
      <c r="H166"/>
      <c r="I166"/>
      <c r="J166"/>
      <c r="K166" s="32"/>
    </row>
    <row r="167" spans="1:11" x14ac:dyDescent="0.25">
      <c r="A167"/>
      <c r="B167"/>
      <c r="C167"/>
      <c r="D167"/>
      <c r="E167"/>
      <c r="F167"/>
      <c r="G167"/>
      <c r="H167"/>
      <c r="I167"/>
      <c r="J167"/>
      <c r="K167" s="32"/>
    </row>
    <row r="168" spans="1:11" x14ac:dyDescent="0.25">
      <c r="A168"/>
      <c r="B168"/>
      <c r="C168"/>
      <c r="D168"/>
      <c r="E168"/>
      <c r="F168"/>
      <c r="G168"/>
      <c r="H168"/>
      <c r="I168"/>
      <c r="J168"/>
      <c r="K168" s="32"/>
    </row>
    <row r="169" spans="1:11" x14ac:dyDescent="0.25">
      <c r="A169"/>
      <c r="B169"/>
      <c r="C169"/>
      <c r="D169"/>
      <c r="E169"/>
      <c r="F169"/>
      <c r="G169"/>
      <c r="H169"/>
      <c r="I169"/>
      <c r="J169"/>
      <c r="K169" s="32"/>
    </row>
    <row r="170" spans="1:11" x14ac:dyDescent="0.25">
      <c r="A170"/>
      <c r="B170"/>
      <c r="C170"/>
      <c r="D170"/>
      <c r="E170"/>
      <c r="F170"/>
      <c r="G170"/>
      <c r="H170"/>
      <c r="I170"/>
      <c r="J170"/>
      <c r="K170" s="32"/>
    </row>
    <row r="171" spans="1:11" x14ac:dyDescent="0.25">
      <c r="A171"/>
      <c r="B171"/>
      <c r="C171"/>
      <c r="D171"/>
      <c r="E171"/>
      <c r="F171"/>
      <c r="G171"/>
      <c r="H171"/>
      <c r="I171"/>
      <c r="J171"/>
      <c r="K171" s="32"/>
    </row>
    <row r="172" spans="1:11" x14ac:dyDescent="0.25">
      <c r="A172"/>
      <c r="B172"/>
      <c r="C172"/>
      <c r="D172"/>
      <c r="E172"/>
      <c r="F172"/>
      <c r="G172"/>
      <c r="H172"/>
      <c r="I172"/>
      <c r="J172"/>
      <c r="K172" s="32"/>
    </row>
    <row r="173" spans="1:11" x14ac:dyDescent="0.25">
      <c r="A173"/>
      <c r="B173"/>
      <c r="C173"/>
      <c r="D173"/>
      <c r="E173"/>
      <c r="F173"/>
      <c r="G173"/>
      <c r="H173"/>
      <c r="I173"/>
      <c r="J173"/>
      <c r="K173" s="32"/>
    </row>
    <row r="174" spans="1:11" x14ac:dyDescent="0.25">
      <c r="A174"/>
      <c r="B174"/>
      <c r="C174"/>
      <c r="D174"/>
      <c r="E174"/>
      <c r="F174"/>
      <c r="G174"/>
      <c r="H174"/>
      <c r="I174"/>
      <c r="J174"/>
      <c r="K174" s="32"/>
    </row>
    <row r="175" spans="1:11" x14ac:dyDescent="0.25">
      <c r="A175"/>
      <c r="B175"/>
      <c r="C175"/>
      <c r="D175"/>
      <c r="E175"/>
      <c r="F175"/>
      <c r="G175"/>
      <c r="H175"/>
      <c r="I175"/>
      <c r="J175"/>
      <c r="K175" s="32"/>
    </row>
    <row r="176" spans="1:11" x14ac:dyDescent="0.25">
      <c r="A176"/>
      <c r="B176"/>
      <c r="C176"/>
      <c r="D176"/>
      <c r="E176"/>
      <c r="F176"/>
      <c r="G176"/>
      <c r="H176"/>
      <c r="I176"/>
      <c r="J176"/>
      <c r="K176" s="32"/>
    </row>
    <row r="177" spans="1:11" x14ac:dyDescent="0.25">
      <c r="A177"/>
      <c r="B177"/>
      <c r="C177"/>
      <c r="D177"/>
      <c r="E177"/>
      <c r="F177"/>
      <c r="G177"/>
      <c r="H177"/>
      <c r="I177"/>
      <c r="J177"/>
      <c r="K177" s="32"/>
    </row>
    <row r="178" spans="1:11" x14ac:dyDescent="0.25">
      <c r="A178"/>
      <c r="B178"/>
      <c r="C178"/>
      <c r="D178"/>
      <c r="E178"/>
      <c r="F178"/>
      <c r="G178"/>
      <c r="H178"/>
      <c r="I178"/>
      <c r="J178"/>
      <c r="K178" s="32"/>
    </row>
    <row r="179" spans="1:11" x14ac:dyDescent="0.25">
      <c r="A179"/>
      <c r="B179"/>
      <c r="C179"/>
      <c r="D179"/>
      <c r="E179"/>
      <c r="F179"/>
      <c r="G179"/>
      <c r="H179"/>
      <c r="I179"/>
      <c r="J179"/>
      <c r="K179" s="32"/>
    </row>
    <row r="180" spans="1:11" x14ac:dyDescent="0.25">
      <c r="A180"/>
      <c r="B180"/>
      <c r="C180"/>
      <c r="D180"/>
      <c r="E180"/>
      <c r="F180"/>
      <c r="G180"/>
      <c r="H180"/>
      <c r="I180"/>
      <c r="J180"/>
      <c r="K180" s="32"/>
    </row>
    <row r="181" spans="1:11" x14ac:dyDescent="0.25">
      <c r="A181"/>
      <c r="B181"/>
      <c r="C181"/>
      <c r="D181"/>
      <c r="E181"/>
      <c r="F181"/>
      <c r="G181"/>
      <c r="H181"/>
      <c r="I181"/>
      <c r="J181"/>
      <c r="K181" s="32"/>
    </row>
    <row r="182" spans="1:11" x14ac:dyDescent="0.25">
      <c r="A182"/>
      <c r="B182"/>
      <c r="C182"/>
      <c r="D182"/>
      <c r="E182"/>
      <c r="F182"/>
      <c r="G182"/>
      <c r="H182"/>
      <c r="I182"/>
      <c r="J182"/>
      <c r="K182" s="32"/>
    </row>
    <row r="183" spans="1:11" x14ac:dyDescent="0.25">
      <c r="A183"/>
      <c r="B183"/>
      <c r="C183"/>
      <c r="D183"/>
      <c r="E183"/>
      <c r="F183"/>
      <c r="G183"/>
      <c r="H183"/>
      <c r="I183"/>
      <c r="J183"/>
      <c r="K183" s="32"/>
    </row>
    <row r="184" spans="1:11" x14ac:dyDescent="0.25">
      <c r="A184"/>
      <c r="B184"/>
      <c r="C184"/>
      <c r="D184"/>
      <c r="E184"/>
      <c r="F184"/>
      <c r="G184"/>
      <c r="H184"/>
      <c r="I184"/>
      <c r="J184"/>
      <c r="K184" s="32"/>
    </row>
    <row r="185" spans="1:11" x14ac:dyDescent="0.25">
      <c r="A185"/>
      <c r="B185"/>
      <c r="C185"/>
      <c r="D185"/>
      <c r="E185"/>
      <c r="F185"/>
      <c r="G185"/>
      <c r="H185"/>
      <c r="I185"/>
      <c r="J185"/>
      <c r="K185" s="32"/>
    </row>
    <row r="186" spans="1:11" x14ac:dyDescent="0.25">
      <c r="A186"/>
      <c r="B186"/>
      <c r="C186"/>
      <c r="D186"/>
      <c r="E186"/>
      <c r="F186"/>
      <c r="G186"/>
      <c r="H186"/>
      <c r="I186"/>
      <c r="J186"/>
      <c r="K186" s="32"/>
    </row>
    <row r="187" spans="1:11" x14ac:dyDescent="0.25">
      <c r="A187"/>
      <c r="B187"/>
      <c r="C187"/>
      <c r="D187"/>
      <c r="E187"/>
      <c r="F187"/>
      <c r="G187"/>
      <c r="H187"/>
      <c r="I187"/>
      <c r="J187"/>
      <c r="K187" s="32"/>
    </row>
    <row r="188" spans="1:11" x14ac:dyDescent="0.25">
      <c r="A188"/>
      <c r="B188"/>
      <c r="C188"/>
      <c r="D188"/>
      <c r="E188"/>
      <c r="F188"/>
      <c r="G188"/>
      <c r="H188"/>
      <c r="I188"/>
      <c r="J188"/>
      <c r="K188" s="32"/>
    </row>
    <row r="189" spans="1:11" x14ac:dyDescent="0.25">
      <c r="A189"/>
      <c r="B189"/>
      <c r="C189"/>
      <c r="D189"/>
      <c r="E189"/>
      <c r="F189"/>
      <c r="G189"/>
      <c r="H189"/>
      <c r="I189"/>
      <c r="J189"/>
      <c r="K189" s="32"/>
    </row>
    <row r="190" spans="1:11" x14ac:dyDescent="0.25">
      <c r="A190"/>
      <c r="B190"/>
      <c r="C190"/>
      <c r="D190"/>
      <c r="E190"/>
      <c r="F190"/>
      <c r="G190"/>
      <c r="H190"/>
      <c r="I190"/>
      <c r="J190"/>
      <c r="K190" s="32"/>
    </row>
    <row r="191" spans="1:11" x14ac:dyDescent="0.25">
      <c r="A191"/>
      <c r="B191"/>
      <c r="C191"/>
      <c r="D191"/>
      <c r="E191"/>
      <c r="F191"/>
      <c r="G191"/>
      <c r="H191"/>
      <c r="I191"/>
      <c r="J191"/>
      <c r="K191" s="32"/>
    </row>
    <row r="192" spans="1:11" x14ac:dyDescent="0.25">
      <c r="A192"/>
      <c r="B192"/>
      <c r="C192"/>
      <c r="D192"/>
      <c r="E192"/>
      <c r="F192"/>
      <c r="G192"/>
      <c r="H192"/>
      <c r="I192"/>
      <c r="J192"/>
      <c r="K192" s="32"/>
    </row>
    <row r="193" spans="1:11" x14ac:dyDescent="0.25">
      <c r="A193"/>
      <c r="B193"/>
      <c r="C193"/>
      <c r="D193"/>
      <c r="E193"/>
      <c r="F193"/>
      <c r="G193"/>
      <c r="H193"/>
      <c r="I193"/>
      <c r="J193"/>
      <c r="K193" s="32"/>
    </row>
    <row r="194" spans="1:11" x14ac:dyDescent="0.25">
      <c r="A194"/>
      <c r="B194"/>
      <c r="C194"/>
      <c r="D194"/>
      <c r="E194"/>
      <c r="F194"/>
      <c r="G194"/>
      <c r="H194"/>
      <c r="I194"/>
      <c r="J194"/>
      <c r="K194" s="32"/>
    </row>
    <row r="195" spans="1:11" x14ac:dyDescent="0.25">
      <c r="A195"/>
      <c r="B195"/>
      <c r="C195"/>
      <c r="D195"/>
      <c r="E195"/>
      <c r="F195"/>
      <c r="G195"/>
      <c r="H195"/>
      <c r="I195"/>
      <c r="J195"/>
      <c r="K195" s="32"/>
    </row>
    <row r="196" spans="1:11" x14ac:dyDescent="0.25">
      <c r="A196"/>
      <c r="B196"/>
      <c r="C196"/>
      <c r="D196"/>
      <c r="E196"/>
      <c r="F196"/>
      <c r="G196"/>
      <c r="H196"/>
      <c r="I196"/>
      <c r="J196"/>
      <c r="K196" s="32"/>
    </row>
    <row r="197" spans="1:11" x14ac:dyDescent="0.25">
      <c r="A197"/>
      <c r="B197"/>
      <c r="C197"/>
      <c r="D197"/>
      <c r="E197"/>
      <c r="F197"/>
      <c r="G197"/>
      <c r="H197"/>
      <c r="I197"/>
      <c r="J197"/>
      <c r="K197" s="32"/>
    </row>
    <row r="198" spans="1:11" x14ac:dyDescent="0.25">
      <c r="A198"/>
      <c r="B198"/>
      <c r="C198"/>
      <c r="D198"/>
      <c r="E198"/>
      <c r="F198"/>
      <c r="G198"/>
      <c r="H198"/>
      <c r="I198"/>
      <c r="J198"/>
      <c r="K198" s="32"/>
    </row>
    <row r="199" spans="1:11" x14ac:dyDescent="0.25">
      <c r="A199"/>
      <c r="B199"/>
      <c r="C199"/>
      <c r="D199"/>
      <c r="E199"/>
      <c r="F199"/>
      <c r="G199"/>
      <c r="H199"/>
      <c r="I199"/>
      <c r="J199"/>
      <c r="K199" s="32"/>
    </row>
    <row r="200" spans="1:11" x14ac:dyDescent="0.25">
      <c r="A200"/>
      <c r="B200"/>
      <c r="C200"/>
      <c r="D200"/>
      <c r="E200"/>
      <c r="F200"/>
      <c r="G200"/>
      <c r="H200"/>
      <c r="I200"/>
      <c r="J200"/>
      <c r="K200" s="32"/>
    </row>
    <row r="201" spans="1:11" x14ac:dyDescent="0.25">
      <c r="A201"/>
      <c r="B201"/>
      <c r="C201"/>
      <c r="D201"/>
      <c r="E201"/>
      <c r="F201"/>
      <c r="G201"/>
      <c r="H201"/>
      <c r="I201"/>
      <c r="J201"/>
      <c r="K201" s="32"/>
    </row>
    <row r="202" spans="1:11" x14ac:dyDescent="0.25">
      <c r="A202"/>
      <c r="B202"/>
      <c r="C202"/>
      <c r="D202"/>
      <c r="E202"/>
      <c r="F202"/>
      <c r="G202"/>
      <c r="H202"/>
      <c r="I202"/>
      <c r="J202"/>
      <c r="K202" s="32"/>
    </row>
    <row r="203" spans="1:11" x14ac:dyDescent="0.25">
      <c r="A203"/>
      <c r="B203"/>
      <c r="C203"/>
      <c r="D203"/>
      <c r="E203"/>
      <c r="F203"/>
      <c r="G203"/>
      <c r="H203"/>
      <c r="I203"/>
      <c r="J203"/>
      <c r="K203" s="32"/>
    </row>
    <row r="204" spans="1:11" x14ac:dyDescent="0.25">
      <c r="A204"/>
      <c r="B204"/>
      <c r="C204"/>
      <c r="D204"/>
      <c r="E204"/>
      <c r="F204"/>
      <c r="G204"/>
      <c r="H204"/>
      <c r="I204"/>
      <c r="J204"/>
      <c r="K204" s="32"/>
    </row>
    <row r="205" spans="1:11" x14ac:dyDescent="0.25">
      <c r="A205"/>
      <c r="B205"/>
      <c r="C205"/>
      <c r="D205"/>
      <c r="E205"/>
      <c r="F205"/>
      <c r="G205"/>
      <c r="H205"/>
      <c r="I205"/>
      <c r="J205"/>
      <c r="K205" s="32"/>
    </row>
    <row r="206" spans="1:11" x14ac:dyDescent="0.25">
      <c r="A206"/>
      <c r="B206"/>
      <c r="C206"/>
      <c r="D206"/>
      <c r="E206"/>
      <c r="F206"/>
      <c r="G206"/>
      <c r="H206"/>
      <c r="I206"/>
      <c r="J206"/>
      <c r="K206" s="32"/>
    </row>
    <row r="207" spans="1:11" x14ac:dyDescent="0.25">
      <c r="A207"/>
      <c r="B207"/>
      <c r="C207"/>
      <c r="D207"/>
      <c r="E207"/>
      <c r="F207"/>
      <c r="G207"/>
      <c r="H207"/>
      <c r="I207"/>
      <c r="J207"/>
      <c r="K207" s="32"/>
    </row>
    <row r="208" spans="1:11" x14ac:dyDescent="0.25">
      <c r="A208"/>
      <c r="B208"/>
      <c r="C208"/>
      <c r="D208"/>
      <c r="E208"/>
      <c r="F208"/>
      <c r="G208"/>
      <c r="H208"/>
      <c r="I208"/>
      <c r="J208"/>
      <c r="K208" s="32"/>
    </row>
    <row r="209" spans="1:11" x14ac:dyDescent="0.25">
      <c r="A209"/>
      <c r="B209"/>
      <c r="C209"/>
      <c r="D209"/>
      <c r="E209"/>
      <c r="F209"/>
      <c r="G209"/>
      <c r="H209"/>
      <c r="I209"/>
      <c r="J209"/>
      <c r="K209" s="32"/>
    </row>
    <row r="210" spans="1:11" x14ac:dyDescent="0.25">
      <c r="A210"/>
      <c r="B210"/>
      <c r="C210"/>
      <c r="D210"/>
      <c r="E210"/>
      <c r="F210"/>
      <c r="G210"/>
      <c r="H210"/>
      <c r="I210"/>
      <c r="J210"/>
      <c r="K210" s="32"/>
    </row>
    <row r="211" spans="1:11" x14ac:dyDescent="0.25">
      <c r="A211"/>
      <c r="B211"/>
      <c r="C211"/>
      <c r="D211"/>
      <c r="E211"/>
      <c r="F211"/>
      <c r="G211"/>
      <c r="H211"/>
      <c r="I211"/>
      <c r="J211"/>
      <c r="K211" s="32"/>
    </row>
    <row r="212" spans="1:11" x14ac:dyDescent="0.25">
      <c r="A212"/>
      <c r="B212"/>
      <c r="C212"/>
      <c r="D212"/>
      <c r="E212"/>
      <c r="F212"/>
      <c r="G212"/>
      <c r="H212"/>
      <c r="I212"/>
      <c r="J212"/>
      <c r="K212" s="32"/>
    </row>
    <row r="213" spans="1:11" x14ac:dyDescent="0.25">
      <c r="A213"/>
      <c r="B213"/>
      <c r="C213"/>
      <c r="D213"/>
      <c r="E213"/>
      <c r="F213"/>
      <c r="G213"/>
      <c r="H213"/>
      <c r="I213"/>
      <c r="J213"/>
      <c r="K213" s="32"/>
    </row>
    <row r="214" spans="1:11" x14ac:dyDescent="0.25">
      <c r="A214"/>
      <c r="B214"/>
      <c r="C214"/>
      <c r="D214"/>
      <c r="E214"/>
      <c r="F214"/>
      <c r="G214"/>
      <c r="H214"/>
      <c r="I214"/>
      <c r="J214"/>
      <c r="K214" s="32"/>
    </row>
    <row r="215" spans="1:11" x14ac:dyDescent="0.25">
      <c r="A215"/>
      <c r="B215"/>
      <c r="C215"/>
      <c r="D215"/>
      <c r="E215"/>
      <c r="F215"/>
      <c r="G215"/>
      <c r="H215"/>
      <c r="I215"/>
      <c r="J215"/>
      <c r="K215" s="32"/>
    </row>
    <row r="216" spans="1:11" x14ac:dyDescent="0.25">
      <c r="A216"/>
      <c r="B216"/>
      <c r="C216"/>
      <c r="D216"/>
      <c r="E216"/>
      <c r="F216"/>
      <c r="G216"/>
      <c r="H216"/>
      <c r="I216"/>
      <c r="J216"/>
      <c r="K216" s="32"/>
    </row>
    <row r="217" spans="1:11" x14ac:dyDescent="0.25">
      <c r="A217"/>
      <c r="B217"/>
      <c r="C217"/>
      <c r="D217"/>
      <c r="E217"/>
      <c r="F217"/>
      <c r="G217"/>
      <c r="H217"/>
      <c r="I217"/>
      <c r="J217"/>
      <c r="K217" s="32"/>
    </row>
    <row r="218" spans="1:11" x14ac:dyDescent="0.25">
      <c r="A218"/>
      <c r="B218"/>
      <c r="C218"/>
      <c r="D218"/>
      <c r="E218"/>
      <c r="F218"/>
      <c r="G218"/>
      <c r="H218"/>
      <c r="I218"/>
      <c r="J218"/>
      <c r="K218" s="32"/>
    </row>
    <row r="219" spans="1:11" x14ac:dyDescent="0.25">
      <c r="A219"/>
      <c r="B219"/>
      <c r="C219"/>
      <c r="D219"/>
      <c r="E219"/>
      <c r="F219"/>
      <c r="G219"/>
      <c r="H219"/>
      <c r="I219"/>
      <c r="J219"/>
      <c r="K219" s="32"/>
    </row>
    <row r="220" spans="1:11" x14ac:dyDescent="0.25">
      <c r="A220"/>
      <c r="B220"/>
      <c r="C220"/>
      <c r="D220"/>
      <c r="E220"/>
      <c r="F220"/>
      <c r="G220"/>
      <c r="H220"/>
      <c r="I220"/>
      <c r="J220"/>
      <c r="K220" s="32"/>
    </row>
    <row r="221" spans="1:11" x14ac:dyDescent="0.25">
      <c r="A221"/>
      <c r="B221"/>
      <c r="C221"/>
      <c r="D221"/>
      <c r="E221"/>
      <c r="F221"/>
      <c r="G221"/>
      <c r="H221"/>
      <c r="I221"/>
      <c r="J221"/>
      <c r="K221" s="32"/>
    </row>
    <row r="222" spans="1:11" x14ac:dyDescent="0.25">
      <c r="A222"/>
      <c r="B222"/>
      <c r="C222"/>
      <c r="D222"/>
      <c r="E222"/>
      <c r="F222"/>
      <c r="G222"/>
      <c r="H222"/>
      <c r="I222"/>
      <c r="J222"/>
      <c r="K222" s="32"/>
    </row>
    <row r="223" spans="1:11" x14ac:dyDescent="0.25">
      <c r="A223"/>
      <c r="B223"/>
      <c r="C223"/>
      <c r="D223"/>
      <c r="E223"/>
      <c r="F223"/>
      <c r="G223"/>
      <c r="H223"/>
      <c r="I223"/>
      <c r="J223"/>
      <c r="K223" s="32"/>
    </row>
    <row r="224" spans="1:11" x14ac:dyDescent="0.25">
      <c r="A224"/>
      <c r="B224"/>
      <c r="C224"/>
      <c r="D224"/>
      <c r="E224"/>
      <c r="F224"/>
      <c r="G224"/>
      <c r="H224"/>
      <c r="I224"/>
      <c r="J224"/>
      <c r="K224" s="32"/>
    </row>
    <row r="225" spans="1:11" x14ac:dyDescent="0.25">
      <c r="A225"/>
      <c r="B225"/>
      <c r="C225"/>
      <c r="D225"/>
      <c r="E225"/>
      <c r="F225"/>
      <c r="G225"/>
      <c r="H225"/>
      <c r="I225"/>
      <c r="J225"/>
      <c r="K225" s="32"/>
    </row>
    <row r="226" spans="1:11" x14ac:dyDescent="0.25">
      <c r="A226"/>
      <c r="B226"/>
      <c r="C226"/>
      <c r="D226"/>
      <c r="E226"/>
      <c r="F226"/>
      <c r="G226"/>
      <c r="H226"/>
      <c r="I226"/>
      <c r="J226"/>
      <c r="K226" s="32"/>
    </row>
    <row r="227" spans="1:11" x14ac:dyDescent="0.25">
      <c r="A227"/>
      <c r="B227"/>
      <c r="C227"/>
      <c r="D227"/>
      <c r="E227"/>
      <c r="F227"/>
      <c r="G227"/>
      <c r="H227"/>
      <c r="I227"/>
      <c r="J227"/>
      <c r="K227" s="32"/>
    </row>
    <row r="228" spans="1:11" x14ac:dyDescent="0.25">
      <c r="A228"/>
      <c r="B228"/>
      <c r="C228"/>
      <c r="D228"/>
      <c r="E228"/>
      <c r="F228"/>
      <c r="G228"/>
      <c r="H228"/>
      <c r="I228"/>
      <c r="J228"/>
      <c r="K228" s="32"/>
    </row>
    <row r="229" spans="1:11" x14ac:dyDescent="0.25">
      <c r="A229"/>
      <c r="B229"/>
      <c r="C229"/>
      <c r="D229"/>
      <c r="E229"/>
      <c r="F229"/>
      <c r="G229"/>
      <c r="H229"/>
      <c r="I229"/>
      <c r="J229"/>
      <c r="K229" s="32"/>
    </row>
    <row r="230" spans="1:11" x14ac:dyDescent="0.25">
      <c r="A230"/>
      <c r="B230"/>
      <c r="C230"/>
      <c r="D230"/>
      <c r="E230"/>
      <c r="F230"/>
      <c r="G230"/>
      <c r="H230"/>
      <c r="I230"/>
      <c r="J230"/>
      <c r="K230" s="32"/>
    </row>
    <row r="231" spans="1:11" x14ac:dyDescent="0.25">
      <c r="A231"/>
      <c r="B231"/>
      <c r="C231"/>
      <c r="D231"/>
      <c r="E231"/>
      <c r="F231"/>
      <c r="G231"/>
      <c r="H231"/>
      <c r="I231"/>
      <c r="J231"/>
      <c r="K231" s="32"/>
    </row>
    <row r="232" spans="1:11" x14ac:dyDescent="0.25">
      <c r="A232"/>
      <c r="B232"/>
      <c r="C232"/>
      <c r="D232"/>
      <c r="E232"/>
      <c r="F232"/>
      <c r="G232"/>
      <c r="H232"/>
      <c r="I232"/>
      <c r="J232"/>
      <c r="K232" s="32"/>
    </row>
    <row r="233" spans="1:11" x14ac:dyDescent="0.25">
      <c r="A233"/>
      <c r="B233"/>
      <c r="C233"/>
      <c r="D233"/>
      <c r="E233"/>
      <c r="F233"/>
      <c r="G233"/>
      <c r="H233"/>
      <c r="I233"/>
      <c r="J233"/>
      <c r="K233" s="32"/>
    </row>
    <row r="234" spans="1:11" x14ac:dyDescent="0.25">
      <c r="A234"/>
      <c r="B234"/>
      <c r="C234"/>
      <c r="D234"/>
      <c r="E234"/>
      <c r="F234"/>
      <c r="G234"/>
      <c r="H234"/>
      <c r="I234"/>
      <c r="J234"/>
      <c r="K234" s="32"/>
    </row>
    <row r="235" spans="1:11" x14ac:dyDescent="0.25">
      <c r="A235"/>
      <c r="B235"/>
      <c r="C235"/>
      <c r="D235"/>
      <c r="E235"/>
      <c r="F235"/>
      <c r="G235"/>
      <c r="H235"/>
      <c r="I235"/>
      <c r="J235"/>
      <c r="K235" s="32"/>
    </row>
    <row r="236" spans="1:11" x14ac:dyDescent="0.25">
      <c r="A236"/>
      <c r="B236"/>
      <c r="C236"/>
      <c r="D236"/>
      <c r="E236"/>
      <c r="F236"/>
      <c r="G236"/>
      <c r="H236"/>
      <c r="I236"/>
      <c r="J236"/>
      <c r="K236" s="32"/>
    </row>
    <row r="237" spans="1:11" x14ac:dyDescent="0.25">
      <c r="A237"/>
      <c r="B237"/>
      <c r="C237"/>
      <c r="D237"/>
      <c r="E237"/>
      <c r="F237"/>
      <c r="G237"/>
      <c r="H237"/>
      <c r="I237"/>
      <c r="J237"/>
      <c r="K237" s="32"/>
    </row>
    <row r="238" spans="1:11" x14ac:dyDescent="0.25">
      <c r="A238"/>
      <c r="B238"/>
      <c r="C238"/>
      <c r="D238"/>
      <c r="E238"/>
      <c r="F238"/>
      <c r="G238"/>
      <c r="H238"/>
      <c r="I238"/>
      <c r="J238"/>
      <c r="K238" s="32"/>
    </row>
    <row r="239" spans="1:11" x14ac:dyDescent="0.25">
      <c r="A239"/>
      <c r="B239"/>
      <c r="C239"/>
      <c r="D239"/>
      <c r="E239"/>
      <c r="F239"/>
      <c r="G239"/>
      <c r="H239"/>
      <c r="I239"/>
      <c r="J239"/>
      <c r="K239" s="32"/>
    </row>
    <row r="240" spans="1:11" x14ac:dyDescent="0.25">
      <c r="A240"/>
      <c r="B240"/>
      <c r="C240"/>
      <c r="D240"/>
      <c r="E240"/>
      <c r="F240"/>
      <c r="G240"/>
      <c r="H240"/>
      <c r="I240"/>
      <c r="J240"/>
      <c r="K240" s="32"/>
    </row>
    <row r="241" spans="1:11" x14ac:dyDescent="0.25">
      <c r="A241"/>
      <c r="B241"/>
      <c r="C241"/>
      <c r="D241"/>
      <c r="E241"/>
      <c r="F241"/>
      <c r="G241"/>
      <c r="H241"/>
      <c r="I241"/>
      <c r="J241"/>
      <c r="K241" s="32"/>
    </row>
    <row r="242" spans="1:11" x14ac:dyDescent="0.25">
      <c r="A242"/>
      <c r="B242"/>
      <c r="C242"/>
      <c r="D242"/>
      <c r="E242"/>
      <c r="F242"/>
      <c r="G242"/>
      <c r="H242"/>
      <c r="I242"/>
      <c r="J242"/>
      <c r="K242" s="32"/>
    </row>
    <row r="243" spans="1:11" x14ac:dyDescent="0.25">
      <c r="A243"/>
      <c r="B243"/>
      <c r="C243"/>
      <c r="D243"/>
      <c r="E243"/>
      <c r="F243"/>
      <c r="G243"/>
      <c r="H243"/>
      <c r="I243"/>
      <c r="J243"/>
      <c r="K243" s="32"/>
    </row>
    <row r="244" spans="1:11" x14ac:dyDescent="0.25">
      <c r="A244"/>
      <c r="B244"/>
      <c r="C244"/>
      <c r="D244"/>
      <c r="E244"/>
      <c r="F244"/>
      <c r="G244"/>
      <c r="H244"/>
      <c r="I244"/>
      <c r="J244"/>
      <c r="K244" s="32"/>
    </row>
    <row r="245" spans="1:11" x14ac:dyDescent="0.25">
      <c r="A245"/>
      <c r="B245"/>
      <c r="C245"/>
      <c r="D245"/>
      <c r="E245"/>
      <c r="F245"/>
      <c r="G245"/>
      <c r="H245"/>
      <c r="I245"/>
      <c r="J245"/>
      <c r="K245" s="32"/>
    </row>
    <row r="246" spans="1:11" x14ac:dyDescent="0.25">
      <c r="A246"/>
      <c r="B246"/>
      <c r="C246"/>
      <c r="D246"/>
      <c r="E246"/>
      <c r="F246"/>
      <c r="G246"/>
      <c r="H246"/>
      <c r="I246"/>
      <c r="J246"/>
      <c r="K246" s="32"/>
    </row>
    <row r="247" spans="1:11" x14ac:dyDescent="0.25">
      <c r="A247"/>
      <c r="B247"/>
      <c r="C247"/>
      <c r="D247"/>
      <c r="E247"/>
      <c r="F247"/>
      <c r="G247"/>
      <c r="H247"/>
      <c r="I247"/>
      <c r="J247"/>
      <c r="K247" s="32"/>
    </row>
    <row r="248" spans="1:11" x14ac:dyDescent="0.25">
      <c r="A248"/>
      <c r="B248"/>
      <c r="C248"/>
      <c r="D248"/>
      <c r="E248"/>
      <c r="F248"/>
      <c r="G248"/>
      <c r="H248"/>
      <c r="I248"/>
      <c r="J248"/>
      <c r="K248" s="32"/>
    </row>
    <row r="249" spans="1:11" x14ac:dyDescent="0.25">
      <c r="A249"/>
      <c r="B249"/>
      <c r="C249"/>
      <c r="D249"/>
      <c r="E249"/>
      <c r="F249"/>
      <c r="G249"/>
      <c r="H249"/>
      <c r="I249"/>
      <c r="J249"/>
      <c r="K249" s="32"/>
    </row>
    <row r="250" spans="1:11" x14ac:dyDescent="0.25">
      <c r="A250"/>
      <c r="B250"/>
      <c r="C250"/>
      <c r="D250"/>
      <c r="E250"/>
      <c r="F250"/>
      <c r="G250"/>
      <c r="H250"/>
      <c r="I250"/>
      <c r="J250"/>
      <c r="K250" s="32"/>
    </row>
    <row r="251" spans="1:11" x14ac:dyDescent="0.25">
      <c r="A251"/>
      <c r="B251"/>
      <c r="C251"/>
      <c r="D251"/>
      <c r="E251"/>
      <c r="F251"/>
      <c r="G251"/>
      <c r="H251"/>
      <c r="I251"/>
      <c r="J251"/>
      <c r="K251" s="32"/>
    </row>
    <row r="252" spans="1:11" x14ac:dyDescent="0.25">
      <c r="A252"/>
      <c r="B252"/>
      <c r="C252"/>
      <c r="D252"/>
      <c r="E252"/>
      <c r="F252"/>
      <c r="G252"/>
      <c r="H252"/>
      <c r="I252"/>
      <c r="J252"/>
      <c r="K252" s="32"/>
    </row>
    <row r="253" spans="1:11" x14ac:dyDescent="0.25">
      <c r="A253"/>
      <c r="B253"/>
      <c r="C253"/>
      <c r="D253"/>
      <c r="E253"/>
      <c r="F253"/>
      <c r="G253"/>
      <c r="H253"/>
      <c r="I253"/>
      <c r="J253"/>
      <c r="K253" s="32"/>
    </row>
    <row r="254" spans="1:11" x14ac:dyDescent="0.25">
      <c r="A254"/>
      <c r="B254"/>
      <c r="C254"/>
      <c r="D254"/>
      <c r="E254"/>
      <c r="F254"/>
      <c r="G254"/>
      <c r="H254"/>
      <c r="I254"/>
      <c r="J254"/>
      <c r="K254" s="32"/>
    </row>
    <row r="255" spans="1:11" x14ac:dyDescent="0.25">
      <c r="A255"/>
      <c r="B255"/>
      <c r="C255"/>
      <c r="D255"/>
      <c r="E255"/>
      <c r="F255"/>
      <c r="G255"/>
      <c r="H255"/>
      <c r="I255"/>
      <c r="J255"/>
      <c r="K255" s="32"/>
    </row>
    <row r="256" spans="1:11" x14ac:dyDescent="0.25">
      <c r="A256"/>
      <c r="B256"/>
      <c r="C256"/>
      <c r="D256"/>
      <c r="E256"/>
      <c r="F256"/>
      <c r="G256"/>
      <c r="H256"/>
      <c r="I256"/>
      <c r="J256"/>
      <c r="K256" s="32"/>
    </row>
    <row r="257" spans="1:11" x14ac:dyDescent="0.25">
      <c r="A257"/>
      <c r="B257"/>
      <c r="C257"/>
      <c r="D257"/>
      <c r="E257"/>
      <c r="F257"/>
      <c r="G257"/>
      <c r="H257"/>
      <c r="I257"/>
      <c r="J257"/>
      <c r="K257" s="32"/>
    </row>
    <row r="258" spans="1:11" x14ac:dyDescent="0.25">
      <c r="A258"/>
      <c r="B258"/>
      <c r="C258"/>
      <c r="D258"/>
      <c r="E258"/>
      <c r="F258"/>
      <c r="G258"/>
      <c r="H258"/>
      <c r="I258"/>
      <c r="J258"/>
      <c r="K258" s="32"/>
    </row>
    <row r="259" spans="1:11" x14ac:dyDescent="0.25">
      <c r="A259"/>
      <c r="B259"/>
      <c r="C259"/>
      <c r="D259"/>
      <c r="E259"/>
      <c r="F259"/>
      <c r="G259"/>
      <c r="H259"/>
      <c r="I259"/>
      <c r="J259"/>
      <c r="K259" s="32"/>
    </row>
    <row r="260" spans="1:11" x14ac:dyDescent="0.25">
      <c r="A260"/>
      <c r="B260"/>
      <c r="C260"/>
      <c r="D260"/>
      <c r="E260"/>
      <c r="F260"/>
      <c r="G260"/>
      <c r="H260"/>
      <c r="I260"/>
      <c r="J260"/>
      <c r="K260" s="32"/>
    </row>
    <row r="261" spans="1:11" x14ac:dyDescent="0.25">
      <c r="A261"/>
      <c r="B261"/>
      <c r="C261"/>
      <c r="D261"/>
      <c r="E261"/>
      <c r="F261"/>
      <c r="G261"/>
      <c r="H261"/>
      <c r="I261"/>
      <c r="J261"/>
      <c r="K261" s="32"/>
    </row>
    <row r="262" spans="1:11" x14ac:dyDescent="0.25">
      <c r="A262"/>
      <c r="B262"/>
      <c r="C262"/>
      <c r="D262"/>
      <c r="E262"/>
      <c r="F262"/>
      <c r="G262"/>
      <c r="H262"/>
      <c r="I262"/>
      <c r="J262"/>
      <c r="K262" s="32"/>
    </row>
    <row r="263" spans="1:11" x14ac:dyDescent="0.25">
      <c r="A263"/>
      <c r="B263"/>
      <c r="C263"/>
      <c r="D263"/>
      <c r="E263"/>
      <c r="F263"/>
      <c r="G263"/>
      <c r="H263"/>
      <c r="I263"/>
      <c r="J263"/>
      <c r="K263" s="32"/>
    </row>
    <row r="264" spans="1:11" x14ac:dyDescent="0.25">
      <c r="A264"/>
      <c r="B264"/>
      <c r="C264"/>
      <c r="D264"/>
      <c r="E264"/>
      <c r="F264"/>
      <c r="G264"/>
      <c r="H264"/>
      <c r="I264"/>
      <c r="J264"/>
      <c r="K264" s="32"/>
    </row>
    <row r="265" spans="1:11" x14ac:dyDescent="0.25">
      <c r="A265"/>
      <c r="B265"/>
      <c r="C265"/>
      <c r="D265"/>
      <c r="E265"/>
      <c r="F265"/>
      <c r="G265"/>
      <c r="H265"/>
      <c r="I265"/>
      <c r="J265"/>
      <c r="K265" s="32"/>
    </row>
    <row r="266" spans="1:11" x14ac:dyDescent="0.25">
      <c r="A266"/>
      <c r="B266"/>
      <c r="C266"/>
      <c r="D266"/>
      <c r="E266"/>
      <c r="F266"/>
      <c r="G266"/>
      <c r="H266"/>
      <c r="I266"/>
      <c r="J266"/>
      <c r="K266" s="32"/>
    </row>
    <row r="267" spans="1:11" x14ac:dyDescent="0.25">
      <c r="A267"/>
      <c r="B267"/>
      <c r="C267"/>
      <c r="D267"/>
      <c r="E267"/>
      <c r="F267"/>
      <c r="G267"/>
      <c r="H267"/>
      <c r="I267"/>
      <c r="J267"/>
      <c r="K267" s="32"/>
    </row>
    <row r="268" spans="1:11" x14ac:dyDescent="0.25">
      <c r="A268"/>
      <c r="B268"/>
      <c r="C268"/>
      <c r="D268"/>
      <c r="E268"/>
      <c r="F268"/>
      <c r="G268"/>
      <c r="H268"/>
      <c r="I268"/>
      <c r="J268"/>
      <c r="K268" s="32"/>
    </row>
    <row r="269" spans="1:11" x14ac:dyDescent="0.25">
      <c r="A269"/>
      <c r="B269"/>
      <c r="C269"/>
      <c r="D269"/>
      <c r="E269"/>
      <c r="F269"/>
      <c r="G269"/>
      <c r="H269"/>
      <c r="I269"/>
      <c r="J269"/>
      <c r="K269" s="32"/>
    </row>
    <row r="270" spans="1:11" x14ac:dyDescent="0.25">
      <c r="A270"/>
      <c r="B270"/>
      <c r="C270"/>
      <c r="D270"/>
      <c r="E270"/>
      <c r="F270"/>
      <c r="G270"/>
      <c r="H270"/>
      <c r="I270"/>
      <c r="J270"/>
      <c r="K270" s="32"/>
    </row>
    <row r="271" spans="1:11" x14ac:dyDescent="0.25">
      <c r="A271"/>
      <c r="B271"/>
      <c r="C271"/>
      <c r="D271"/>
      <c r="E271"/>
      <c r="F271"/>
      <c r="G271"/>
      <c r="H271"/>
      <c r="I271"/>
      <c r="J271"/>
      <c r="K271" s="32"/>
    </row>
    <row r="272" spans="1:11" x14ac:dyDescent="0.25">
      <c r="A272"/>
      <c r="B272"/>
      <c r="C272"/>
      <c r="D272"/>
      <c r="E272"/>
      <c r="F272"/>
      <c r="G272"/>
      <c r="H272"/>
      <c r="I272"/>
      <c r="J272"/>
      <c r="K272" s="32"/>
    </row>
    <row r="273" spans="1:11" x14ac:dyDescent="0.25">
      <c r="A273"/>
      <c r="B273"/>
      <c r="C273"/>
      <c r="D273"/>
      <c r="E273"/>
      <c r="F273"/>
      <c r="G273"/>
      <c r="H273"/>
      <c r="I273"/>
      <c r="J273"/>
      <c r="K273" s="32"/>
    </row>
    <row r="274" spans="1:11" x14ac:dyDescent="0.25">
      <c r="A274"/>
      <c r="B274"/>
      <c r="C274"/>
      <c r="D274"/>
      <c r="E274"/>
      <c r="F274"/>
      <c r="G274"/>
      <c r="H274"/>
      <c r="I274"/>
      <c r="J274"/>
      <c r="K274" s="32"/>
    </row>
    <row r="275" spans="1:11" x14ac:dyDescent="0.25">
      <c r="A275"/>
      <c r="B275"/>
      <c r="C275"/>
      <c r="D275"/>
      <c r="E275"/>
      <c r="F275"/>
      <c r="G275"/>
      <c r="H275"/>
      <c r="I275"/>
      <c r="J275"/>
      <c r="K275" s="32"/>
    </row>
    <row r="276" spans="1:11" x14ac:dyDescent="0.25">
      <c r="A276"/>
      <c r="B276"/>
      <c r="C276"/>
      <c r="D276"/>
      <c r="E276"/>
      <c r="F276"/>
      <c r="G276"/>
      <c r="H276"/>
      <c r="I276"/>
      <c r="J276"/>
      <c r="K276" s="32"/>
    </row>
    <row r="277" spans="1:11" x14ac:dyDescent="0.25">
      <c r="A277"/>
      <c r="B277"/>
      <c r="C277"/>
      <c r="D277"/>
      <c r="E277"/>
      <c r="F277"/>
      <c r="G277"/>
      <c r="H277"/>
      <c r="I277"/>
      <c r="J277"/>
      <c r="K277" s="32"/>
    </row>
    <row r="278" spans="1:11" x14ac:dyDescent="0.25">
      <c r="A278"/>
      <c r="B278"/>
      <c r="C278"/>
      <c r="D278"/>
      <c r="E278"/>
      <c r="F278"/>
      <c r="G278"/>
      <c r="H278"/>
      <c r="I278"/>
      <c r="J278"/>
      <c r="K278" s="32"/>
    </row>
    <row r="279" spans="1:11" x14ac:dyDescent="0.25">
      <c r="A279"/>
      <c r="B279"/>
      <c r="C279"/>
      <c r="D279"/>
      <c r="E279"/>
      <c r="F279"/>
      <c r="G279"/>
      <c r="H279"/>
      <c r="I279"/>
      <c r="J279"/>
      <c r="K279" s="32"/>
    </row>
    <row r="280" spans="1:11" x14ac:dyDescent="0.25">
      <c r="A280"/>
      <c r="B280"/>
      <c r="C280"/>
      <c r="D280"/>
      <c r="E280"/>
      <c r="F280"/>
      <c r="G280"/>
      <c r="H280"/>
      <c r="I280"/>
      <c r="J280"/>
      <c r="K280" s="32"/>
    </row>
    <row r="281" spans="1:11" x14ac:dyDescent="0.25">
      <c r="A281"/>
      <c r="B281"/>
      <c r="C281"/>
      <c r="D281"/>
      <c r="E281"/>
      <c r="F281"/>
      <c r="G281"/>
      <c r="H281"/>
      <c r="I281"/>
      <c r="J281"/>
      <c r="K281" s="32"/>
    </row>
    <row r="282" spans="1:11" x14ac:dyDescent="0.25">
      <c r="A282"/>
      <c r="B282"/>
      <c r="C282"/>
      <c r="D282"/>
      <c r="E282"/>
      <c r="F282"/>
      <c r="G282"/>
      <c r="H282"/>
      <c r="I282"/>
      <c r="J282"/>
      <c r="K282" s="32"/>
    </row>
    <row r="283" spans="1:11" x14ac:dyDescent="0.25">
      <c r="A283"/>
      <c r="B283"/>
      <c r="C283"/>
      <c r="D283"/>
      <c r="E283"/>
      <c r="F283"/>
      <c r="G283"/>
      <c r="H283"/>
      <c r="I283"/>
      <c r="J283"/>
      <c r="K283" s="32"/>
    </row>
    <row r="284" spans="1:11" x14ac:dyDescent="0.25">
      <c r="A284"/>
      <c r="B284"/>
      <c r="C284"/>
      <c r="D284"/>
      <c r="E284"/>
      <c r="F284"/>
      <c r="G284"/>
      <c r="H284"/>
      <c r="I284"/>
      <c r="J284"/>
      <c r="K284" s="32"/>
    </row>
    <row r="285" spans="1:11" x14ac:dyDescent="0.25">
      <c r="A285"/>
      <c r="B285"/>
      <c r="C285"/>
      <c r="D285"/>
      <c r="E285"/>
      <c r="F285"/>
      <c r="G285"/>
      <c r="H285"/>
      <c r="I285"/>
      <c r="J285"/>
      <c r="K285" s="32"/>
    </row>
    <row r="286" spans="1:11" x14ac:dyDescent="0.25">
      <c r="A286"/>
      <c r="B286"/>
      <c r="C286"/>
      <c r="D286"/>
      <c r="E286"/>
      <c r="F286"/>
      <c r="G286"/>
      <c r="H286"/>
      <c r="I286"/>
      <c r="J286"/>
      <c r="K286" s="32"/>
    </row>
    <row r="287" spans="1:11" x14ac:dyDescent="0.25">
      <c r="A287"/>
      <c r="B287"/>
      <c r="C287"/>
      <c r="D287"/>
      <c r="E287"/>
      <c r="F287"/>
      <c r="G287"/>
      <c r="H287"/>
      <c r="I287"/>
      <c r="J287"/>
      <c r="K287" s="32"/>
    </row>
    <row r="288" spans="1:11" x14ac:dyDescent="0.25">
      <c r="A288"/>
      <c r="B288"/>
      <c r="C288"/>
      <c r="D288"/>
      <c r="E288"/>
      <c r="F288"/>
      <c r="G288"/>
      <c r="H288"/>
      <c r="I288"/>
      <c r="J288"/>
      <c r="K288" s="32"/>
    </row>
    <row r="289" spans="1:11" x14ac:dyDescent="0.25">
      <c r="A289"/>
      <c r="B289"/>
      <c r="C289"/>
      <c r="D289"/>
      <c r="E289"/>
      <c r="F289"/>
      <c r="G289"/>
      <c r="H289"/>
      <c r="I289"/>
      <c r="J289"/>
      <c r="K289" s="32"/>
    </row>
    <row r="290" spans="1:11" x14ac:dyDescent="0.25">
      <c r="A290"/>
      <c r="B290"/>
      <c r="C290"/>
      <c r="D290"/>
      <c r="E290"/>
      <c r="F290"/>
      <c r="G290"/>
      <c r="H290"/>
      <c r="I290"/>
      <c r="J290"/>
      <c r="K290" s="32"/>
    </row>
    <row r="291" spans="1:11" x14ac:dyDescent="0.25">
      <c r="A291"/>
      <c r="B291"/>
      <c r="C291"/>
      <c r="D291"/>
      <c r="E291"/>
      <c r="F291"/>
      <c r="G291"/>
      <c r="H291"/>
      <c r="I291"/>
      <c r="J291"/>
      <c r="K291" s="32"/>
    </row>
    <row r="292" spans="1:11" x14ac:dyDescent="0.25">
      <c r="A292"/>
      <c r="B292"/>
      <c r="C292"/>
      <c r="D292"/>
      <c r="E292"/>
      <c r="F292"/>
      <c r="G292"/>
      <c r="H292"/>
      <c r="I292"/>
      <c r="J292"/>
      <c r="K292" s="32"/>
    </row>
    <row r="293" spans="1:11" x14ac:dyDescent="0.25">
      <c r="A293"/>
      <c r="B293"/>
      <c r="C293"/>
      <c r="D293"/>
      <c r="E293"/>
      <c r="F293"/>
      <c r="G293"/>
      <c r="H293"/>
      <c r="I293"/>
      <c r="J293"/>
      <c r="K293" s="32"/>
    </row>
    <row r="294" spans="1:11" x14ac:dyDescent="0.25">
      <c r="A294"/>
      <c r="B294"/>
      <c r="C294"/>
      <c r="D294"/>
      <c r="E294"/>
      <c r="F294"/>
      <c r="G294"/>
      <c r="H294"/>
      <c r="I294"/>
      <c r="J294"/>
      <c r="K294" s="32"/>
    </row>
    <row r="295" spans="1:11" x14ac:dyDescent="0.25">
      <c r="A295"/>
      <c r="B295"/>
      <c r="C295"/>
      <c r="D295"/>
      <c r="E295"/>
      <c r="F295"/>
      <c r="G295"/>
      <c r="H295"/>
      <c r="I295"/>
      <c r="J295"/>
      <c r="K295" s="32"/>
    </row>
    <row r="296" spans="1:11" x14ac:dyDescent="0.25">
      <c r="A296"/>
      <c r="B296"/>
      <c r="C296"/>
      <c r="D296"/>
      <c r="E296"/>
      <c r="F296"/>
      <c r="G296"/>
      <c r="H296"/>
      <c r="I296"/>
      <c r="J296"/>
      <c r="K296" s="32"/>
    </row>
    <row r="297" spans="1:11" x14ac:dyDescent="0.25">
      <c r="A297"/>
      <c r="B297"/>
      <c r="C297"/>
      <c r="D297"/>
      <c r="E297"/>
      <c r="F297"/>
      <c r="G297"/>
      <c r="H297"/>
      <c r="I297"/>
      <c r="J297"/>
      <c r="K297" s="32"/>
    </row>
    <row r="298" spans="1:11" x14ac:dyDescent="0.25">
      <c r="A298"/>
      <c r="B298"/>
      <c r="C298"/>
      <c r="D298"/>
      <c r="E298"/>
      <c r="F298"/>
      <c r="G298"/>
      <c r="H298"/>
      <c r="I298"/>
      <c r="J298"/>
      <c r="K298" s="32"/>
    </row>
    <row r="299" spans="1:11" x14ac:dyDescent="0.25">
      <c r="A299"/>
      <c r="B299"/>
      <c r="C299"/>
      <c r="D299"/>
      <c r="E299"/>
      <c r="F299"/>
      <c r="G299"/>
      <c r="H299"/>
      <c r="I299"/>
      <c r="J299"/>
      <c r="K299" s="32"/>
    </row>
    <row r="300" spans="1:11" x14ac:dyDescent="0.25">
      <c r="A300"/>
      <c r="B300"/>
      <c r="C300"/>
      <c r="D300"/>
      <c r="E300"/>
      <c r="F300"/>
      <c r="G300"/>
      <c r="H300"/>
      <c r="I300"/>
      <c r="J300"/>
      <c r="K300" s="32"/>
    </row>
    <row r="301" spans="1:11" x14ac:dyDescent="0.25">
      <c r="A301"/>
      <c r="B301"/>
      <c r="C301"/>
      <c r="D301"/>
      <c r="E301"/>
      <c r="F301"/>
      <c r="G301"/>
      <c r="H301"/>
      <c r="I301"/>
      <c r="J301"/>
      <c r="K301" s="32"/>
    </row>
    <row r="302" spans="1:11" x14ac:dyDescent="0.25">
      <c r="A302"/>
      <c r="B302"/>
      <c r="C302"/>
      <c r="D302"/>
      <c r="E302"/>
      <c r="F302"/>
      <c r="G302"/>
      <c r="H302"/>
      <c r="I302"/>
      <c r="J302"/>
      <c r="K302" s="32"/>
    </row>
    <row r="303" spans="1:11" x14ac:dyDescent="0.25">
      <c r="A303"/>
      <c r="B303"/>
      <c r="C303"/>
      <c r="D303"/>
      <c r="E303"/>
      <c r="F303"/>
      <c r="G303"/>
      <c r="H303"/>
      <c r="I303"/>
      <c r="J303"/>
      <c r="K303" s="32"/>
    </row>
    <row r="304" spans="1:11" x14ac:dyDescent="0.25">
      <c r="A304"/>
      <c r="B304"/>
      <c r="C304"/>
      <c r="D304"/>
      <c r="E304"/>
      <c r="F304"/>
      <c r="G304"/>
      <c r="H304"/>
      <c r="I304"/>
      <c r="J304"/>
      <c r="K304" s="32"/>
    </row>
    <row r="305" spans="1:11" x14ac:dyDescent="0.25">
      <c r="A305"/>
      <c r="B305"/>
      <c r="C305"/>
      <c r="D305"/>
      <c r="E305"/>
      <c r="F305"/>
      <c r="G305"/>
      <c r="H305"/>
      <c r="I305"/>
      <c r="J305"/>
      <c r="K305" s="32"/>
    </row>
    <row r="306" spans="1:11" x14ac:dyDescent="0.25">
      <c r="A306"/>
      <c r="B306"/>
      <c r="C306"/>
      <c r="D306"/>
      <c r="E306"/>
      <c r="F306"/>
      <c r="G306"/>
      <c r="H306"/>
      <c r="I306"/>
      <c r="J306"/>
      <c r="K306" s="32"/>
    </row>
    <row r="307" spans="1:11" x14ac:dyDescent="0.25">
      <c r="A307"/>
      <c r="B307"/>
      <c r="C307"/>
      <c r="D307"/>
      <c r="E307"/>
      <c r="F307"/>
      <c r="G307"/>
      <c r="H307"/>
      <c r="I307"/>
      <c r="J307"/>
      <c r="K307" s="32"/>
    </row>
    <row r="308" spans="1:11" x14ac:dyDescent="0.25">
      <c r="A308"/>
      <c r="B308"/>
      <c r="C308"/>
      <c r="D308"/>
      <c r="E308"/>
      <c r="F308"/>
      <c r="G308"/>
      <c r="H308"/>
      <c r="I308"/>
      <c r="J308"/>
      <c r="K308" s="32"/>
    </row>
    <row r="309" spans="1:11" x14ac:dyDescent="0.25">
      <c r="A309"/>
      <c r="B309"/>
      <c r="C309"/>
      <c r="D309"/>
      <c r="E309"/>
      <c r="F309"/>
      <c r="G309"/>
      <c r="H309"/>
      <c r="I309"/>
      <c r="J309"/>
      <c r="K309" s="32"/>
    </row>
    <row r="310" spans="1:11" x14ac:dyDescent="0.25">
      <c r="A310"/>
      <c r="B310"/>
      <c r="C310"/>
      <c r="D310"/>
      <c r="E310"/>
      <c r="F310"/>
      <c r="G310"/>
      <c r="H310"/>
      <c r="I310"/>
      <c r="J310"/>
      <c r="K310" s="32"/>
    </row>
    <row r="311" spans="1:11" x14ac:dyDescent="0.25">
      <c r="A311"/>
      <c r="B311"/>
      <c r="C311"/>
      <c r="D311"/>
      <c r="E311"/>
      <c r="F311"/>
      <c r="G311"/>
      <c r="H311"/>
      <c r="I311"/>
      <c r="J311"/>
      <c r="K311" s="32"/>
    </row>
    <row r="312" spans="1:11" x14ac:dyDescent="0.25">
      <c r="A312"/>
      <c r="B312"/>
      <c r="C312"/>
      <c r="D312"/>
      <c r="E312"/>
      <c r="F312"/>
      <c r="G312"/>
      <c r="H312"/>
      <c r="I312"/>
      <c r="J312"/>
      <c r="K312" s="32"/>
    </row>
    <row r="313" spans="1:11" x14ac:dyDescent="0.25">
      <c r="A313"/>
      <c r="B313"/>
      <c r="C313"/>
      <c r="D313"/>
      <c r="E313"/>
      <c r="F313"/>
      <c r="G313"/>
      <c r="H313"/>
      <c r="I313"/>
      <c r="J313"/>
      <c r="K313" s="32"/>
    </row>
    <row r="314" spans="1:11" x14ac:dyDescent="0.25">
      <c r="A314"/>
      <c r="B314"/>
      <c r="C314"/>
      <c r="D314"/>
      <c r="E314"/>
      <c r="F314"/>
      <c r="G314"/>
      <c r="H314"/>
      <c r="I314"/>
      <c r="J314"/>
      <c r="K314" s="32"/>
    </row>
    <row r="315" spans="1:11" x14ac:dyDescent="0.25">
      <c r="A315"/>
      <c r="B315"/>
      <c r="C315"/>
      <c r="D315"/>
      <c r="E315"/>
      <c r="F315"/>
      <c r="G315"/>
      <c r="H315"/>
      <c r="I315"/>
      <c r="J315"/>
      <c r="K315" s="32"/>
    </row>
    <row r="316" spans="1:11" x14ac:dyDescent="0.25">
      <c r="A316"/>
      <c r="B316"/>
      <c r="C316"/>
      <c r="D316"/>
      <c r="E316"/>
      <c r="F316"/>
      <c r="G316"/>
      <c r="H316"/>
      <c r="I316"/>
      <c r="J316"/>
      <c r="K316" s="32"/>
    </row>
    <row r="317" spans="1:11" x14ac:dyDescent="0.25">
      <c r="A317"/>
      <c r="B317"/>
      <c r="C317"/>
      <c r="D317"/>
      <c r="E317"/>
      <c r="F317"/>
      <c r="G317"/>
      <c r="H317"/>
      <c r="I317"/>
      <c r="J317"/>
      <c r="K317" s="32"/>
    </row>
    <row r="318" spans="1:11" x14ac:dyDescent="0.25">
      <c r="A318"/>
      <c r="B318"/>
      <c r="C318"/>
      <c r="D318"/>
      <c r="E318"/>
      <c r="F318"/>
      <c r="G318"/>
      <c r="H318"/>
      <c r="I318"/>
      <c r="J318"/>
      <c r="K318" s="32"/>
    </row>
    <row r="319" spans="1:11" x14ac:dyDescent="0.25">
      <c r="A319"/>
      <c r="B319"/>
      <c r="C319"/>
      <c r="D319"/>
      <c r="E319"/>
      <c r="F319"/>
      <c r="G319"/>
      <c r="H319"/>
      <c r="I319"/>
      <c r="J319"/>
      <c r="K319" s="32"/>
    </row>
    <row r="320" spans="1:11" x14ac:dyDescent="0.25">
      <c r="A320"/>
      <c r="B320"/>
      <c r="C320"/>
      <c r="D320"/>
      <c r="E320"/>
      <c r="F320"/>
      <c r="G320"/>
      <c r="H320"/>
      <c r="I320"/>
      <c r="J320"/>
      <c r="K320" s="32"/>
    </row>
    <row r="321" spans="1:11" x14ac:dyDescent="0.25">
      <c r="A321"/>
      <c r="B321"/>
      <c r="C321"/>
      <c r="D321"/>
      <c r="E321"/>
      <c r="F321"/>
      <c r="G321"/>
      <c r="H321"/>
      <c r="I321"/>
      <c r="J321"/>
      <c r="K321" s="32"/>
    </row>
    <row r="322" spans="1:11" x14ac:dyDescent="0.25">
      <c r="A322"/>
      <c r="B322"/>
      <c r="C322"/>
      <c r="D322"/>
      <c r="E322"/>
      <c r="F322"/>
      <c r="G322"/>
      <c r="H322"/>
      <c r="I322"/>
      <c r="J322"/>
      <c r="K322" s="32"/>
    </row>
    <row r="323" spans="1:11" x14ac:dyDescent="0.25">
      <c r="A323"/>
      <c r="B323"/>
      <c r="C323"/>
      <c r="D323"/>
      <c r="E323"/>
      <c r="F323"/>
      <c r="G323"/>
      <c r="H323"/>
      <c r="I323"/>
      <c r="J323"/>
      <c r="K323" s="32"/>
    </row>
    <row r="324" spans="1:11" x14ac:dyDescent="0.25">
      <c r="A324"/>
      <c r="B324"/>
      <c r="C324"/>
      <c r="D324"/>
      <c r="E324"/>
      <c r="F324"/>
      <c r="G324"/>
      <c r="H324"/>
      <c r="I324"/>
      <c r="J324"/>
      <c r="K324" s="32"/>
    </row>
    <row r="325" spans="1:11" x14ac:dyDescent="0.25">
      <c r="A325"/>
      <c r="B325"/>
      <c r="C325"/>
      <c r="D325"/>
      <c r="E325"/>
      <c r="F325"/>
      <c r="G325"/>
      <c r="H325"/>
      <c r="I325"/>
      <c r="J325"/>
      <c r="K325" s="32"/>
    </row>
    <row r="326" spans="1:11" x14ac:dyDescent="0.25">
      <c r="A326"/>
      <c r="B326"/>
      <c r="C326"/>
      <c r="D326"/>
      <c r="E326"/>
      <c r="F326"/>
      <c r="G326"/>
      <c r="H326"/>
      <c r="I326"/>
      <c r="J326"/>
      <c r="K326" s="32"/>
    </row>
    <row r="327" spans="1:11" x14ac:dyDescent="0.25">
      <c r="A327"/>
      <c r="B327"/>
      <c r="C327"/>
      <c r="D327"/>
      <c r="E327"/>
      <c r="F327"/>
      <c r="G327"/>
      <c r="H327"/>
      <c r="I327"/>
      <c r="J327"/>
      <c r="K327" s="32"/>
    </row>
    <row r="328" spans="1:11" x14ac:dyDescent="0.25">
      <c r="A328"/>
      <c r="B328"/>
      <c r="C328"/>
      <c r="D328"/>
      <c r="E328"/>
      <c r="F328"/>
      <c r="G328"/>
      <c r="H328"/>
      <c r="I328"/>
      <c r="J328"/>
      <c r="K328" s="32"/>
    </row>
    <row r="329" spans="1:11" x14ac:dyDescent="0.25">
      <c r="A329"/>
      <c r="B329"/>
      <c r="C329"/>
      <c r="D329"/>
      <c r="E329"/>
      <c r="F329"/>
      <c r="G329"/>
      <c r="H329"/>
      <c r="I329"/>
      <c r="J329"/>
      <c r="K329" s="32"/>
    </row>
    <row r="330" spans="1:11" x14ac:dyDescent="0.25">
      <c r="A330"/>
      <c r="B330"/>
      <c r="C330"/>
      <c r="D330"/>
      <c r="E330"/>
      <c r="F330"/>
      <c r="G330"/>
      <c r="H330"/>
      <c r="I330"/>
      <c r="J330"/>
      <c r="K330" s="32"/>
    </row>
    <row r="331" spans="1:11" x14ac:dyDescent="0.25">
      <c r="A331"/>
      <c r="B331"/>
      <c r="C331"/>
      <c r="D331"/>
      <c r="E331"/>
      <c r="F331"/>
      <c r="G331"/>
      <c r="H331"/>
      <c r="I331"/>
      <c r="J331"/>
      <c r="K331" s="32"/>
    </row>
    <row r="332" spans="1:11" x14ac:dyDescent="0.25">
      <c r="A332"/>
      <c r="B332"/>
      <c r="C332"/>
      <c r="D332"/>
      <c r="E332"/>
      <c r="F332"/>
      <c r="G332"/>
      <c r="H332"/>
      <c r="I332"/>
      <c r="J332"/>
      <c r="K332" s="32"/>
    </row>
    <row r="333" spans="1:11" x14ac:dyDescent="0.25">
      <c r="A333"/>
      <c r="B333"/>
      <c r="C333"/>
      <c r="D333"/>
      <c r="E333"/>
      <c r="F333"/>
      <c r="G333"/>
      <c r="H333"/>
      <c r="I333"/>
      <c r="J333"/>
      <c r="K333" s="32"/>
    </row>
    <row r="334" spans="1:11" x14ac:dyDescent="0.25">
      <c r="A334"/>
      <c r="B334"/>
      <c r="C334"/>
      <c r="D334"/>
      <c r="E334"/>
      <c r="F334"/>
      <c r="G334"/>
      <c r="H334"/>
      <c r="I334"/>
      <c r="J334"/>
      <c r="K334" s="32"/>
    </row>
    <row r="335" spans="1:11" x14ac:dyDescent="0.25">
      <c r="A335"/>
      <c r="B335"/>
      <c r="C335"/>
      <c r="D335"/>
      <c r="E335"/>
      <c r="F335"/>
      <c r="G335"/>
      <c r="H335"/>
      <c r="I335"/>
      <c r="J335"/>
      <c r="K335" s="32"/>
    </row>
    <row r="336" spans="1:11" x14ac:dyDescent="0.25">
      <c r="A336"/>
      <c r="B336"/>
      <c r="C336"/>
      <c r="D336"/>
      <c r="E336"/>
      <c r="F336"/>
      <c r="G336"/>
      <c r="H336"/>
      <c r="I336"/>
      <c r="J336"/>
      <c r="K336" s="32"/>
    </row>
    <row r="337" spans="1:11" x14ac:dyDescent="0.25">
      <c r="A337"/>
      <c r="B337"/>
      <c r="C337"/>
      <c r="D337"/>
      <c r="E337"/>
      <c r="F337"/>
      <c r="G337"/>
      <c r="H337"/>
      <c r="I337"/>
      <c r="J337"/>
      <c r="K337" s="32"/>
    </row>
    <row r="338" spans="1:11" x14ac:dyDescent="0.25">
      <c r="A338"/>
      <c r="B338"/>
      <c r="C338"/>
      <c r="D338"/>
      <c r="E338"/>
      <c r="F338"/>
      <c r="G338"/>
      <c r="H338"/>
      <c r="I338"/>
      <c r="J338"/>
      <c r="K338" s="32"/>
    </row>
    <row r="339" spans="1:11" x14ac:dyDescent="0.25">
      <c r="A339"/>
      <c r="B339"/>
      <c r="C339"/>
      <c r="D339"/>
      <c r="E339"/>
      <c r="F339"/>
      <c r="G339"/>
      <c r="H339"/>
    </row>
    <row r="340" spans="1:11" x14ac:dyDescent="0.25">
      <c r="A340"/>
      <c r="B340"/>
      <c r="C340"/>
      <c r="D340"/>
      <c r="E340"/>
      <c r="F340"/>
      <c r="G340"/>
      <c r="H340"/>
    </row>
    <row r="341" spans="1:11" x14ac:dyDescent="0.25">
      <c r="A341"/>
      <c r="B341"/>
      <c r="C341"/>
      <c r="D341"/>
      <c r="E341"/>
      <c r="F341"/>
      <c r="G341"/>
      <c r="H341"/>
    </row>
    <row r="342" spans="1:11" x14ac:dyDescent="0.25">
      <c r="A342"/>
      <c r="B342"/>
      <c r="C342"/>
      <c r="D342"/>
      <c r="E342"/>
      <c r="F342"/>
      <c r="G342"/>
      <c r="H342"/>
    </row>
    <row r="343" spans="1:11" x14ac:dyDescent="0.25">
      <c r="A343"/>
      <c r="B343"/>
      <c r="C343"/>
      <c r="D343"/>
      <c r="E343"/>
      <c r="F343"/>
      <c r="G343"/>
      <c r="H343"/>
    </row>
    <row r="344" spans="1:11" x14ac:dyDescent="0.25">
      <c r="A344"/>
      <c r="B344"/>
      <c r="C344"/>
      <c r="D344"/>
      <c r="E344"/>
      <c r="F344"/>
      <c r="G344"/>
      <c r="H344"/>
    </row>
    <row r="345" spans="1:11" x14ac:dyDescent="0.25">
      <c r="A345"/>
      <c r="B345"/>
      <c r="C345"/>
      <c r="D345"/>
      <c r="E345"/>
      <c r="F345"/>
      <c r="G345"/>
      <c r="H345"/>
    </row>
    <row r="346" spans="1:11" x14ac:dyDescent="0.25">
      <c r="A346"/>
      <c r="B346"/>
      <c r="C346"/>
      <c r="D346"/>
      <c r="E346"/>
      <c r="F346"/>
      <c r="G346"/>
      <c r="H346"/>
    </row>
    <row r="347" spans="1:11" x14ac:dyDescent="0.25">
      <c r="A347"/>
      <c r="B347"/>
      <c r="C347"/>
      <c r="D347"/>
      <c r="E347"/>
      <c r="F347"/>
      <c r="G347"/>
      <c r="H347"/>
    </row>
    <row r="348" spans="1:11" x14ac:dyDescent="0.25">
      <c r="A348"/>
      <c r="B348"/>
      <c r="C348"/>
      <c r="D348"/>
      <c r="E348"/>
      <c r="F348"/>
      <c r="G348"/>
      <c r="H348"/>
    </row>
    <row r="349" spans="1:11" x14ac:dyDescent="0.25">
      <c r="A349"/>
      <c r="B349"/>
      <c r="C349"/>
      <c r="D349"/>
      <c r="E349"/>
      <c r="F349"/>
      <c r="G349"/>
      <c r="H349"/>
    </row>
    <row r="350" spans="1:11" x14ac:dyDescent="0.25">
      <c r="A350"/>
      <c r="B350"/>
      <c r="C350"/>
      <c r="D350"/>
      <c r="E350"/>
      <c r="F350"/>
      <c r="G350"/>
      <c r="H350"/>
    </row>
    <row r="351" spans="1:11" x14ac:dyDescent="0.25">
      <c r="A351"/>
      <c r="B351"/>
      <c r="C351"/>
      <c r="D351"/>
      <c r="E351"/>
      <c r="F351"/>
      <c r="G351"/>
      <c r="H351"/>
    </row>
    <row r="352" spans="1:11" x14ac:dyDescent="0.25">
      <c r="A352"/>
      <c r="B352"/>
      <c r="C352"/>
      <c r="D352"/>
      <c r="E352"/>
      <c r="F352"/>
      <c r="G352"/>
      <c r="H352"/>
    </row>
    <row r="353" spans="1:8" x14ac:dyDescent="0.25">
      <c r="A353"/>
      <c r="B353"/>
      <c r="C353"/>
      <c r="D353"/>
      <c r="E353"/>
      <c r="F353"/>
      <c r="G353"/>
      <c r="H353"/>
    </row>
    <row r="354" spans="1:8" x14ac:dyDescent="0.25">
      <c r="A354"/>
      <c r="B354"/>
      <c r="C354"/>
      <c r="D354"/>
      <c r="E354"/>
      <c r="F354"/>
      <c r="G354"/>
      <c r="H354"/>
    </row>
    <row r="355" spans="1:8" x14ac:dyDescent="0.25">
      <c r="A355"/>
      <c r="B355"/>
      <c r="C355"/>
      <c r="D355"/>
      <c r="E355"/>
      <c r="F355"/>
      <c r="G355"/>
      <c r="H355"/>
    </row>
    <row r="356" spans="1:8" x14ac:dyDescent="0.25">
      <c r="A356"/>
      <c r="B356"/>
      <c r="C356"/>
      <c r="D356"/>
      <c r="E356"/>
      <c r="F356"/>
      <c r="G356"/>
      <c r="H356"/>
    </row>
    <row r="357" spans="1:8" x14ac:dyDescent="0.25">
      <c r="A357"/>
      <c r="B357"/>
      <c r="C357"/>
      <c r="D357"/>
      <c r="E357"/>
      <c r="F357"/>
      <c r="G357"/>
      <c r="H357"/>
    </row>
    <row r="358" spans="1:8" x14ac:dyDescent="0.25">
      <c r="A358"/>
      <c r="B358"/>
      <c r="C358"/>
      <c r="D358"/>
      <c r="E358"/>
      <c r="F358"/>
      <c r="G358"/>
      <c r="H358"/>
    </row>
    <row r="359" spans="1:8" x14ac:dyDescent="0.25">
      <c r="A359"/>
      <c r="B359"/>
      <c r="C359"/>
      <c r="D359"/>
      <c r="E359"/>
      <c r="F359"/>
      <c r="G359"/>
      <c r="H359"/>
    </row>
    <row r="360" spans="1:8" x14ac:dyDescent="0.25">
      <c r="A360"/>
      <c r="B360"/>
      <c r="C360"/>
      <c r="D360"/>
      <c r="E360"/>
      <c r="F360"/>
      <c r="G360"/>
      <c r="H360"/>
    </row>
    <row r="361" spans="1:8" x14ac:dyDescent="0.25">
      <c r="A361"/>
      <c r="B361"/>
      <c r="C361"/>
      <c r="D361"/>
      <c r="E361"/>
      <c r="F361"/>
      <c r="G361"/>
      <c r="H361"/>
    </row>
    <row r="362" spans="1:8" x14ac:dyDescent="0.25">
      <c r="A362"/>
      <c r="B362"/>
      <c r="C362"/>
      <c r="D362"/>
      <c r="E362"/>
      <c r="F362"/>
      <c r="G362"/>
      <c r="H362"/>
    </row>
    <row r="363" spans="1:8" x14ac:dyDescent="0.25">
      <c r="A363"/>
      <c r="B363"/>
      <c r="C363"/>
      <c r="D363"/>
      <c r="E363"/>
      <c r="F363"/>
      <c r="G363"/>
      <c r="H363"/>
    </row>
    <row r="364" spans="1:8" x14ac:dyDescent="0.25">
      <c r="A364"/>
      <c r="B364"/>
      <c r="C364"/>
      <c r="D364"/>
      <c r="E364"/>
      <c r="F364"/>
      <c r="G364"/>
      <c r="H364"/>
    </row>
    <row r="365" spans="1:8" x14ac:dyDescent="0.25">
      <c r="A365"/>
      <c r="B365"/>
      <c r="C365"/>
      <c r="D365"/>
      <c r="E365"/>
      <c r="F365"/>
      <c r="G365"/>
      <c r="H365"/>
    </row>
    <row r="366" spans="1:8" x14ac:dyDescent="0.25">
      <c r="A366"/>
      <c r="B366"/>
      <c r="C366"/>
      <c r="D366"/>
      <c r="E366"/>
      <c r="F366"/>
      <c r="G366"/>
      <c r="H366"/>
    </row>
    <row r="367" spans="1:8" x14ac:dyDescent="0.25">
      <c r="A367"/>
      <c r="B367"/>
      <c r="C367"/>
      <c r="D367"/>
      <c r="E367"/>
      <c r="F367"/>
      <c r="G367"/>
      <c r="H367"/>
    </row>
    <row r="368" spans="1:8" x14ac:dyDescent="0.25">
      <c r="A368"/>
      <c r="B368"/>
      <c r="C368"/>
      <c r="D368"/>
      <c r="E368"/>
      <c r="F368"/>
      <c r="G368"/>
      <c r="H368"/>
    </row>
    <row r="369" spans="1:8" x14ac:dyDescent="0.25">
      <c r="A369"/>
      <c r="B369"/>
      <c r="C369"/>
      <c r="D369"/>
      <c r="E369"/>
      <c r="F369"/>
      <c r="G369"/>
      <c r="H369"/>
    </row>
    <row r="370" spans="1:8" x14ac:dyDescent="0.25">
      <c r="A370"/>
      <c r="B370"/>
      <c r="C370"/>
      <c r="D370"/>
      <c r="E370"/>
      <c r="F370"/>
      <c r="G370"/>
      <c r="H370"/>
    </row>
    <row r="371" spans="1:8" x14ac:dyDescent="0.25">
      <c r="A371"/>
      <c r="B371"/>
      <c r="C371"/>
      <c r="D371"/>
      <c r="E371"/>
      <c r="F371"/>
      <c r="G371"/>
      <c r="H371"/>
    </row>
    <row r="372" spans="1:8" x14ac:dyDescent="0.25">
      <c r="A372"/>
      <c r="B372"/>
      <c r="C372"/>
      <c r="D372"/>
      <c r="E372"/>
      <c r="F372"/>
      <c r="G372"/>
      <c r="H372"/>
    </row>
    <row r="373" spans="1:8" x14ac:dyDescent="0.25">
      <c r="A373"/>
      <c r="B373"/>
      <c r="C373"/>
      <c r="D373"/>
      <c r="E373"/>
      <c r="F373"/>
      <c r="G373"/>
      <c r="H373"/>
    </row>
    <row r="374" spans="1:8" x14ac:dyDescent="0.25">
      <c r="A374"/>
      <c r="B374"/>
      <c r="C374"/>
      <c r="D374"/>
      <c r="E374"/>
      <c r="F374"/>
      <c r="G374"/>
      <c r="H374"/>
    </row>
    <row r="375" spans="1:8" x14ac:dyDescent="0.25">
      <c r="A375"/>
      <c r="B375"/>
      <c r="C375"/>
      <c r="D375"/>
      <c r="E375"/>
      <c r="F375"/>
      <c r="G375"/>
      <c r="H375"/>
    </row>
    <row r="376" spans="1:8" x14ac:dyDescent="0.25">
      <c r="A376"/>
      <c r="B376"/>
      <c r="C376"/>
      <c r="D376"/>
      <c r="E376"/>
      <c r="F376"/>
      <c r="G376"/>
      <c r="H376"/>
    </row>
    <row r="377" spans="1:8" x14ac:dyDescent="0.25">
      <c r="A377"/>
      <c r="B377"/>
      <c r="C377"/>
      <c r="D377"/>
      <c r="E377"/>
      <c r="F377"/>
      <c r="G377"/>
      <c r="H377"/>
    </row>
    <row r="378" spans="1:8" x14ac:dyDescent="0.25">
      <c r="A378"/>
      <c r="B378"/>
      <c r="C378"/>
      <c r="D378"/>
      <c r="E378"/>
      <c r="F378"/>
      <c r="G378"/>
      <c r="H378"/>
    </row>
    <row r="379" spans="1:8" x14ac:dyDescent="0.25">
      <c r="A379"/>
      <c r="B379"/>
      <c r="C379"/>
      <c r="D379"/>
      <c r="E379"/>
      <c r="F379"/>
      <c r="G379"/>
      <c r="H379"/>
    </row>
    <row r="380" spans="1:8" x14ac:dyDescent="0.25">
      <c r="A380"/>
      <c r="B380"/>
      <c r="C380"/>
      <c r="D380"/>
      <c r="E380"/>
      <c r="F380"/>
      <c r="G380"/>
      <c r="H380"/>
    </row>
    <row r="381" spans="1:8" x14ac:dyDescent="0.25">
      <c r="A381"/>
      <c r="B381"/>
      <c r="C381"/>
      <c r="D381"/>
      <c r="E381"/>
      <c r="F381"/>
      <c r="G381"/>
      <c r="H381"/>
    </row>
    <row r="382" spans="1:8" x14ac:dyDescent="0.25">
      <c r="A382"/>
      <c r="B382"/>
      <c r="C382"/>
      <c r="D382"/>
      <c r="E382"/>
      <c r="F382"/>
      <c r="G382"/>
      <c r="H382"/>
    </row>
    <row r="383" spans="1:8" x14ac:dyDescent="0.25">
      <c r="A383"/>
      <c r="B383"/>
      <c r="C383"/>
      <c r="D383"/>
      <c r="E383"/>
      <c r="F383"/>
      <c r="G383"/>
      <c r="H383"/>
    </row>
    <row r="384" spans="1:8" x14ac:dyDescent="0.25">
      <c r="A384"/>
      <c r="B384"/>
      <c r="C384"/>
      <c r="D384"/>
      <c r="E384"/>
      <c r="F384"/>
      <c r="G384"/>
      <c r="H384"/>
    </row>
    <row r="385" spans="1:8" x14ac:dyDescent="0.25">
      <c r="A385"/>
      <c r="B385"/>
      <c r="C385"/>
      <c r="D385"/>
      <c r="E385"/>
      <c r="F385"/>
      <c r="G385"/>
      <c r="H385"/>
    </row>
    <row r="386" spans="1:8" x14ac:dyDescent="0.25">
      <c r="A386"/>
      <c r="B386"/>
      <c r="C386"/>
      <c r="D386"/>
      <c r="E386"/>
      <c r="F386"/>
      <c r="G386"/>
      <c r="H386"/>
    </row>
    <row r="387" spans="1:8" x14ac:dyDescent="0.25">
      <c r="A387"/>
      <c r="B387"/>
      <c r="C387"/>
      <c r="D387"/>
      <c r="E387"/>
      <c r="F387"/>
      <c r="G387"/>
      <c r="H387"/>
    </row>
    <row r="388" spans="1:8" x14ac:dyDescent="0.25">
      <c r="A388"/>
      <c r="B388"/>
      <c r="C388"/>
      <c r="D388"/>
      <c r="E388"/>
      <c r="F388"/>
      <c r="G388"/>
      <c r="H388"/>
    </row>
    <row r="389" spans="1:8" x14ac:dyDescent="0.25">
      <c r="A389"/>
      <c r="B389"/>
      <c r="C389"/>
      <c r="D389"/>
      <c r="E389"/>
      <c r="F389"/>
      <c r="G389"/>
      <c r="H389"/>
    </row>
    <row r="390" spans="1:8" x14ac:dyDescent="0.25">
      <c r="A390"/>
      <c r="B390"/>
      <c r="C390"/>
      <c r="D390"/>
      <c r="E390"/>
      <c r="F390"/>
      <c r="G390"/>
      <c r="H390"/>
    </row>
    <row r="391" spans="1:8" x14ac:dyDescent="0.25">
      <c r="A391"/>
      <c r="B391"/>
      <c r="C391"/>
      <c r="D391"/>
      <c r="E391"/>
      <c r="F391"/>
      <c r="G391"/>
      <c r="H391"/>
    </row>
    <row r="392" spans="1:8" x14ac:dyDescent="0.25">
      <c r="A392"/>
      <c r="B392"/>
      <c r="C392"/>
      <c r="D392"/>
      <c r="E392"/>
      <c r="F392"/>
      <c r="G392"/>
      <c r="H392"/>
    </row>
    <row r="393" spans="1:8" x14ac:dyDescent="0.25">
      <c r="A393"/>
      <c r="B393"/>
      <c r="C393"/>
      <c r="D393"/>
      <c r="E393"/>
      <c r="F393"/>
      <c r="G393"/>
      <c r="H393"/>
    </row>
    <row r="394" spans="1:8" x14ac:dyDescent="0.25">
      <c r="A394"/>
      <c r="B394"/>
      <c r="C394"/>
      <c r="D394"/>
      <c r="E394"/>
      <c r="F394"/>
      <c r="G394"/>
      <c r="H394"/>
    </row>
    <row r="395" spans="1:8" x14ac:dyDescent="0.25">
      <c r="A395"/>
      <c r="B395"/>
      <c r="C395"/>
      <c r="D395"/>
      <c r="E395"/>
      <c r="F395"/>
      <c r="G395"/>
      <c r="H395"/>
    </row>
    <row r="396" spans="1:8" x14ac:dyDescent="0.25">
      <c r="A396"/>
      <c r="B396"/>
      <c r="C396"/>
      <c r="D396"/>
      <c r="E396"/>
      <c r="F396"/>
      <c r="G396"/>
      <c r="H396"/>
    </row>
    <row r="397" spans="1:8" x14ac:dyDescent="0.25">
      <c r="A397"/>
      <c r="B397"/>
      <c r="C397"/>
      <c r="D397"/>
      <c r="E397"/>
      <c r="F397"/>
      <c r="G397"/>
      <c r="H397"/>
    </row>
    <row r="398" spans="1:8" x14ac:dyDescent="0.25">
      <c r="A398"/>
      <c r="B398"/>
      <c r="C398"/>
      <c r="D398"/>
      <c r="E398"/>
      <c r="F398"/>
      <c r="G398"/>
      <c r="H398"/>
    </row>
    <row r="399" spans="1:8" x14ac:dyDescent="0.25">
      <c r="A399"/>
      <c r="B399"/>
      <c r="C399"/>
      <c r="D399"/>
      <c r="E399"/>
      <c r="F399"/>
      <c r="G399"/>
      <c r="H399"/>
    </row>
    <row r="400" spans="1:8" x14ac:dyDescent="0.25">
      <c r="A400"/>
      <c r="B400"/>
      <c r="C400"/>
      <c r="D400"/>
      <c r="E400"/>
      <c r="F400"/>
      <c r="G400"/>
      <c r="H400"/>
    </row>
    <row r="401" spans="1:8" x14ac:dyDescent="0.25">
      <c r="A401"/>
      <c r="B401"/>
      <c r="C401"/>
      <c r="D401"/>
      <c r="E401"/>
      <c r="F401"/>
      <c r="G401"/>
      <c r="H401"/>
    </row>
    <row r="402" spans="1:8" x14ac:dyDescent="0.25">
      <c r="A402"/>
      <c r="B402"/>
      <c r="C402"/>
      <c r="D402"/>
      <c r="E402"/>
      <c r="F402"/>
      <c r="G402"/>
      <c r="H402"/>
    </row>
    <row r="403" spans="1:8" x14ac:dyDescent="0.25">
      <c r="A403"/>
      <c r="B403"/>
      <c r="C403"/>
      <c r="D403"/>
      <c r="E403"/>
      <c r="F403"/>
      <c r="G403"/>
      <c r="H403"/>
    </row>
    <row r="404" spans="1:8" x14ac:dyDescent="0.25">
      <c r="A404"/>
      <c r="B404"/>
      <c r="C404"/>
      <c r="D404"/>
      <c r="E404"/>
      <c r="F404"/>
      <c r="G404"/>
      <c r="H404"/>
    </row>
    <row r="405" spans="1:8" x14ac:dyDescent="0.25">
      <c r="A405"/>
      <c r="B405"/>
      <c r="C405"/>
      <c r="D405"/>
      <c r="E405"/>
      <c r="F405"/>
      <c r="G405"/>
      <c r="H405"/>
    </row>
    <row r="406" spans="1:8" x14ac:dyDescent="0.25">
      <c r="A406"/>
      <c r="B406"/>
      <c r="C406"/>
      <c r="D406"/>
      <c r="E406"/>
      <c r="F406"/>
      <c r="G406"/>
      <c r="H406"/>
    </row>
    <row r="407" spans="1:8" x14ac:dyDescent="0.25">
      <c r="A407"/>
      <c r="B407"/>
      <c r="C407"/>
      <c r="D407"/>
      <c r="E407"/>
      <c r="F407"/>
      <c r="G407"/>
      <c r="H407"/>
    </row>
    <row r="408" spans="1:8" x14ac:dyDescent="0.25">
      <c r="A408"/>
      <c r="B408"/>
      <c r="C408"/>
      <c r="D408"/>
      <c r="E408"/>
      <c r="F408"/>
      <c r="G408"/>
      <c r="H408"/>
    </row>
    <row r="409" spans="1:8" x14ac:dyDescent="0.25">
      <c r="A409"/>
      <c r="B409"/>
      <c r="C409"/>
      <c r="D409"/>
      <c r="E409"/>
      <c r="F409"/>
      <c r="G409"/>
      <c r="H409"/>
    </row>
    <row r="410" spans="1:8" x14ac:dyDescent="0.25">
      <c r="A410"/>
      <c r="B410"/>
      <c r="C410"/>
      <c r="D410"/>
      <c r="E410"/>
      <c r="F410"/>
      <c r="G410"/>
      <c r="H410"/>
    </row>
    <row r="411" spans="1:8" x14ac:dyDescent="0.25">
      <c r="A411"/>
      <c r="B411"/>
      <c r="C411"/>
      <c r="D411"/>
      <c r="E411"/>
      <c r="F411"/>
      <c r="G411"/>
      <c r="H411"/>
    </row>
    <row r="412" spans="1:8" x14ac:dyDescent="0.25">
      <c r="A412"/>
      <c r="B412"/>
      <c r="C412"/>
      <c r="D412"/>
      <c r="E412"/>
      <c r="F412"/>
      <c r="G412"/>
      <c r="H412"/>
    </row>
    <row r="413" spans="1:8" x14ac:dyDescent="0.25">
      <c r="A413"/>
      <c r="B413"/>
      <c r="C413"/>
      <c r="D413"/>
      <c r="E413"/>
      <c r="F413"/>
      <c r="G413"/>
      <c r="H413"/>
    </row>
    <row r="414" spans="1:8" x14ac:dyDescent="0.25">
      <c r="A414"/>
      <c r="B414"/>
      <c r="C414"/>
      <c r="D414"/>
      <c r="E414"/>
      <c r="F414"/>
      <c r="G414"/>
      <c r="H414"/>
    </row>
    <row r="415" spans="1:8" x14ac:dyDescent="0.25">
      <c r="A415"/>
      <c r="B415"/>
      <c r="C415"/>
      <c r="D415"/>
      <c r="E415"/>
      <c r="F415"/>
      <c r="G415"/>
      <c r="H415"/>
    </row>
    <row r="416" spans="1:8" x14ac:dyDescent="0.25">
      <c r="A416"/>
      <c r="B416"/>
      <c r="C416"/>
      <c r="D416"/>
      <c r="E416"/>
      <c r="F416"/>
      <c r="G416"/>
      <c r="H416"/>
    </row>
    <row r="417" spans="1:8" x14ac:dyDescent="0.25">
      <c r="A417"/>
      <c r="B417"/>
      <c r="C417"/>
      <c r="D417"/>
      <c r="E417"/>
      <c r="F417"/>
      <c r="G417"/>
      <c r="H417"/>
    </row>
    <row r="418" spans="1:8" x14ac:dyDescent="0.25">
      <c r="A418"/>
      <c r="B418"/>
      <c r="C418"/>
      <c r="D418"/>
      <c r="E418"/>
      <c r="F418"/>
      <c r="G418"/>
      <c r="H418"/>
    </row>
    <row r="419" spans="1:8" x14ac:dyDescent="0.25">
      <c r="A419"/>
      <c r="B419"/>
      <c r="C419"/>
      <c r="D419"/>
      <c r="E419"/>
      <c r="F419"/>
      <c r="G419"/>
      <c r="H419"/>
    </row>
    <row r="420" spans="1:8" x14ac:dyDescent="0.25">
      <c r="A420"/>
      <c r="B420"/>
      <c r="C420"/>
      <c r="D420"/>
      <c r="E420"/>
      <c r="F420"/>
      <c r="G420"/>
      <c r="H420"/>
    </row>
    <row r="421" spans="1:8" x14ac:dyDescent="0.25">
      <c r="A421"/>
      <c r="B421"/>
      <c r="C421"/>
      <c r="D421"/>
      <c r="E421"/>
      <c r="F421"/>
      <c r="G421"/>
      <c r="H421"/>
    </row>
    <row r="422" spans="1:8" x14ac:dyDescent="0.25">
      <c r="A422"/>
      <c r="B422"/>
      <c r="C422"/>
      <c r="D422"/>
      <c r="E422"/>
      <c r="F422"/>
      <c r="G422"/>
      <c r="H422"/>
    </row>
    <row r="423" spans="1:8" x14ac:dyDescent="0.25">
      <c r="A423"/>
      <c r="B423"/>
      <c r="C423"/>
      <c r="D423"/>
      <c r="E423"/>
      <c r="F423"/>
      <c r="G423"/>
      <c r="H423"/>
    </row>
    <row r="424" spans="1:8" x14ac:dyDescent="0.25">
      <c r="A424"/>
      <c r="B424"/>
      <c r="C424"/>
      <c r="D424"/>
      <c r="E424"/>
      <c r="F424"/>
      <c r="G424"/>
      <c r="H424"/>
    </row>
    <row r="425" spans="1:8" x14ac:dyDescent="0.25">
      <c r="A425"/>
      <c r="B425"/>
      <c r="C425"/>
      <c r="D425"/>
      <c r="E425"/>
      <c r="F425"/>
      <c r="G425"/>
      <c r="H425"/>
    </row>
    <row r="426" spans="1:8" x14ac:dyDescent="0.25">
      <c r="A426"/>
      <c r="B426"/>
      <c r="C426"/>
      <c r="D426"/>
      <c r="E426"/>
      <c r="F426"/>
      <c r="G426"/>
      <c r="H426"/>
    </row>
    <row r="427" spans="1:8" x14ac:dyDescent="0.25">
      <c r="A427"/>
      <c r="B427"/>
      <c r="C427"/>
      <c r="D427"/>
      <c r="E427"/>
      <c r="F427"/>
      <c r="G427"/>
      <c r="H427"/>
    </row>
    <row r="428" spans="1:8" x14ac:dyDescent="0.25">
      <c r="A428"/>
      <c r="B428"/>
      <c r="C428"/>
      <c r="D428"/>
      <c r="E428"/>
      <c r="F428"/>
      <c r="G428"/>
      <c r="H428"/>
    </row>
    <row r="429" spans="1:8" x14ac:dyDescent="0.25">
      <c r="A429"/>
      <c r="B429"/>
      <c r="C429"/>
      <c r="D429"/>
      <c r="E429"/>
      <c r="F429"/>
      <c r="G429"/>
      <c r="H429"/>
    </row>
    <row r="430" spans="1:8" x14ac:dyDescent="0.25">
      <c r="A430"/>
      <c r="B430"/>
      <c r="C430"/>
      <c r="D430"/>
      <c r="E430"/>
      <c r="F430"/>
      <c r="G430"/>
      <c r="H430"/>
    </row>
    <row r="431" spans="1:8" x14ac:dyDescent="0.25">
      <c r="A431"/>
      <c r="B431"/>
      <c r="C431"/>
      <c r="D431"/>
      <c r="E431"/>
      <c r="F431"/>
      <c r="G431"/>
      <c r="H431"/>
    </row>
    <row r="432" spans="1:8" x14ac:dyDescent="0.25">
      <c r="A432"/>
      <c r="B432"/>
      <c r="C432"/>
      <c r="D432"/>
      <c r="E432"/>
      <c r="F432"/>
      <c r="G432"/>
      <c r="H432"/>
    </row>
    <row r="433" spans="1:8" x14ac:dyDescent="0.25">
      <c r="A433"/>
      <c r="B433"/>
      <c r="C433"/>
      <c r="D433"/>
      <c r="E433"/>
      <c r="F433"/>
      <c r="G433"/>
      <c r="H433"/>
    </row>
    <row r="434" spans="1:8" x14ac:dyDescent="0.25">
      <c r="A434"/>
      <c r="B434"/>
      <c r="C434"/>
      <c r="D434"/>
      <c r="E434"/>
      <c r="F434"/>
      <c r="G434"/>
      <c r="H434"/>
    </row>
    <row r="435" spans="1:8" x14ac:dyDescent="0.25">
      <c r="A435"/>
      <c r="B435"/>
      <c r="C435"/>
      <c r="D435"/>
      <c r="E435"/>
      <c r="F435"/>
      <c r="G435"/>
      <c r="H435"/>
    </row>
    <row r="436" spans="1:8" x14ac:dyDescent="0.25">
      <c r="A436"/>
      <c r="B436"/>
      <c r="C436"/>
      <c r="D436"/>
      <c r="E436"/>
      <c r="F436"/>
      <c r="G436"/>
      <c r="H436"/>
    </row>
    <row r="437" spans="1:8" x14ac:dyDescent="0.25">
      <c r="A437"/>
      <c r="B437"/>
      <c r="C437"/>
      <c r="D437"/>
      <c r="E437"/>
      <c r="F437"/>
      <c r="G437"/>
      <c r="H437"/>
    </row>
    <row r="438" spans="1:8" x14ac:dyDescent="0.25">
      <c r="A438"/>
      <c r="B438"/>
      <c r="C438"/>
      <c r="D438"/>
      <c r="E438"/>
      <c r="F438"/>
      <c r="G438"/>
      <c r="H438"/>
    </row>
    <row r="439" spans="1:8" x14ac:dyDescent="0.25">
      <c r="A439"/>
      <c r="B439"/>
      <c r="C439"/>
      <c r="D439"/>
      <c r="E439"/>
      <c r="F439"/>
      <c r="G439"/>
      <c r="H439"/>
    </row>
    <row r="440" spans="1:8" x14ac:dyDescent="0.25">
      <c r="A440"/>
      <c r="B440"/>
      <c r="C440"/>
      <c r="D440"/>
      <c r="E440"/>
      <c r="F440"/>
      <c r="G440"/>
      <c r="H440"/>
    </row>
    <row r="441" spans="1:8" x14ac:dyDescent="0.25">
      <c r="A441"/>
      <c r="B441"/>
      <c r="C441"/>
      <c r="D441"/>
      <c r="E441"/>
      <c r="F441"/>
      <c r="G441"/>
      <c r="H441"/>
    </row>
    <row r="442" spans="1:8" x14ac:dyDescent="0.25">
      <c r="A442"/>
      <c r="B442"/>
      <c r="C442"/>
      <c r="D442"/>
      <c r="E442"/>
      <c r="F442"/>
      <c r="G442"/>
      <c r="H442"/>
    </row>
    <row r="443" spans="1:8" x14ac:dyDescent="0.25">
      <c r="A443"/>
      <c r="B443"/>
      <c r="C443"/>
      <c r="D443"/>
      <c r="E443"/>
      <c r="F443"/>
      <c r="G443"/>
      <c r="H443"/>
    </row>
    <row r="444" spans="1:8" x14ac:dyDescent="0.25">
      <c r="A444"/>
      <c r="B444"/>
      <c r="C444"/>
      <c r="D444"/>
      <c r="E444"/>
      <c r="F444"/>
      <c r="G444"/>
      <c r="H444"/>
    </row>
    <row r="445" spans="1:8" x14ac:dyDescent="0.25">
      <c r="A445"/>
      <c r="B445"/>
      <c r="C445"/>
      <c r="D445"/>
      <c r="E445"/>
      <c r="F445"/>
      <c r="G445"/>
      <c r="H445"/>
    </row>
    <row r="446" spans="1:8" x14ac:dyDescent="0.25">
      <c r="A446"/>
      <c r="B446"/>
      <c r="C446"/>
      <c r="D446"/>
      <c r="E446"/>
      <c r="F446"/>
      <c r="G446"/>
      <c r="H446"/>
    </row>
    <row r="447" spans="1:8" x14ac:dyDescent="0.25">
      <c r="A447"/>
      <c r="B447"/>
      <c r="C447"/>
      <c r="D447"/>
      <c r="E447"/>
      <c r="F447"/>
      <c r="G447"/>
      <c r="H447"/>
    </row>
    <row r="448" spans="1:8" x14ac:dyDescent="0.25">
      <c r="A448"/>
      <c r="B448"/>
      <c r="C448"/>
      <c r="D448"/>
      <c r="E448"/>
      <c r="F448"/>
      <c r="G448"/>
      <c r="H448"/>
    </row>
    <row r="449" spans="1:8" x14ac:dyDescent="0.25">
      <c r="A449"/>
      <c r="B449"/>
      <c r="C449"/>
      <c r="D449"/>
      <c r="E449"/>
      <c r="F449"/>
      <c r="G449"/>
      <c r="H449"/>
    </row>
    <row r="450" spans="1:8" x14ac:dyDescent="0.25">
      <c r="A450"/>
      <c r="B450"/>
      <c r="C450"/>
      <c r="D450"/>
      <c r="E450"/>
      <c r="F450"/>
      <c r="G450"/>
      <c r="H450"/>
    </row>
    <row r="451" spans="1:8" x14ac:dyDescent="0.25">
      <c r="A451"/>
      <c r="B451"/>
      <c r="C451"/>
      <c r="D451"/>
      <c r="E451"/>
      <c r="F451"/>
      <c r="G451"/>
      <c r="H451"/>
    </row>
    <row r="452" spans="1:8" x14ac:dyDescent="0.25">
      <c r="A452"/>
      <c r="B452"/>
      <c r="C452"/>
      <c r="D452"/>
      <c r="E452"/>
      <c r="F452"/>
      <c r="G452"/>
      <c r="H452"/>
    </row>
    <row r="453" spans="1:8" x14ac:dyDescent="0.25">
      <c r="A453"/>
      <c r="B453"/>
      <c r="C453"/>
      <c r="D453"/>
      <c r="E453"/>
      <c r="F453"/>
      <c r="G453"/>
      <c r="H453"/>
    </row>
    <row r="454" spans="1:8" x14ac:dyDescent="0.25">
      <c r="A454"/>
      <c r="B454"/>
      <c r="C454"/>
      <c r="D454"/>
      <c r="E454"/>
      <c r="F454"/>
      <c r="G454"/>
      <c r="H454"/>
    </row>
    <row r="455" spans="1:8" x14ac:dyDescent="0.25">
      <c r="A455"/>
      <c r="B455"/>
      <c r="C455"/>
      <c r="D455"/>
      <c r="E455"/>
      <c r="F455"/>
      <c r="G455"/>
      <c r="H455"/>
    </row>
    <row r="456" spans="1:8" x14ac:dyDescent="0.25">
      <c r="A456"/>
      <c r="B456"/>
      <c r="C456"/>
      <c r="D456"/>
      <c r="E456"/>
      <c r="F456"/>
      <c r="G456"/>
      <c r="H456"/>
    </row>
    <row r="457" spans="1:8" x14ac:dyDescent="0.25">
      <c r="A457"/>
      <c r="B457"/>
      <c r="C457"/>
      <c r="D457"/>
      <c r="E457"/>
      <c r="F457"/>
      <c r="G457"/>
      <c r="H457"/>
    </row>
    <row r="458" spans="1:8" x14ac:dyDescent="0.25">
      <c r="A458"/>
      <c r="B458"/>
      <c r="C458"/>
      <c r="D458"/>
      <c r="E458"/>
      <c r="F458"/>
      <c r="G458"/>
      <c r="H458"/>
    </row>
    <row r="459" spans="1:8" x14ac:dyDescent="0.25">
      <c r="A459"/>
      <c r="B459"/>
      <c r="C459"/>
      <c r="D459"/>
      <c r="E459"/>
      <c r="F459"/>
      <c r="G459"/>
      <c r="H459"/>
    </row>
    <row r="460" spans="1:8" x14ac:dyDescent="0.25">
      <c r="A460"/>
      <c r="B460"/>
      <c r="C460"/>
      <c r="D460"/>
      <c r="E460"/>
      <c r="F460"/>
      <c r="G460"/>
      <c r="H460"/>
    </row>
    <row r="461" spans="1:8" x14ac:dyDescent="0.25">
      <c r="A461"/>
      <c r="B461"/>
      <c r="C461"/>
      <c r="D461"/>
      <c r="E461"/>
      <c r="F461"/>
      <c r="G461"/>
      <c r="H461"/>
    </row>
    <row r="462" spans="1:8" x14ac:dyDescent="0.25">
      <c r="A462"/>
      <c r="B462"/>
      <c r="C462"/>
      <c r="D462"/>
      <c r="E462"/>
      <c r="F462"/>
      <c r="G462"/>
      <c r="H462"/>
    </row>
    <row r="463" spans="1:8" x14ac:dyDescent="0.25">
      <c r="A463"/>
      <c r="B463"/>
      <c r="C463"/>
      <c r="D463"/>
      <c r="E463"/>
      <c r="F463"/>
      <c r="G463"/>
      <c r="H463"/>
    </row>
    <row r="464" spans="1:8" x14ac:dyDescent="0.25">
      <c r="A464"/>
      <c r="B464"/>
      <c r="C464"/>
      <c r="D464"/>
      <c r="E464"/>
      <c r="F464"/>
      <c r="G464"/>
      <c r="H464"/>
    </row>
    <row r="465" spans="1:8" x14ac:dyDescent="0.25">
      <c r="A465"/>
      <c r="B465"/>
      <c r="C465"/>
      <c r="D465"/>
      <c r="E465"/>
      <c r="F465"/>
      <c r="G465"/>
      <c r="H465"/>
    </row>
    <row r="466" spans="1:8" x14ac:dyDescent="0.25">
      <c r="A466"/>
      <c r="B466"/>
      <c r="C466"/>
      <c r="D466"/>
      <c r="E466"/>
      <c r="F466"/>
      <c r="G466"/>
      <c r="H466"/>
    </row>
    <row r="467" spans="1:8" x14ac:dyDescent="0.25">
      <c r="A467"/>
      <c r="B467"/>
      <c r="C467"/>
      <c r="D467"/>
      <c r="E467"/>
      <c r="F467"/>
      <c r="G467"/>
      <c r="H467"/>
    </row>
    <row r="468" spans="1:8" x14ac:dyDescent="0.25">
      <c r="A468"/>
      <c r="B468"/>
      <c r="C468"/>
      <c r="D468"/>
      <c r="E468"/>
      <c r="F468"/>
      <c r="G468"/>
      <c r="H468"/>
    </row>
    <row r="469" spans="1:8" x14ac:dyDescent="0.25">
      <c r="A469"/>
      <c r="B469"/>
      <c r="C469"/>
      <c r="D469"/>
      <c r="E469"/>
      <c r="F469"/>
      <c r="G469"/>
      <c r="H469"/>
    </row>
    <row r="470" spans="1:8" x14ac:dyDescent="0.25">
      <c r="A470"/>
      <c r="B470"/>
      <c r="C470"/>
      <c r="D470"/>
      <c r="E470"/>
      <c r="F470"/>
      <c r="G470"/>
      <c r="H470"/>
    </row>
    <row r="471" spans="1:8" x14ac:dyDescent="0.25">
      <c r="A471"/>
      <c r="B471"/>
      <c r="C471"/>
      <c r="D471"/>
      <c r="E471"/>
      <c r="F471"/>
      <c r="G471"/>
      <c r="H471"/>
    </row>
    <row r="472" spans="1:8" x14ac:dyDescent="0.25">
      <c r="A472"/>
      <c r="B472"/>
      <c r="C472"/>
      <c r="D472"/>
      <c r="E472"/>
      <c r="F472"/>
      <c r="G472"/>
      <c r="H472"/>
    </row>
    <row r="473" spans="1:8" x14ac:dyDescent="0.25">
      <c r="A473"/>
      <c r="B473"/>
      <c r="C473"/>
      <c r="D473"/>
      <c r="E473"/>
      <c r="F473"/>
      <c r="G473"/>
      <c r="H473"/>
    </row>
    <row r="474" spans="1:8" x14ac:dyDescent="0.25">
      <c r="A474"/>
      <c r="B474"/>
      <c r="C474"/>
      <c r="D474"/>
      <c r="E474"/>
      <c r="F474"/>
      <c r="G474"/>
      <c r="H474"/>
    </row>
    <row r="475" spans="1:8" x14ac:dyDescent="0.25">
      <c r="A475"/>
      <c r="B475"/>
      <c r="C475"/>
      <c r="D475"/>
      <c r="E475"/>
      <c r="F475"/>
      <c r="G475"/>
      <c r="H475"/>
    </row>
    <row r="476" spans="1:8" x14ac:dyDescent="0.25">
      <c r="A476"/>
      <c r="B476"/>
      <c r="C476"/>
      <c r="D476"/>
      <c r="E476"/>
      <c r="F476"/>
      <c r="G476"/>
      <c r="H476"/>
    </row>
    <row r="477" spans="1:8" x14ac:dyDescent="0.25">
      <c r="A477"/>
      <c r="B477"/>
      <c r="C477"/>
      <c r="D477"/>
      <c r="E477"/>
      <c r="F477"/>
      <c r="G477"/>
      <c r="H477"/>
    </row>
    <row r="478" spans="1:8" x14ac:dyDescent="0.25">
      <c r="A478"/>
      <c r="B478"/>
      <c r="C478"/>
      <c r="D478"/>
      <c r="E478"/>
      <c r="F478"/>
      <c r="G478"/>
      <c r="H478"/>
    </row>
    <row r="479" spans="1:8" x14ac:dyDescent="0.25">
      <c r="A479"/>
      <c r="B479"/>
      <c r="C479"/>
      <c r="D479"/>
      <c r="E479"/>
      <c r="F479"/>
      <c r="G479"/>
      <c r="H479"/>
    </row>
    <row r="480" spans="1:8" x14ac:dyDescent="0.25">
      <c r="A480"/>
      <c r="B480"/>
      <c r="C480"/>
      <c r="D480"/>
      <c r="E480"/>
      <c r="F480"/>
      <c r="G480"/>
      <c r="H480"/>
    </row>
    <row r="481" spans="1:8" x14ac:dyDescent="0.25">
      <c r="A481"/>
      <c r="B481"/>
      <c r="C481"/>
      <c r="D481"/>
      <c r="E481"/>
      <c r="F481"/>
      <c r="G481"/>
      <c r="H481"/>
    </row>
    <row r="482" spans="1:8" x14ac:dyDescent="0.25">
      <c r="A482"/>
      <c r="B482"/>
      <c r="C482"/>
      <c r="D482"/>
      <c r="E482"/>
      <c r="F482"/>
      <c r="G482"/>
      <c r="H482"/>
    </row>
    <row r="483" spans="1:8" x14ac:dyDescent="0.25">
      <c r="A483"/>
      <c r="B483"/>
      <c r="C483"/>
      <c r="D483"/>
      <c r="E483"/>
      <c r="F483"/>
      <c r="G483"/>
      <c r="H483"/>
    </row>
    <row r="484" spans="1:8" x14ac:dyDescent="0.25">
      <c r="A484"/>
      <c r="B484"/>
      <c r="C484"/>
      <c r="D484"/>
      <c r="E484"/>
      <c r="F484"/>
      <c r="G484"/>
      <c r="H484"/>
    </row>
    <row r="485" spans="1:8" x14ac:dyDescent="0.25">
      <c r="A485"/>
      <c r="B485"/>
      <c r="C485"/>
      <c r="D485"/>
      <c r="E485"/>
      <c r="F485"/>
      <c r="G485"/>
      <c r="H485"/>
    </row>
    <row r="486" spans="1:8" x14ac:dyDescent="0.25">
      <c r="A486"/>
      <c r="B486"/>
      <c r="C486"/>
      <c r="D486"/>
      <c r="E486"/>
      <c r="F486"/>
      <c r="G486"/>
      <c r="H486"/>
    </row>
    <row r="487" spans="1:8" x14ac:dyDescent="0.25">
      <c r="A487"/>
      <c r="B487"/>
      <c r="C487"/>
      <c r="D487"/>
      <c r="E487"/>
      <c r="F487"/>
      <c r="G487"/>
      <c r="H487"/>
    </row>
    <row r="488" spans="1:8" x14ac:dyDescent="0.25">
      <c r="A488"/>
      <c r="B488"/>
      <c r="C488"/>
      <c r="D488"/>
      <c r="E488"/>
      <c r="F488"/>
      <c r="G488"/>
      <c r="H488"/>
    </row>
    <row r="489" spans="1:8" x14ac:dyDescent="0.25">
      <c r="A489"/>
      <c r="B489"/>
      <c r="C489"/>
      <c r="D489"/>
      <c r="E489"/>
      <c r="F489"/>
      <c r="G489"/>
      <c r="H489"/>
    </row>
    <row r="490" spans="1:8" x14ac:dyDescent="0.25">
      <c r="A490"/>
      <c r="B490"/>
      <c r="C490"/>
      <c r="D490"/>
      <c r="E490"/>
      <c r="F490"/>
      <c r="G490"/>
      <c r="H490"/>
    </row>
    <row r="491" spans="1:8" x14ac:dyDescent="0.25">
      <c r="A491"/>
      <c r="B491"/>
      <c r="C491"/>
      <c r="D491"/>
      <c r="E491"/>
      <c r="F491"/>
      <c r="G491"/>
      <c r="H491"/>
    </row>
    <row r="492" spans="1:8" x14ac:dyDescent="0.25">
      <c r="A492"/>
      <c r="B492"/>
      <c r="C492"/>
      <c r="D492"/>
      <c r="E492"/>
      <c r="F492"/>
      <c r="G492"/>
      <c r="H492"/>
    </row>
    <row r="493" spans="1:8" x14ac:dyDescent="0.25">
      <c r="A493"/>
      <c r="B493"/>
      <c r="C493"/>
      <c r="D493"/>
      <c r="E493"/>
      <c r="F493"/>
      <c r="G493"/>
      <c r="H493"/>
    </row>
    <row r="494" spans="1:8" x14ac:dyDescent="0.25">
      <c r="A494"/>
      <c r="B494"/>
      <c r="C494"/>
      <c r="D494"/>
      <c r="E494"/>
      <c r="F494"/>
      <c r="G494"/>
      <c r="H494"/>
    </row>
    <row r="495" spans="1:8" x14ac:dyDescent="0.25">
      <c r="A495"/>
      <c r="B495"/>
      <c r="C495"/>
      <c r="D495"/>
      <c r="E495"/>
      <c r="F495"/>
      <c r="G495"/>
      <c r="H495"/>
    </row>
    <row r="496" spans="1:8" x14ac:dyDescent="0.25">
      <c r="A496"/>
      <c r="B496"/>
      <c r="C496"/>
      <c r="D496"/>
      <c r="E496"/>
      <c r="F496"/>
      <c r="G496"/>
      <c r="H496"/>
    </row>
    <row r="497" spans="1:8" x14ac:dyDescent="0.25">
      <c r="A497"/>
      <c r="B497"/>
      <c r="C497"/>
      <c r="D497"/>
      <c r="E497"/>
      <c r="F497"/>
      <c r="G497"/>
      <c r="H497"/>
    </row>
    <row r="498" spans="1:8" x14ac:dyDescent="0.25">
      <c r="A498"/>
      <c r="B498"/>
      <c r="C498"/>
      <c r="D498"/>
      <c r="E498"/>
      <c r="F498"/>
      <c r="G498"/>
      <c r="H498"/>
    </row>
    <row r="499" spans="1:8" x14ac:dyDescent="0.25">
      <c r="A499"/>
      <c r="B499"/>
      <c r="C499"/>
      <c r="D499"/>
      <c r="E499"/>
      <c r="F499"/>
      <c r="G499"/>
      <c r="H499"/>
    </row>
    <row r="500" spans="1:8" x14ac:dyDescent="0.25">
      <c r="A500"/>
      <c r="B500"/>
      <c r="C500"/>
      <c r="D500"/>
      <c r="E500"/>
      <c r="F500"/>
      <c r="G500"/>
      <c r="H500"/>
    </row>
    <row r="501" spans="1:8" x14ac:dyDescent="0.25">
      <c r="A501"/>
      <c r="B501"/>
      <c r="C501"/>
      <c r="D501"/>
      <c r="E501"/>
      <c r="F501"/>
      <c r="G501"/>
      <c r="H501"/>
    </row>
    <row r="502" spans="1:8" x14ac:dyDescent="0.25">
      <c r="A502"/>
      <c r="B502"/>
      <c r="C502"/>
      <c r="D502"/>
      <c r="E502"/>
      <c r="F502"/>
      <c r="G502"/>
      <c r="H502"/>
    </row>
    <row r="503" spans="1:8" x14ac:dyDescent="0.25">
      <c r="A503"/>
      <c r="B503"/>
      <c r="C503"/>
      <c r="D503"/>
      <c r="E503"/>
      <c r="F503"/>
      <c r="G503"/>
      <c r="H503"/>
    </row>
    <row r="504" spans="1:8" x14ac:dyDescent="0.25">
      <c r="A504"/>
      <c r="B504"/>
      <c r="C504"/>
      <c r="D504"/>
      <c r="E504"/>
      <c r="F504"/>
      <c r="G504"/>
      <c r="H504"/>
    </row>
    <row r="505" spans="1:8" x14ac:dyDescent="0.25">
      <c r="A505"/>
      <c r="B505"/>
      <c r="C505"/>
      <c r="D505"/>
      <c r="E505"/>
      <c r="F505"/>
      <c r="G505"/>
      <c r="H505"/>
    </row>
    <row r="506" spans="1:8" x14ac:dyDescent="0.25">
      <c r="A506"/>
      <c r="B506"/>
      <c r="C506"/>
      <c r="D506"/>
      <c r="E506"/>
      <c r="F506"/>
      <c r="G506"/>
      <c r="H506"/>
    </row>
    <row r="507" spans="1:8" x14ac:dyDescent="0.25">
      <c r="A507"/>
      <c r="B507"/>
      <c r="C507"/>
      <c r="D507"/>
      <c r="E507"/>
      <c r="F507"/>
      <c r="G507"/>
      <c r="H507"/>
    </row>
    <row r="508" spans="1:8" x14ac:dyDescent="0.25">
      <c r="A508"/>
      <c r="B508"/>
      <c r="C508"/>
      <c r="D508"/>
      <c r="E508"/>
      <c r="F508"/>
      <c r="G508"/>
      <c r="H508"/>
    </row>
    <row r="509" spans="1:8" x14ac:dyDescent="0.25">
      <c r="A509"/>
      <c r="B509"/>
      <c r="C509"/>
      <c r="D509"/>
      <c r="E509"/>
      <c r="F509"/>
      <c r="G509"/>
      <c r="H509"/>
    </row>
    <row r="510" spans="1:8" x14ac:dyDescent="0.25">
      <c r="A510"/>
      <c r="B510"/>
      <c r="C510"/>
      <c r="D510"/>
      <c r="E510"/>
      <c r="F510"/>
      <c r="G510"/>
      <c r="H510"/>
    </row>
    <row r="511" spans="1:8" x14ac:dyDescent="0.25">
      <c r="A511"/>
      <c r="B511"/>
      <c r="C511"/>
      <c r="D511"/>
      <c r="E511"/>
      <c r="F511"/>
      <c r="G511"/>
      <c r="H511"/>
    </row>
    <row r="512" spans="1:8" x14ac:dyDescent="0.25">
      <c r="A512"/>
      <c r="B512"/>
      <c r="C512"/>
      <c r="D512"/>
      <c r="E512"/>
      <c r="F512"/>
      <c r="G512"/>
      <c r="H512"/>
    </row>
    <row r="513" spans="1:8" x14ac:dyDescent="0.25">
      <c r="A513"/>
      <c r="B513"/>
      <c r="C513"/>
      <c r="D513"/>
      <c r="E513"/>
      <c r="F513"/>
      <c r="G513"/>
      <c r="H513"/>
    </row>
    <row r="514" spans="1:8" x14ac:dyDescent="0.25">
      <c r="A514"/>
      <c r="B514"/>
      <c r="C514"/>
      <c r="D514"/>
      <c r="E514"/>
      <c r="F514"/>
      <c r="G514"/>
      <c r="H514"/>
    </row>
    <row r="515" spans="1:8" x14ac:dyDescent="0.25">
      <c r="A515"/>
      <c r="B515"/>
      <c r="C515"/>
      <c r="D515"/>
      <c r="E515"/>
      <c r="F515"/>
      <c r="G515"/>
      <c r="H515"/>
    </row>
    <row r="516" spans="1:8" x14ac:dyDescent="0.25">
      <c r="A516"/>
      <c r="B516"/>
      <c r="C516"/>
      <c r="D516"/>
      <c r="E516"/>
      <c r="F516"/>
      <c r="G516"/>
      <c r="H516"/>
    </row>
    <row r="517" spans="1:8" x14ac:dyDescent="0.25">
      <c r="A517"/>
      <c r="B517"/>
      <c r="C517"/>
      <c r="D517"/>
      <c r="E517"/>
      <c r="F517"/>
      <c r="G517"/>
      <c r="H517"/>
    </row>
    <row r="518" spans="1:8" x14ac:dyDescent="0.25">
      <c r="A518"/>
      <c r="B518"/>
      <c r="C518"/>
      <c r="D518"/>
      <c r="E518"/>
      <c r="F518"/>
      <c r="G518"/>
      <c r="H518"/>
    </row>
    <row r="519" spans="1:8" x14ac:dyDescent="0.25">
      <c r="A519"/>
      <c r="B519"/>
      <c r="C519"/>
      <c r="D519"/>
      <c r="E519"/>
      <c r="F519"/>
      <c r="G519"/>
      <c r="H519"/>
    </row>
    <row r="520" spans="1:8" x14ac:dyDescent="0.25">
      <c r="A520"/>
      <c r="B520"/>
      <c r="C520"/>
      <c r="D520"/>
      <c r="E520"/>
      <c r="F520"/>
      <c r="G520"/>
      <c r="H520"/>
    </row>
    <row r="521" spans="1:8" x14ac:dyDescent="0.25">
      <c r="A521"/>
      <c r="B521"/>
      <c r="C521"/>
      <c r="D521"/>
      <c r="E521"/>
      <c r="F521"/>
      <c r="G521"/>
      <c r="H521"/>
    </row>
    <row r="522" spans="1:8" x14ac:dyDescent="0.25">
      <c r="A522"/>
      <c r="B522"/>
      <c r="C522"/>
      <c r="D522"/>
      <c r="E522"/>
      <c r="F522"/>
      <c r="G522"/>
      <c r="H522"/>
    </row>
    <row r="523" spans="1:8" x14ac:dyDescent="0.25">
      <c r="A523"/>
      <c r="B523"/>
      <c r="C523"/>
      <c r="D523"/>
      <c r="E523"/>
      <c r="F523"/>
      <c r="G523"/>
      <c r="H523"/>
    </row>
    <row r="524" spans="1:8" x14ac:dyDescent="0.25">
      <c r="A524"/>
      <c r="B524"/>
      <c r="C524"/>
      <c r="D524"/>
      <c r="E524"/>
      <c r="F524"/>
      <c r="G524"/>
      <c r="H524"/>
    </row>
    <row r="525" spans="1:8" x14ac:dyDescent="0.25">
      <c r="A525"/>
      <c r="B525"/>
      <c r="C525"/>
      <c r="D525"/>
      <c r="E525"/>
      <c r="F525"/>
      <c r="G525"/>
      <c r="H525"/>
    </row>
    <row r="526" spans="1:8" x14ac:dyDescent="0.25">
      <c r="A526"/>
      <c r="B526"/>
      <c r="C526"/>
      <c r="D526"/>
      <c r="E526"/>
      <c r="F526"/>
      <c r="G526"/>
      <c r="H526"/>
    </row>
    <row r="527" spans="1:8" x14ac:dyDescent="0.25">
      <c r="A527"/>
      <c r="B527"/>
      <c r="C527"/>
      <c r="D527"/>
      <c r="E527"/>
      <c r="F527"/>
      <c r="G527"/>
      <c r="H527"/>
    </row>
    <row r="528" spans="1:8" x14ac:dyDescent="0.25">
      <c r="A528"/>
      <c r="B528"/>
      <c r="C528"/>
      <c r="D528"/>
      <c r="E528"/>
      <c r="F528"/>
      <c r="G528"/>
      <c r="H528"/>
    </row>
    <row r="529" spans="1:8" x14ac:dyDescent="0.25">
      <c r="A529"/>
      <c r="B529"/>
      <c r="C529"/>
      <c r="D529"/>
      <c r="E529"/>
      <c r="F529"/>
      <c r="G529"/>
      <c r="H529"/>
    </row>
    <row r="530" spans="1:8" x14ac:dyDescent="0.25">
      <c r="A530"/>
      <c r="B530"/>
      <c r="C530"/>
      <c r="D530"/>
      <c r="E530"/>
      <c r="F530"/>
      <c r="G530"/>
      <c r="H530"/>
    </row>
    <row r="531" spans="1:8" x14ac:dyDescent="0.25">
      <c r="A531"/>
      <c r="B531"/>
      <c r="C531"/>
      <c r="D531"/>
      <c r="E531"/>
      <c r="F531"/>
      <c r="G531"/>
      <c r="H531"/>
    </row>
    <row r="532" spans="1:8" x14ac:dyDescent="0.25">
      <c r="A532"/>
      <c r="B532"/>
      <c r="C532"/>
      <c r="D532"/>
      <c r="E532"/>
      <c r="F532"/>
      <c r="G532"/>
      <c r="H532"/>
    </row>
    <row r="533" spans="1:8" x14ac:dyDescent="0.25">
      <c r="A533"/>
      <c r="B533"/>
      <c r="C533"/>
      <c r="D533"/>
      <c r="E533"/>
      <c r="F533"/>
      <c r="G533"/>
      <c r="H533"/>
    </row>
    <row r="534" spans="1:8" x14ac:dyDescent="0.25">
      <c r="A534"/>
      <c r="B534"/>
      <c r="C534"/>
      <c r="D534"/>
      <c r="E534"/>
      <c r="F534"/>
      <c r="G534"/>
      <c r="H534"/>
    </row>
    <row r="535" spans="1:8" x14ac:dyDescent="0.25">
      <c r="A535"/>
      <c r="B535"/>
      <c r="C535"/>
      <c r="D535"/>
      <c r="E535"/>
      <c r="F535"/>
      <c r="G535"/>
      <c r="H535"/>
    </row>
    <row r="536" spans="1:8" x14ac:dyDescent="0.25">
      <c r="A536"/>
      <c r="B536"/>
      <c r="C536"/>
      <c r="D536"/>
      <c r="E536"/>
      <c r="F536"/>
      <c r="G536"/>
      <c r="H536"/>
    </row>
    <row r="537" spans="1:8" x14ac:dyDescent="0.25">
      <c r="A537"/>
      <c r="B537"/>
      <c r="C537"/>
      <c r="D537"/>
      <c r="E537"/>
      <c r="F537"/>
      <c r="G537"/>
      <c r="H537"/>
    </row>
    <row r="538" spans="1:8" x14ac:dyDescent="0.25">
      <c r="A538"/>
      <c r="B538"/>
      <c r="C538"/>
      <c r="D538"/>
      <c r="E538"/>
      <c r="F538"/>
      <c r="G538"/>
      <c r="H538"/>
    </row>
    <row r="539" spans="1:8" x14ac:dyDescent="0.25">
      <c r="A539"/>
      <c r="B539"/>
      <c r="C539"/>
      <c r="D539"/>
      <c r="E539"/>
      <c r="F539"/>
      <c r="G539"/>
      <c r="H539"/>
    </row>
    <row r="540" spans="1:8" x14ac:dyDescent="0.25">
      <c r="A540"/>
      <c r="B540"/>
      <c r="C540"/>
      <c r="D540"/>
      <c r="E540"/>
      <c r="F540"/>
      <c r="G540"/>
      <c r="H540"/>
    </row>
    <row r="541" spans="1:8" x14ac:dyDescent="0.25">
      <c r="A541"/>
      <c r="B541"/>
      <c r="C541"/>
      <c r="D541"/>
      <c r="E541"/>
      <c r="F541"/>
      <c r="G541"/>
      <c r="H541"/>
    </row>
    <row r="542" spans="1:8" x14ac:dyDescent="0.25">
      <c r="A542"/>
      <c r="B542"/>
      <c r="C542"/>
      <c r="D542"/>
      <c r="E542"/>
      <c r="F542"/>
      <c r="G542"/>
      <c r="H542"/>
    </row>
    <row r="543" spans="1:8" x14ac:dyDescent="0.25">
      <c r="A543"/>
      <c r="B543"/>
      <c r="C543"/>
      <c r="D543"/>
      <c r="E543"/>
      <c r="F543"/>
      <c r="G543"/>
      <c r="H543"/>
    </row>
    <row r="544" spans="1:8" x14ac:dyDescent="0.25">
      <c r="A544"/>
      <c r="B544"/>
      <c r="C544"/>
      <c r="D544"/>
      <c r="E544"/>
      <c r="F544"/>
      <c r="G544"/>
      <c r="H544"/>
    </row>
    <row r="545" spans="1:8" x14ac:dyDescent="0.25">
      <c r="A545"/>
      <c r="B545"/>
      <c r="C545"/>
      <c r="D545"/>
      <c r="E545"/>
      <c r="F545"/>
      <c r="G545"/>
      <c r="H545"/>
    </row>
    <row r="546" spans="1:8" x14ac:dyDescent="0.25">
      <c r="A546"/>
      <c r="B546"/>
      <c r="C546"/>
      <c r="D546"/>
      <c r="E546"/>
      <c r="F546"/>
      <c r="G546"/>
      <c r="H546"/>
    </row>
    <row r="547" spans="1:8" x14ac:dyDescent="0.25">
      <c r="A547"/>
      <c r="B547"/>
      <c r="C547"/>
      <c r="D547"/>
      <c r="E547"/>
      <c r="F547"/>
      <c r="G547"/>
      <c r="H547"/>
    </row>
    <row r="548" spans="1:8" x14ac:dyDescent="0.25">
      <c r="A548"/>
      <c r="B548"/>
      <c r="C548"/>
      <c r="D548"/>
      <c r="E548"/>
      <c r="F548"/>
      <c r="G548"/>
      <c r="H548"/>
    </row>
    <row r="549" spans="1:8" x14ac:dyDescent="0.25">
      <c r="A549"/>
      <c r="B549"/>
      <c r="C549"/>
      <c r="D549"/>
      <c r="E549"/>
      <c r="F549"/>
      <c r="G549"/>
      <c r="H549"/>
    </row>
    <row r="550" spans="1:8" x14ac:dyDescent="0.25">
      <c r="A550"/>
      <c r="B550"/>
      <c r="C550"/>
      <c r="D550"/>
      <c r="E550"/>
      <c r="F550"/>
      <c r="G550"/>
      <c r="H550"/>
    </row>
    <row r="551" spans="1:8" x14ac:dyDescent="0.25">
      <c r="A551"/>
      <c r="B551"/>
      <c r="C551"/>
      <c r="D551"/>
      <c r="E551"/>
      <c r="F551"/>
      <c r="G551"/>
      <c r="H551"/>
    </row>
    <row r="552" spans="1:8" x14ac:dyDescent="0.25">
      <c r="A552"/>
      <c r="B552"/>
      <c r="C552"/>
      <c r="D552"/>
      <c r="E552"/>
      <c r="F552"/>
      <c r="G552"/>
      <c r="H552"/>
    </row>
    <row r="553" spans="1:8" x14ac:dyDescent="0.25">
      <c r="A553"/>
      <c r="B553"/>
      <c r="C553"/>
      <c r="D553"/>
      <c r="E553"/>
      <c r="F553"/>
      <c r="G553"/>
      <c r="H553"/>
    </row>
    <row r="554" spans="1:8" x14ac:dyDescent="0.25">
      <c r="A554"/>
      <c r="B554"/>
      <c r="C554"/>
      <c r="D554"/>
      <c r="E554"/>
      <c r="F554"/>
      <c r="G554"/>
      <c r="H554"/>
    </row>
    <row r="555" spans="1:8" x14ac:dyDescent="0.25">
      <c r="A555"/>
      <c r="B555"/>
      <c r="C555"/>
      <c r="D555"/>
      <c r="E555"/>
      <c r="F555"/>
      <c r="G555"/>
      <c r="H555"/>
    </row>
    <row r="556" spans="1:8" x14ac:dyDescent="0.25">
      <c r="A556"/>
      <c r="B556"/>
      <c r="C556"/>
      <c r="D556"/>
      <c r="E556"/>
      <c r="F556"/>
      <c r="G556"/>
      <c r="H556"/>
    </row>
    <row r="557" spans="1:8" x14ac:dyDescent="0.25">
      <c r="A557"/>
      <c r="B557"/>
      <c r="C557"/>
      <c r="D557"/>
      <c r="E557"/>
      <c r="F557"/>
      <c r="G557"/>
      <c r="H557"/>
    </row>
    <row r="558" spans="1:8" x14ac:dyDescent="0.25">
      <c r="A558"/>
      <c r="B558"/>
      <c r="C558"/>
      <c r="D558"/>
      <c r="E558"/>
      <c r="F558"/>
      <c r="G558"/>
      <c r="H558"/>
    </row>
    <row r="559" spans="1:8" x14ac:dyDescent="0.25">
      <c r="A559"/>
      <c r="B559"/>
      <c r="C559"/>
      <c r="D559"/>
      <c r="E559"/>
      <c r="F559"/>
      <c r="G559"/>
      <c r="H559"/>
    </row>
    <row r="560" spans="1:8" x14ac:dyDescent="0.25">
      <c r="A560"/>
      <c r="B560"/>
      <c r="C560"/>
      <c r="D560"/>
      <c r="E560"/>
      <c r="F560"/>
      <c r="G560"/>
      <c r="H560"/>
    </row>
    <row r="561" spans="1:8" x14ac:dyDescent="0.25">
      <c r="A561"/>
      <c r="B561"/>
      <c r="C561"/>
      <c r="D561"/>
      <c r="E561"/>
      <c r="F561"/>
      <c r="G561"/>
      <c r="H561"/>
    </row>
    <row r="562" spans="1:8" x14ac:dyDescent="0.25">
      <c r="A562"/>
      <c r="B562"/>
      <c r="C562"/>
      <c r="D562"/>
      <c r="E562"/>
      <c r="F562"/>
      <c r="G562"/>
      <c r="H562"/>
    </row>
    <row r="563" spans="1:8" x14ac:dyDescent="0.25">
      <c r="A563"/>
      <c r="B563"/>
      <c r="C563"/>
      <c r="D563"/>
      <c r="E563"/>
      <c r="F563"/>
      <c r="G563"/>
      <c r="H563"/>
    </row>
    <row r="564" spans="1:8" x14ac:dyDescent="0.25">
      <c r="A564"/>
      <c r="B564"/>
      <c r="C564"/>
      <c r="D564"/>
      <c r="E564"/>
      <c r="F564"/>
      <c r="G564"/>
      <c r="H564"/>
    </row>
    <row r="565" spans="1:8" x14ac:dyDescent="0.25">
      <c r="A565"/>
      <c r="B565"/>
      <c r="C565"/>
      <c r="D565"/>
      <c r="E565"/>
      <c r="F565"/>
      <c r="G565"/>
      <c r="H565"/>
    </row>
    <row r="566" spans="1:8" x14ac:dyDescent="0.25">
      <c r="A566"/>
      <c r="B566"/>
      <c r="C566"/>
      <c r="D566"/>
      <c r="E566"/>
      <c r="F566"/>
      <c r="G566"/>
      <c r="H566"/>
    </row>
    <row r="567" spans="1:8" x14ac:dyDescent="0.25">
      <c r="A567"/>
      <c r="B567"/>
      <c r="C567"/>
      <c r="D567"/>
      <c r="E567"/>
      <c r="F567"/>
      <c r="G567"/>
      <c r="H567"/>
    </row>
    <row r="568" spans="1:8" x14ac:dyDescent="0.25">
      <c r="A568"/>
      <c r="B568"/>
      <c r="C568"/>
      <c r="D568"/>
      <c r="E568"/>
      <c r="F568"/>
      <c r="G568"/>
      <c r="H568"/>
    </row>
    <row r="569" spans="1:8" x14ac:dyDescent="0.25">
      <c r="A569"/>
      <c r="B569"/>
      <c r="C569"/>
      <c r="D569"/>
      <c r="E569"/>
      <c r="F569"/>
      <c r="G569"/>
      <c r="H569"/>
    </row>
    <row r="570" spans="1:8" x14ac:dyDescent="0.25">
      <c r="A570"/>
      <c r="B570"/>
      <c r="C570"/>
      <c r="D570"/>
      <c r="E570"/>
      <c r="F570"/>
      <c r="G570"/>
      <c r="H570"/>
    </row>
    <row r="571" spans="1:8" x14ac:dyDescent="0.25">
      <c r="A571"/>
      <c r="B571"/>
      <c r="C571"/>
      <c r="D571"/>
      <c r="E571"/>
      <c r="F571"/>
      <c r="G571"/>
      <c r="H571"/>
    </row>
    <row r="572" spans="1:8" x14ac:dyDescent="0.25">
      <c r="A572"/>
      <c r="B572"/>
      <c r="C572"/>
      <c r="D572"/>
      <c r="E572"/>
      <c r="F572"/>
      <c r="G572"/>
      <c r="H572"/>
    </row>
    <row r="573" spans="1:8" x14ac:dyDescent="0.25">
      <c r="A573"/>
      <c r="B573"/>
      <c r="C573"/>
      <c r="D573"/>
      <c r="E573"/>
      <c r="F573"/>
      <c r="G573"/>
      <c r="H573"/>
    </row>
    <row r="574" spans="1:8" x14ac:dyDescent="0.25">
      <c r="A574"/>
      <c r="B574"/>
      <c r="C574"/>
      <c r="D574"/>
      <c r="E574"/>
      <c r="F574"/>
      <c r="G574"/>
      <c r="H574"/>
    </row>
    <row r="575" spans="1:8" x14ac:dyDescent="0.25">
      <c r="A575"/>
      <c r="B575"/>
      <c r="C575"/>
      <c r="D575"/>
      <c r="E575"/>
      <c r="F575"/>
      <c r="G575"/>
      <c r="H575"/>
    </row>
    <row r="576" spans="1:8" x14ac:dyDescent="0.25">
      <c r="A576"/>
      <c r="B576"/>
      <c r="C576"/>
      <c r="D576"/>
      <c r="E576"/>
      <c r="F576"/>
      <c r="G576"/>
      <c r="H576"/>
    </row>
    <row r="577" spans="1:8" x14ac:dyDescent="0.25">
      <c r="A577"/>
      <c r="B577"/>
      <c r="C577"/>
      <c r="D577"/>
      <c r="E577"/>
      <c r="F577"/>
      <c r="G577"/>
      <c r="H577"/>
    </row>
    <row r="578" spans="1:8" x14ac:dyDescent="0.25">
      <c r="A578"/>
      <c r="B578"/>
      <c r="C578"/>
      <c r="D578"/>
      <c r="E578"/>
      <c r="F578"/>
      <c r="G578"/>
      <c r="H578"/>
    </row>
    <row r="579" spans="1:8" x14ac:dyDescent="0.25">
      <c r="A579"/>
      <c r="B579"/>
      <c r="C579"/>
      <c r="D579"/>
      <c r="E579"/>
      <c r="F579"/>
      <c r="G579"/>
      <c r="H579"/>
    </row>
    <row r="580" spans="1:8" x14ac:dyDescent="0.25">
      <c r="A580"/>
      <c r="B580"/>
      <c r="C580"/>
      <c r="D580"/>
      <c r="E580"/>
      <c r="F580"/>
      <c r="G580"/>
      <c r="H580"/>
    </row>
    <row r="581" spans="1:8" x14ac:dyDescent="0.25">
      <c r="A581"/>
      <c r="B581"/>
      <c r="C581"/>
      <c r="D581"/>
      <c r="E581"/>
      <c r="F581"/>
      <c r="G581"/>
      <c r="H581"/>
    </row>
    <row r="582" spans="1:8" x14ac:dyDescent="0.25">
      <c r="A582"/>
      <c r="B582"/>
      <c r="C582"/>
      <c r="D582"/>
      <c r="E582"/>
      <c r="F582"/>
      <c r="G582"/>
      <c r="H582"/>
    </row>
    <row r="583" spans="1:8" x14ac:dyDescent="0.25">
      <c r="A583"/>
      <c r="B583"/>
      <c r="C583"/>
      <c r="D583"/>
      <c r="E583"/>
      <c r="F583"/>
      <c r="G583"/>
      <c r="H583"/>
    </row>
    <row r="584" spans="1:8" x14ac:dyDescent="0.25">
      <c r="A584"/>
      <c r="B584"/>
      <c r="C584"/>
      <c r="D584"/>
      <c r="E584"/>
      <c r="F584"/>
      <c r="G584"/>
      <c r="H584"/>
    </row>
    <row r="585" spans="1:8" x14ac:dyDescent="0.25">
      <c r="A585"/>
      <c r="B585"/>
      <c r="C585"/>
      <c r="D585"/>
      <c r="E585"/>
      <c r="F585"/>
      <c r="G585"/>
      <c r="H585"/>
    </row>
  </sheetData>
  <sortState ref="A2:H21">
    <sortCondition ref="D2"/>
  </sortState>
  <conditionalFormatting sqref="L2:L46">
    <cfRule type="cellIs" dxfId="10" priority="12" operator="greaterThanOrEqual">
      <formula>90</formula>
    </cfRule>
    <cfRule type="cellIs" dxfId="9" priority="13" operator="between">
      <formula>60</formula>
      <formula>90</formula>
    </cfRule>
    <cfRule type="cellIs" dxfId="8" priority="14" operator="between">
      <formula>30</formula>
      <formula>60</formula>
    </cfRule>
    <cfRule type="cellIs" dxfId="7" priority="15" operator="between">
      <formula>2</formula>
      <formula>30</formula>
    </cfRule>
    <cfRule type="cellIs" dxfId="6" priority="16" operator="equal">
      <formula>1</formula>
    </cfRule>
  </conditionalFormatting>
  <conditionalFormatting sqref="H2:I2 G21:G46 G3:I3 G4:H20 I4:I46 J2:J46 E2:F2 F3:F21 E3:E76">
    <cfRule type="expression" dxfId="5" priority="4">
      <formula>"""=SI(B2=""etching"";""1"""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 macro="[0]!nono">
                <anchor moveWithCells="1">
                  <from>
                    <xdr:col>11</xdr:col>
                    <xdr:colOff>171450</xdr:colOff>
                    <xdr:row>47</xdr:row>
                    <xdr:rowOff>200025</xdr:rowOff>
                  </from>
                  <to>
                    <xdr:col>11</xdr:col>
                    <xdr:colOff>1028700</xdr:colOff>
                    <xdr:row>50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L76"/>
  <sheetViews>
    <sheetView zoomScale="60" zoomScaleNormal="60" workbookViewId="0">
      <selection activeCell="Y58" sqref="Y58"/>
    </sheetView>
  </sheetViews>
  <sheetFormatPr defaultRowHeight="15" x14ac:dyDescent="0.25"/>
  <cols>
    <col min="1" max="1" width="17.140625" customWidth="1"/>
    <col min="2" max="2" width="24.42578125" customWidth="1"/>
    <col min="3" max="3" width="11.7109375" style="62" customWidth="1"/>
    <col min="4" max="4" width="20.42578125" customWidth="1"/>
    <col min="5" max="5" width="13.85546875" customWidth="1"/>
    <col min="6" max="6" width="7.42578125" customWidth="1"/>
    <col min="7" max="7" width="14.7109375" customWidth="1"/>
    <col min="8" max="8" width="14.42578125" customWidth="1"/>
    <col min="9" max="9" width="18.28515625" customWidth="1"/>
    <col min="10" max="10" width="23.7109375" customWidth="1"/>
    <col min="11" max="11" width="14.28515625" customWidth="1"/>
    <col min="12" max="12" width="19.5703125" customWidth="1"/>
  </cols>
  <sheetData>
    <row r="1" spans="1:12" ht="15.75" thickBot="1" x14ac:dyDescent="0.3">
      <c r="A1" s="68" t="s">
        <v>0</v>
      </c>
      <c r="B1" s="69" t="s">
        <v>1</v>
      </c>
      <c r="C1" s="69" t="s">
        <v>70</v>
      </c>
      <c r="D1" s="69" t="s">
        <v>77</v>
      </c>
      <c r="E1" s="70" t="s">
        <v>78</v>
      </c>
      <c r="G1" s="68" t="s">
        <v>77</v>
      </c>
      <c r="H1" s="69" t="s">
        <v>71</v>
      </c>
      <c r="I1" s="69" t="s">
        <v>79</v>
      </c>
      <c r="J1" s="69" t="s">
        <v>80</v>
      </c>
      <c r="K1" s="69" t="s">
        <v>3</v>
      </c>
      <c r="L1" s="55" t="s">
        <v>4</v>
      </c>
    </row>
    <row r="2" spans="1:12" x14ac:dyDescent="0.25">
      <c r="A2" s="71" t="s">
        <v>81</v>
      </c>
      <c r="B2" s="72" t="s">
        <v>23</v>
      </c>
      <c r="C2" s="73">
        <f xml:space="preserve"> 1</f>
        <v>1</v>
      </c>
      <c r="D2" s="74" t="s">
        <v>82</v>
      </c>
      <c r="E2" s="75">
        <f>VALUE(IF(B2="grafity","1",IF(B2="pulled door","1",IF(B2="no ticket","1",IF(B2="revenue dispute","2",IF(B2="sucidial","2",IF(B2="spat","2",IF(B2="etching","2",IF(B2="sleeping vagrant","2",IF(B2="soiled",2,IF(B2="verbal assault","3",IF(B2="aggressive passenger","3",IF(B2="drunk passenger","3",IF(B2="broken window","3",IF(B2="unstable passenger","3",IF(B2="distorbing","3",IF(B2="fight","4",IF(B2="steal","4",IF(B2="indecent exposure","4",IF(B2="physical assault","4",IF(B2="BTP intervention","5",IF(B2="assault with seriously attack","5"))))))))))))))))))))))</f>
        <v>2</v>
      </c>
      <c r="G2" s="76" t="s">
        <v>83</v>
      </c>
      <c r="H2" s="77">
        <f>SUMIF(D:D,"STI - STR",C:C)</f>
        <v>3</v>
      </c>
      <c r="I2" s="78">
        <f>IF(H2&gt;4, 4,H2)+1</f>
        <v>4</v>
      </c>
      <c r="J2" s="79">
        <f t="shared" ref="J2:J45" si="0">IFERROR(AVERAGEIF($D$2:$D$956,G2,$E$2:$E$956),1)</f>
        <v>3.3333333333333335</v>
      </c>
      <c r="K2" s="78">
        <v>3</v>
      </c>
      <c r="L2" s="80">
        <f>I2*J2*K2</f>
        <v>40</v>
      </c>
    </row>
    <row r="3" spans="1:12" x14ac:dyDescent="0.25">
      <c r="A3" s="63" t="s">
        <v>81</v>
      </c>
      <c r="B3" s="13" t="s">
        <v>25</v>
      </c>
      <c r="C3" s="18">
        <f t="shared" ref="C3:C63" si="1" xml:space="preserve"> 1</f>
        <v>1</v>
      </c>
      <c r="D3" s="22" t="s">
        <v>84</v>
      </c>
      <c r="E3" s="64">
        <f t="shared" ref="E3:E63" si="2">VALUE(IF(B3="grafity","1",IF(B3="pulled door","1",IF(B3="no ticket","1",IF(B3="revenue dispute","2",IF(B3="sucidial","2",IF(B3="spat","2",IF(B3="etching","2",IF(B3="sleeping vagrant","2",IF(B3="soiled",2,IF(B3="verbal assault","3",IF(B3="aggressive passenger","3",IF(B3="drunk passenger","3",IF(B3="broken window","3",IF(B3="unstable passenger","3",IF(B3="distorbing","3",IF(B3="fight","4",IF(B3="steal","4",IF(B3="indecent exposure","4",IF(B3="physical assault","4",IF(B3="BTP intervention","5",IF(B3="assault with seriously attack","5"))))))))))))))))))))))</f>
        <v>5</v>
      </c>
      <c r="G3" s="56" t="s">
        <v>85</v>
      </c>
      <c r="H3" s="5">
        <f>SUMIF(D:D,"STR - PDM",C:C)</f>
        <v>1</v>
      </c>
      <c r="I3" s="34">
        <f t="shared" ref="I3:I45" si="3">IF(H3&gt;4, 4,H3)+1</f>
        <v>2</v>
      </c>
      <c r="J3" s="35">
        <f t="shared" si="0"/>
        <v>3</v>
      </c>
      <c r="K3" s="34">
        <v>5</v>
      </c>
      <c r="L3" s="57">
        <f t="shared" ref="L3:L44" si="4">I3*J3*K3</f>
        <v>30</v>
      </c>
    </row>
    <row r="4" spans="1:12" x14ac:dyDescent="0.25">
      <c r="A4" s="63" t="s">
        <v>81</v>
      </c>
      <c r="B4" s="13" t="s">
        <v>17</v>
      </c>
      <c r="C4" s="18">
        <f t="shared" si="1"/>
        <v>1</v>
      </c>
      <c r="D4" s="22" t="s">
        <v>86</v>
      </c>
      <c r="E4" s="64">
        <f t="shared" si="2"/>
        <v>2</v>
      </c>
      <c r="G4" s="56" t="s">
        <v>87</v>
      </c>
      <c r="H4" s="5">
        <f>SUMIF(D:D,"PDM - BOC",C:C)</f>
        <v>0</v>
      </c>
      <c r="I4" s="34">
        <f t="shared" si="3"/>
        <v>1</v>
      </c>
      <c r="J4" s="35">
        <f t="shared" si="0"/>
        <v>1</v>
      </c>
      <c r="K4" s="34">
        <v>1</v>
      </c>
      <c r="L4" s="57">
        <f t="shared" si="4"/>
        <v>1</v>
      </c>
    </row>
    <row r="5" spans="1:12" x14ac:dyDescent="0.25">
      <c r="A5" s="63" t="s">
        <v>81</v>
      </c>
      <c r="B5" s="13" t="s">
        <v>24</v>
      </c>
      <c r="C5" s="18">
        <f t="shared" si="1"/>
        <v>1</v>
      </c>
      <c r="D5" s="22" t="s">
        <v>88</v>
      </c>
      <c r="E5" s="64">
        <f t="shared" si="2"/>
        <v>2</v>
      </c>
      <c r="G5" s="56" t="s">
        <v>89</v>
      </c>
      <c r="H5" s="5">
        <f>SUMIF(D:D,"BOC - DER",C:C)</f>
        <v>5</v>
      </c>
      <c r="I5" s="34">
        <f t="shared" si="3"/>
        <v>5</v>
      </c>
      <c r="J5" s="35">
        <f t="shared" si="0"/>
        <v>3</v>
      </c>
      <c r="K5" s="34">
        <v>2</v>
      </c>
      <c r="L5" s="57">
        <f t="shared" si="4"/>
        <v>30</v>
      </c>
    </row>
    <row r="6" spans="1:12" x14ac:dyDescent="0.25">
      <c r="A6" s="63" t="s">
        <v>81</v>
      </c>
      <c r="B6" s="13" t="s">
        <v>23</v>
      </c>
      <c r="C6" s="18">
        <f t="shared" si="1"/>
        <v>1</v>
      </c>
      <c r="D6" s="22" t="s">
        <v>90</v>
      </c>
      <c r="E6" s="64">
        <f t="shared" si="2"/>
        <v>2</v>
      </c>
      <c r="G6" s="56" t="s">
        <v>91</v>
      </c>
      <c r="H6" s="5">
        <f>SUMIF(D:D,"DER - LAP",C:C)</f>
        <v>0</v>
      </c>
      <c r="I6" s="34">
        <f t="shared" si="3"/>
        <v>1</v>
      </c>
      <c r="J6" s="35">
        <f t="shared" si="0"/>
        <v>1</v>
      </c>
      <c r="K6" s="34">
        <v>1</v>
      </c>
      <c r="L6" s="57">
        <f t="shared" si="4"/>
        <v>1</v>
      </c>
    </row>
    <row r="7" spans="1:12" x14ac:dyDescent="0.25">
      <c r="A7" s="63" t="s">
        <v>81</v>
      </c>
      <c r="B7" s="13" t="s">
        <v>21</v>
      </c>
      <c r="C7" s="18">
        <f t="shared" si="1"/>
        <v>1</v>
      </c>
      <c r="D7" s="22" t="s">
        <v>92</v>
      </c>
      <c r="E7" s="64">
        <f t="shared" si="2"/>
        <v>4</v>
      </c>
      <c r="G7" s="56" t="s">
        <v>93</v>
      </c>
      <c r="H7" s="5">
        <f>SUMIF(D:D,"LAP - ALS",C:C)</f>
        <v>2</v>
      </c>
      <c r="I7" s="34">
        <f t="shared" si="3"/>
        <v>3</v>
      </c>
      <c r="J7" s="35">
        <f t="shared" si="0"/>
        <v>3.5</v>
      </c>
      <c r="K7" s="34">
        <v>3</v>
      </c>
      <c r="L7" s="57">
        <f t="shared" si="4"/>
        <v>31.5</v>
      </c>
    </row>
    <row r="8" spans="1:12" x14ac:dyDescent="0.25">
      <c r="A8" s="63" t="s">
        <v>81</v>
      </c>
      <c r="B8" s="13" t="s">
        <v>21</v>
      </c>
      <c r="C8" s="18">
        <f t="shared" si="1"/>
        <v>1</v>
      </c>
      <c r="D8" s="22" t="s">
        <v>94</v>
      </c>
      <c r="E8" s="64">
        <f t="shared" si="2"/>
        <v>4</v>
      </c>
      <c r="G8" s="58" t="s">
        <v>95</v>
      </c>
      <c r="H8" s="5">
        <f>SUMIF(D:D,"ALS - POP",C:C)</f>
        <v>0</v>
      </c>
      <c r="I8" s="34">
        <f t="shared" si="3"/>
        <v>1</v>
      </c>
      <c r="J8" s="35">
        <f t="shared" si="0"/>
        <v>1</v>
      </c>
      <c r="K8" s="34">
        <v>1</v>
      </c>
      <c r="L8" s="57">
        <f t="shared" si="4"/>
        <v>1</v>
      </c>
    </row>
    <row r="9" spans="1:12" x14ac:dyDescent="0.25">
      <c r="A9" s="63" t="s">
        <v>81</v>
      </c>
      <c r="B9" s="13" t="s">
        <v>25</v>
      </c>
      <c r="C9" s="18">
        <f t="shared" si="1"/>
        <v>1</v>
      </c>
      <c r="D9" s="22" t="s">
        <v>93</v>
      </c>
      <c r="E9" s="64">
        <f t="shared" si="2"/>
        <v>5</v>
      </c>
      <c r="G9" s="56" t="s">
        <v>82</v>
      </c>
      <c r="H9" s="5">
        <f>SUMIF(D:D,"POP - WIQ",C:C)</f>
        <v>3</v>
      </c>
      <c r="I9" s="34">
        <f t="shared" si="3"/>
        <v>4</v>
      </c>
      <c r="J9" s="35">
        <f t="shared" si="0"/>
        <v>2.3333333333333335</v>
      </c>
      <c r="K9" s="34">
        <v>2</v>
      </c>
      <c r="L9" s="57">
        <f t="shared" si="4"/>
        <v>18.666666666666668</v>
      </c>
    </row>
    <row r="10" spans="1:12" x14ac:dyDescent="0.25">
      <c r="A10" s="63" t="s">
        <v>81</v>
      </c>
      <c r="B10" s="13" t="s">
        <v>63</v>
      </c>
      <c r="C10" s="18">
        <f t="shared" si="1"/>
        <v>1</v>
      </c>
      <c r="D10" s="13" t="s">
        <v>96</v>
      </c>
      <c r="E10" s="64">
        <f t="shared" si="2"/>
        <v>3</v>
      </c>
      <c r="G10" s="56" t="s">
        <v>97</v>
      </c>
      <c r="H10" s="5">
        <f>SUMIF(D:D,"WIQ - CAW",C:C)</f>
        <v>1</v>
      </c>
      <c r="I10" s="34">
        <f t="shared" si="3"/>
        <v>2</v>
      </c>
      <c r="J10" s="35">
        <f t="shared" si="0"/>
        <v>4</v>
      </c>
      <c r="K10" s="34">
        <v>2</v>
      </c>
      <c r="L10" s="57">
        <f t="shared" si="4"/>
        <v>16</v>
      </c>
    </row>
    <row r="11" spans="1:12" x14ac:dyDescent="0.25">
      <c r="A11" s="63" t="s">
        <v>81</v>
      </c>
      <c r="B11" s="13" t="s">
        <v>22</v>
      </c>
      <c r="C11" s="18">
        <f t="shared" si="1"/>
        <v>1</v>
      </c>
      <c r="D11" s="22" t="s">
        <v>83</v>
      </c>
      <c r="E11" s="64">
        <f t="shared" si="2"/>
        <v>3</v>
      </c>
      <c r="G11" s="56" t="s">
        <v>98</v>
      </c>
      <c r="H11" s="5">
        <f>SUMIF(D:D,"CAW - HEQ",C:C)</f>
        <v>0</v>
      </c>
      <c r="I11" s="34">
        <f t="shared" si="3"/>
        <v>1</v>
      </c>
      <c r="J11" s="35">
        <f t="shared" si="0"/>
        <v>1</v>
      </c>
      <c r="K11" s="34">
        <v>1</v>
      </c>
      <c r="L11" s="57">
        <f t="shared" si="4"/>
        <v>1</v>
      </c>
    </row>
    <row r="12" spans="1:12" x14ac:dyDescent="0.25">
      <c r="A12" s="63" t="s">
        <v>81</v>
      </c>
      <c r="B12" s="13" t="s">
        <v>61</v>
      </c>
      <c r="C12" s="18">
        <f t="shared" si="1"/>
        <v>1</v>
      </c>
      <c r="D12" s="22" t="s">
        <v>89</v>
      </c>
      <c r="E12" s="64">
        <f t="shared" si="2"/>
        <v>3</v>
      </c>
      <c r="G12" s="56" t="s">
        <v>99</v>
      </c>
      <c r="H12" s="5">
        <f>SUMIF(D:D,"HEQ - SOQ",C:C)</f>
        <v>1</v>
      </c>
      <c r="I12" s="34">
        <f t="shared" si="3"/>
        <v>2</v>
      </c>
      <c r="J12" s="35">
        <f t="shared" si="0"/>
        <v>3</v>
      </c>
      <c r="K12" s="34">
        <v>2</v>
      </c>
      <c r="L12" s="57">
        <f t="shared" si="4"/>
        <v>12</v>
      </c>
    </row>
    <row r="13" spans="1:12" x14ac:dyDescent="0.25">
      <c r="A13" s="63" t="s">
        <v>81</v>
      </c>
      <c r="B13" s="13" t="s">
        <v>18</v>
      </c>
      <c r="C13" s="18">
        <f t="shared" si="1"/>
        <v>1</v>
      </c>
      <c r="D13" s="22" t="s">
        <v>100</v>
      </c>
      <c r="E13" s="64">
        <f t="shared" si="2"/>
        <v>4</v>
      </c>
      <c r="G13" s="56" t="s">
        <v>101</v>
      </c>
      <c r="H13" s="5">
        <f>SUMIF(D:D,"SOQ - CRO",C:C)</f>
        <v>0</v>
      </c>
      <c r="I13" s="34">
        <f t="shared" si="3"/>
        <v>1</v>
      </c>
      <c r="J13" s="35">
        <f t="shared" si="0"/>
        <v>1</v>
      </c>
      <c r="K13" s="34">
        <v>1</v>
      </c>
      <c r="L13" s="57">
        <f t="shared" si="4"/>
        <v>1</v>
      </c>
    </row>
    <row r="14" spans="1:12" x14ac:dyDescent="0.25">
      <c r="A14" s="63" t="s">
        <v>81</v>
      </c>
      <c r="B14" s="13" t="s">
        <v>66</v>
      </c>
      <c r="C14" s="18">
        <f t="shared" si="1"/>
        <v>1</v>
      </c>
      <c r="D14" s="22" t="s">
        <v>102</v>
      </c>
      <c r="E14" s="64">
        <f t="shared" si="2"/>
        <v>4</v>
      </c>
      <c r="G14" s="56" t="s">
        <v>103</v>
      </c>
      <c r="H14" s="5">
        <f>SUMIF(D:D,"CRO - MUD",C:C)</f>
        <v>1</v>
      </c>
      <c r="I14" s="34">
        <f t="shared" si="3"/>
        <v>2</v>
      </c>
      <c r="J14" s="35">
        <f t="shared" si="0"/>
        <v>4</v>
      </c>
      <c r="K14" s="34">
        <v>3</v>
      </c>
      <c r="L14" s="57">
        <f t="shared" si="4"/>
        <v>24</v>
      </c>
    </row>
    <row r="15" spans="1:12" x14ac:dyDescent="0.25">
      <c r="A15" s="63" t="s">
        <v>81</v>
      </c>
      <c r="B15" s="13" t="s">
        <v>61</v>
      </c>
      <c r="C15" s="18">
        <f t="shared" si="1"/>
        <v>1</v>
      </c>
      <c r="D15" s="22" t="s">
        <v>104</v>
      </c>
      <c r="E15" s="64">
        <f t="shared" si="2"/>
        <v>3</v>
      </c>
      <c r="G15" s="56" t="s">
        <v>105</v>
      </c>
      <c r="H15" s="5">
        <f>SUMIF(D:D,"MUD - ISG",C:C)</f>
        <v>0</v>
      </c>
      <c r="I15" s="34">
        <f t="shared" si="3"/>
        <v>1</v>
      </c>
      <c r="J15" s="35">
        <f t="shared" si="0"/>
        <v>1</v>
      </c>
      <c r="K15" s="34">
        <v>1</v>
      </c>
      <c r="L15" s="57">
        <f t="shared" si="4"/>
        <v>1</v>
      </c>
    </row>
    <row r="16" spans="1:12" x14ac:dyDescent="0.25">
      <c r="A16" s="63" t="s">
        <v>81</v>
      </c>
      <c r="B16" s="13" t="s">
        <v>67</v>
      </c>
      <c r="C16" s="18">
        <f t="shared" si="1"/>
        <v>1</v>
      </c>
      <c r="D16" s="22" t="s">
        <v>99</v>
      </c>
      <c r="E16" s="64">
        <f t="shared" si="2"/>
        <v>3</v>
      </c>
      <c r="G16" s="56" t="s">
        <v>106</v>
      </c>
      <c r="H16" s="5">
        <f>SUMIF(D:D,"ISG - CUS",C:C)</f>
        <v>0</v>
      </c>
      <c r="I16" s="34">
        <f t="shared" si="3"/>
        <v>1</v>
      </c>
      <c r="J16" s="35">
        <f t="shared" si="0"/>
        <v>1</v>
      </c>
      <c r="K16" s="34">
        <v>1</v>
      </c>
      <c r="L16" s="57">
        <f t="shared" si="4"/>
        <v>1</v>
      </c>
    </row>
    <row r="17" spans="1:12" x14ac:dyDescent="0.25">
      <c r="A17" s="63" t="s">
        <v>81</v>
      </c>
      <c r="B17" s="13" t="s">
        <v>69</v>
      </c>
      <c r="C17" s="18">
        <f t="shared" si="1"/>
        <v>1</v>
      </c>
      <c r="D17" s="22" t="s">
        <v>107</v>
      </c>
      <c r="E17" s="64">
        <f t="shared" si="2"/>
        <v>3</v>
      </c>
      <c r="G17" s="56" t="s">
        <v>94</v>
      </c>
      <c r="H17" s="5">
        <f>SUMIF(D:D,"CUS - GRE",C:C)</f>
        <v>1</v>
      </c>
      <c r="I17" s="34">
        <f t="shared" si="3"/>
        <v>2</v>
      </c>
      <c r="J17" s="35">
        <f t="shared" si="0"/>
        <v>4</v>
      </c>
      <c r="K17" s="34">
        <v>3</v>
      </c>
      <c r="L17" s="57">
        <f t="shared" si="4"/>
        <v>24</v>
      </c>
    </row>
    <row r="18" spans="1:12" x14ac:dyDescent="0.25">
      <c r="A18" s="63" t="s">
        <v>81</v>
      </c>
      <c r="B18" s="13" t="s">
        <v>64</v>
      </c>
      <c r="C18" s="18">
        <f t="shared" si="1"/>
        <v>1</v>
      </c>
      <c r="D18" s="22" t="s">
        <v>108</v>
      </c>
      <c r="E18" s="64">
        <f t="shared" si="2"/>
        <v>4</v>
      </c>
      <c r="G18" s="56" t="s">
        <v>109</v>
      </c>
      <c r="H18" s="5">
        <f>SUMIF(D:D,"GRE - DEB",C:C)</f>
        <v>1</v>
      </c>
      <c r="I18" s="34">
        <f t="shared" si="3"/>
        <v>2</v>
      </c>
      <c r="J18" s="35">
        <f t="shared" si="0"/>
        <v>5</v>
      </c>
      <c r="K18" s="34">
        <v>2</v>
      </c>
      <c r="L18" s="57">
        <f t="shared" si="4"/>
        <v>20</v>
      </c>
    </row>
    <row r="19" spans="1:12" x14ac:dyDescent="0.25">
      <c r="A19" s="63" t="s">
        <v>81</v>
      </c>
      <c r="B19" s="13" t="s">
        <v>25</v>
      </c>
      <c r="C19" s="18">
        <f t="shared" si="1"/>
        <v>1</v>
      </c>
      <c r="D19" s="22" t="s">
        <v>92</v>
      </c>
      <c r="E19" s="64">
        <f t="shared" si="2"/>
        <v>5</v>
      </c>
      <c r="G19" s="56" t="s">
        <v>110</v>
      </c>
      <c r="H19" s="5">
        <f>SUMIF(D:D,"DEB - ELR",C:C)</f>
        <v>0</v>
      </c>
      <c r="I19" s="34">
        <f t="shared" si="3"/>
        <v>1</v>
      </c>
      <c r="J19" s="35">
        <f t="shared" si="0"/>
        <v>1</v>
      </c>
      <c r="K19" s="34">
        <v>1</v>
      </c>
      <c r="L19" s="57">
        <f t="shared" si="4"/>
        <v>1</v>
      </c>
    </row>
    <row r="20" spans="1:12" x14ac:dyDescent="0.25">
      <c r="A20" s="63" t="s">
        <v>81</v>
      </c>
      <c r="B20" s="13" t="s">
        <v>64</v>
      </c>
      <c r="C20" s="18">
        <f t="shared" si="1"/>
        <v>1</v>
      </c>
      <c r="D20" s="22" t="s">
        <v>111</v>
      </c>
      <c r="E20" s="64">
        <f t="shared" si="2"/>
        <v>4</v>
      </c>
      <c r="G20" s="56" t="s">
        <v>112</v>
      </c>
      <c r="H20" s="5">
        <f>SUMIF(D:D,"ELR - LEW",C:C)</f>
        <v>2</v>
      </c>
      <c r="I20" s="34">
        <f t="shared" si="3"/>
        <v>3</v>
      </c>
      <c r="J20" s="35">
        <f t="shared" si="0"/>
        <v>3</v>
      </c>
      <c r="K20" s="34">
        <v>3</v>
      </c>
      <c r="L20" s="57">
        <f t="shared" si="4"/>
        <v>27</v>
      </c>
    </row>
    <row r="21" spans="1:12" x14ac:dyDescent="0.25">
      <c r="A21" s="63" t="s">
        <v>81</v>
      </c>
      <c r="B21" s="13" t="s">
        <v>61</v>
      </c>
      <c r="C21" s="18">
        <f t="shared" si="1"/>
        <v>1</v>
      </c>
      <c r="D21" s="22" t="s">
        <v>113</v>
      </c>
      <c r="E21" s="64">
        <f t="shared" si="2"/>
        <v>3</v>
      </c>
      <c r="G21" s="56" t="s">
        <v>84</v>
      </c>
      <c r="H21" s="5">
        <f>SUMIF(D:D,"TOG - SHA",C:C)</f>
        <v>7</v>
      </c>
      <c r="I21" s="34">
        <f t="shared" si="3"/>
        <v>5</v>
      </c>
      <c r="J21" s="35">
        <f t="shared" si="0"/>
        <v>3.5714285714285716</v>
      </c>
      <c r="K21" s="34">
        <v>5</v>
      </c>
      <c r="L21" s="57">
        <f t="shared" si="4"/>
        <v>89.285714285714292</v>
      </c>
    </row>
    <row r="22" spans="1:12" x14ac:dyDescent="0.25">
      <c r="A22" s="63" t="s">
        <v>81</v>
      </c>
      <c r="B22" s="13" t="s">
        <v>63</v>
      </c>
      <c r="C22" s="18">
        <f t="shared" si="1"/>
        <v>1</v>
      </c>
      <c r="D22" s="22" t="s">
        <v>86</v>
      </c>
      <c r="E22" s="64">
        <f t="shared" si="2"/>
        <v>3</v>
      </c>
      <c r="G22" s="56" t="s">
        <v>111</v>
      </c>
      <c r="H22" s="5">
        <f>SUMIF(D:D,"BAN - SHA",C:C)</f>
        <v>3</v>
      </c>
      <c r="I22" s="34">
        <f t="shared" si="3"/>
        <v>4</v>
      </c>
      <c r="J22" s="35">
        <f t="shared" si="0"/>
        <v>4.333333333333333</v>
      </c>
      <c r="K22" s="34">
        <v>4</v>
      </c>
      <c r="L22" s="57">
        <f t="shared" si="4"/>
        <v>69.333333333333329</v>
      </c>
    </row>
    <row r="23" spans="1:12" x14ac:dyDescent="0.25">
      <c r="A23" s="63" t="s">
        <v>81</v>
      </c>
      <c r="B23" s="13" t="s">
        <v>23</v>
      </c>
      <c r="C23" s="18">
        <f t="shared" si="1"/>
        <v>1</v>
      </c>
      <c r="D23" s="22" t="s">
        <v>89</v>
      </c>
      <c r="E23" s="64">
        <f t="shared" si="2"/>
        <v>2</v>
      </c>
      <c r="G23" s="56" t="s">
        <v>113</v>
      </c>
      <c r="H23" s="5">
        <f>SUMIF(D:D,"SHA - LIM",C:C)</f>
        <v>2</v>
      </c>
      <c r="I23" s="34">
        <f t="shared" si="3"/>
        <v>3</v>
      </c>
      <c r="J23" s="35">
        <f t="shared" si="0"/>
        <v>2.5</v>
      </c>
      <c r="K23" s="34">
        <v>3</v>
      </c>
      <c r="L23" s="57">
        <f t="shared" si="4"/>
        <v>22.5</v>
      </c>
    </row>
    <row r="24" spans="1:12" x14ac:dyDescent="0.25">
      <c r="A24" s="63" t="s">
        <v>81</v>
      </c>
      <c r="B24" s="13" t="s">
        <v>61</v>
      </c>
      <c r="C24" s="18">
        <f t="shared" si="1"/>
        <v>1</v>
      </c>
      <c r="D24" s="22" t="s">
        <v>85</v>
      </c>
      <c r="E24" s="64">
        <f t="shared" si="2"/>
        <v>3</v>
      </c>
      <c r="G24" s="56" t="s">
        <v>86</v>
      </c>
      <c r="H24" s="5">
        <f>SUMIF(D:D,"LIM - WES",C:C)</f>
        <v>4</v>
      </c>
      <c r="I24" s="34">
        <f t="shared" si="3"/>
        <v>5</v>
      </c>
      <c r="J24" s="35">
        <f t="shared" si="0"/>
        <v>2.5</v>
      </c>
      <c r="K24" s="34">
        <v>3</v>
      </c>
      <c r="L24" s="57">
        <f t="shared" si="4"/>
        <v>37.5</v>
      </c>
    </row>
    <row r="25" spans="1:12" x14ac:dyDescent="0.25">
      <c r="A25" s="63" t="s">
        <v>81</v>
      </c>
      <c r="B25" s="13" t="s">
        <v>17</v>
      </c>
      <c r="C25" s="18">
        <f t="shared" si="1"/>
        <v>1</v>
      </c>
      <c r="D25" s="22" t="s">
        <v>107</v>
      </c>
      <c r="E25" s="64">
        <f t="shared" si="2"/>
        <v>2</v>
      </c>
      <c r="G25" s="56" t="s">
        <v>114</v>
      </c>
      <c r="H25" s="5">
        <f>SUMIF(D:D,"WES - POP",C:C)</f>
        <v>0</v>
      </c>
      <c r="I25" s="34">
        <f t="shared" si="3"/>
        <v>1</v>
      </c>
      <c r="J25" s="35">
        <f t="shared" si="0"/>
        <v>1</v>
      </c>
      <c r="K25" s="34">
        <v>1</v>
      </c>
      <c r="L25" s="57">
        <f t="shared" si="4"/>
        <v>1</v>
      </c>
    </row>
    <row r="26" spans="1:12" x14ac:dyDescent="0.25">
      <c r="A26" s="63" t="s">
        <v>81</v>
      </c>
      <c r="B26" s="13" t="s">
        <v>20</v>
      </c>
      <c r="C26" s="18">
        <f t="shared" si="1"/>
        <v>1</v>
      </c>
      <c r="D26" s="22" t="s">
        <v>82</v>
      </c>
      <c r="E26" s="64">
        <f t="shared" si="2"/>
        <v>1</v>
      </c>
      <c r="G26" s="56" t="s">
        <v>107</v>
      </c>
      <c r="H26" s="5">
        <f>SUMIF(D:D,"POP - BLA",C:C)</f>
        <v>5</v>
      </c>
      <c r="I26" s="34">
        <f t="shared" si="3"/>
        <v>5</v>
      </c>
      <c r="J26" s="35">
        <f t="shared" si="0"/>
        <v>3.2</v>
      </c>
      <c r="K26" s="34">
        <v>3</v>
      </c>
      <c r="L26" s="57">
        <f t="shared" si="4"/>
        <v>48</v>
      </c>
    </row>
    <row r="27" spans="1:12" x14ac:dyDescent="0.25">
      <c r="A27" s="63" t="s">
        <v>81</v>
      </c>
      <c r="B27" s="13" t="s">
        <v>25</v>
      </c>
      <c r="C27" s="18">
        <f t="shared" si="1"/>
        <v>1</v>
      </c>
      <c r="D27" s="22" t="s">
        <v>111</v>
      </c>
      <c r="E27" s="64">
        <f t="shared" si="2"/>
        <v>5</v>
      </c>
      <c r="G27" s="56" t="s">
        <v>104</v>
      </c>
      <c r="H27" s="5">
        <f>SUMIF(D:D,"EAI - CAT",C:C)</f>
        <v>2</v>
      </c>
      <c r="I27" s="34">
        <f t="shared" si="3"/>
        <v>3</v>
      </c>
      <c r="J27" s="35">
        <f t="shared" si="0"/>
        <v>3.5</v>
      </c>
      <c r="K27" s="34">
        <v>3</v>
      </c>
      <c r="L27" s="57">
        <f t="shared" si="4"/>
        <v>31.5</v>
      </c>
    </row>
    <row r="28" spans="1:12" x14ac:dyDescent="0.25">
      <c r="A28" s="63" t="s">
        <v>81</v>
      </c>
      <c r="B28" s="13" t="s">
        <v>21</v>
      </c>
      <c r="C28" s="18">
        <f t="shared" si="1"/>
        <v>1</v>
      </c>
      <c r="D28" s="22" t="s">
        <v>103</v>
      </c>
      <c r="E28" s="64">
        <f t="shared" si="2"/>
        <v>4</v>
      </c>
      <c r="G28" s="56" t="s">
        <v>116</v>
      </c>
      <c r="H28" s="5">
        <f>SUMIF(D:D,"CAT - ROV",C:C)</f>
        <v>1</v>
      </c>
      <c r="I28" s="34">
        <f t="shared" si="3"/>
        <v>2</v>
      </c>
      <c r="J28" s="35">
        <f t="shared" si="0"/>
        <v>3</v>
      </c>
      <c r="K28" s="34">
        <v>2</v>
      </c>
      <c r="L28" s="57">
        <f t="shared" si="4"/>
        <v>12</v>
      </c>
    </row>
    <row r="29" spans="1:12" x14ac:dyDescent="0.25">
      <c r="A29" s="63" t="s">
        <v>81</v>
      </c>
      <c r="B29" s="13" t="s">
        <v>63</v>
      </c>
      <c r="C29" s="18">
        <f t="shared" si="1"/>
        <v>1</v>
      </c>
      <c r="D29" s="22" t="s">
        <v>112</v>
      </c>
      <c r="E29" s="64">
        <f t="shared" si="2"/>
        <v>3</v>
      </c>
      <c r="G29" s="56" t="s">
        <v>90</v>
      </c>
      <c r="H29" s="5">
        <f>SUMIF(D:D,"ROV - CUH",C:C)</f>
        <v>1</v>
      </c>
      <c r="I29" s="34">
        <f t="shared" si="3"/>
        <v>2</v>
      </c>
      <c r="J29" s="35">
        <f t="shared" si="0"/>
        <v>2</v>
      </c>
      <c r="K29" s="34">
        <v>2</v>
      </c>
      <c r="L29" s="57">
        <f t="shared" si="4"/>
        <v>8</v>
      </c>
    </row>
    <row r="30" spans="1:12" x14ac:dyDescent="0.25">
      <c r="A30" s="63" t="s">
        <v>81</v>
      </c>
      <c r="B30" s="13" t="s">
        <v>23</v>
      </c>
      <c r="C30" s="18">
        <f t="shared" si="1"/>
        <v>1</v>
      </c>
      <c r="D30" s="22" t="s">
        <v>93</v>
      </c>
      <c r="E30" s="64">
        <f t="shared" si="2"/>
        <v>2</v>
      </c>
      <c r="G30" s="56" t="s">
        <v>117</v>
      </c>
      <c r="H30" s="5">
        <f>SUMIF(D:D,"CUH - PRR",C:C)</f>
        <v>1</v>
      </c>
      <c r="I30" s="34">
        <f t="shared" si="3"/>
        <v>2</v>
      </c>
      <c r="J30" s="35">
        <f t="shared" si="0"/>
        <v>3</v>
      </c>
      <c r="K30" s="34">
        <v>2</v>
      </c>
      <c r="L30" s="57">
        <f t="shared" si="4"/>
        <v>12</v>
      </c>
    </row>
    <row r="31" spans="1:12" x14ac:dyDescent="0.25">
      <c r="A31" s="63" t="s">
        <v>81</v>
      </c>
      <c r="B31" s="13" t="s">
        <v>20</v>
      </c>
      <c r="C31" s="18">
        <f t="shared" si="1"/>
        <v>1</v>
      </c>
      <c r="D31" s="22" t="s">
        <v>118</v>
      </c>
      <c r="E31" s="64">
        <f t="shared" si="2"/>
        <v>1</v>
      </c>
      <c r="G31" s="56" t="s">
        <v>119</v>
      </c>
      <c r="H31" s="5">
        <f>SUMIF(D:D,"PRR - ROA",C:C)</f>
        <v>0</v>
      </c>
      <c r="I31" s="34">
        <f t="shared" si="3"/>
        <v>1</v>
      </c>
      <c r="J31" s="35">
        <f t="shared" si="0"/>
        <v>1</v>
      </c>
      <c r="K31" s="34">
        <v>1</v>
      </c>
      <c r="L31" s="57">
        <f t="shared" si="4"/>
        <v>1</v>
      </c>
    </row>
    <row r="32" spans="1:12" x14ac:dyDescent="0.25">
      <c r="A32" s="63" t="s">
        <v>81</v>
      </c>
      <c r="B32" s="13" t="s">
        <v>17</v>
      </c>
      <c r="C32" s="18">
        <f t="shared" si="1"/>
        <v>1</v>
      </c>
      <c r="D32" s="22" t="s">
        <v>83</v>
      </c>
      <c r="E32" s="64">
        <f t="shared" si="2"/>
        <v>2</v>
      </c>
      <c r="G32" s="56" t="s">
        <v>118</v>
      </c>
      <c r="H32" s="5">
        <f>SUMIF(D:D,"ROA - BEP",C:C)</f>
        <v>1</v>
      </c>
      <c r="I32" s="34">
        <f t="shared" si="3"/>
        <v>2</v>
      </c>
      <c r="J32" s="35">
        <f t="shared" si="0"/>
        <v>1</v>
      </c>
      <c r="K32" s="34">
        <v>2</v>
      </c>
      <c r="L32" s="57">
        <f t="shared" si="4"/>
        <v>4</v>
      </c>
    </row>
    <row r="33" spans="1:12" x14ac:dyDescent="0.25">
      <c r="A33" s="63" t="s">
        <v>81</v>
      </c>
      <c r="B33" s="13" t="s">
        <v>19</v>
      </c>
      <c r="C33" s="18">
        <f t="shared" si="1"/>
        <v>1</v>
      </c>
      <c r="D33" s="22" t="s">
        <v>84</v>
      </c>
      <c r="E33" s="64">
        <f t="shared" si="2"/>
        <v>1</v>
      </c>
      <c r="G33" s="56" t="s">
        <v>100</v>
      </c>
      <c r="H33" s="5">
        <f>SUMIF(D:D,"BEP - CYP",C:C)</f>
        <v>1</v>
      </c>
      <c r="I33" s="34">
        <f t="shared" si="3"/>
        <v>2</v>
      </c>
      <c r="J33" s="35">
        <f t="shared" si="0"/>
        <v>4</v>
      </c>
      <c r="K33" s="34">
        <v>3</v>
      </c>
      <c r="L33" s="57">
        <f t="shared" si="4"/>
        <v>24</v>
      </c>
    </row>
    <row r="34" spans="1:12" x14ac:dyDescent="0.25">
      <c r="A34" s="63" t="s">
        <v>81</v>
      </c>
      <c r="B34" s="13" t="s">
        <v>19</v>
      </c>
      <c r="C34" s="18">
        <f t="shared" si="1"/>
        <v>1</v>
      </c>
      <c r="D34" s="22" t="s">
        <v>84</v>
      </c>
      <c r="E34" s="64">
        <f t="shared" si="2"/>
        <v>1</v>
      </c>
      <c r="G34" s="56" t="s">
        <v>120</v>
      </c>
      <c r="H34" s="5">
        <f>SUMIF(D:D,"CYP - GAR",C:C)</f>
        <v>0</v>
      </c>
      <c r="I34" s="34">
        <f t="shared" si="3"/>
        <v>1</v>
      </c>
      <c r="J34" s="35">
        <f t="shared" si="0"/>
        <v>1</v>
      </c>
      <c r="K34" s="34">
        <v>1</v>
      </c>
      <c r="L34" s="57">
        <f t="shared" si="4"/>
        <v>1</v>
      </c>
    </row>
    <row r="35" spans="1:12" x14ac:dyDescent="0.25">
      <c r="A35" s="63" t="s">
        <v>81</v>
      </c>
      <c r="B35" s="13" t="s">
        <v>17</v>
      </c>
      <c r="C35" s="18">
        <f t="shared" si="1"/>
        <v>1</v>
      </c>
      <c r="D35" s="22" t="s">
        <v>113</v>
      </c>
      <c r="E35" s="64">
        <f t="shared" si="2"/>
        <v>2</v>
      </c>
      <c r="G35" s="56" t="s">
        <v>121</v>
      </c>
      <c r="H35" s="5">
        <f>SUMIF(D:D,"GAR - BEC",C:C)</f>
        <v>0</v>
      </c>
      <c r="I35" s="34">
        <f t="shared" si="3"/>
        <v>1</v>
      </c>
      <c r="J35" s="35">
        <f t="shared" si="0"/>
        <v>1</v>
      </c>
      <c r="K35" s="34">
        <v>1</v>
      </c>
      <c r="L35" s="57">
        <f t="shared" si="4"/>
        <v>1</v>
      </c>
    </row>
    <row r="36" spans="1:12" x14ac:dyDescent="0.25">
      <c r="A36" s="63" t="s">
        <v>81</v>
      </c>
      <c r="B36" s="13" t="s">
        <v>21</v>
      </c>
      <c r="C36" s="18">
        <f t="shared" si="1"/>
        <v>1</v>
      </c>
      <c r="D36" s="22" t="s">
        <v>111</v>
      </c>
      <c r="E36" s="64">
        <f t="shared" si="2"/>
        <v>4</v>
      </c>
      <c r="G36" s="56" t="s">
        <v>108</v>
      </c>
      <c r="H36" s="5">
        <f>SUMIF(D:D,"STR - SHS",C:C)</f>
        <v>2</v>
      </c>
      <c r="I36" s="34">
        <f t="shared" si="3"/>
        <v>3</v>
      </c>
      <c r="J36" s="35">
        <f t="shared" si="0"/>
        <v>3</v>
      </c>
      <c r="K36" s="34">
        <v>3</v>
      </c>
      <c r="L36" s="57">
        <f t="shared" si="4"/>
        <v>27</v>
      </c>
    </row>
    <row r="37" spans="1:12" x14ac:dyDescent="0.25">
      <c r="A37" s="63" t="s">
        <v>81</v>
      </c>
      <c r="B37" s="13" t="s">
        <v>25</v>
      </c>
      <c r="C37" s="18">
        <f t="shared" si="1"/>
        <v>1</v>
      </c>
      <c r="D37" s="22" t="s">
        <v>109</v>
      </c>
      <c r="E37" s="64">
        <f t="shared" si="2"/>
        <v>5</v>
      </c>
      <c r="G37" s="56" t="s">
        <v>122</v>
      </c>
      <c r="H37" s="5">
        <f>SUMIF(D:D,"SHS - ABS",C:C)</f>
        <v>0</v>
      </c>
      <c r="I37" s="34">
        <f t="shared" si="3"/>
        <v>1</v>
      </c>
      <c r="J37" s="35">
        <f t="shared" si="0"/>
        <v>1</v>
      </c>
      <c r="K37" s="34">
        <v>1</v>
      </c>
      <c r="L37" s="57">
        <f t="shared" si="4"/>
        <v>1</v>
      </c>
    </row>
    <row r="38" spans="1:12" x14ac:dyDescent="0.25">
      <c r="A38" s="63" t="s">
        <v>81</v>
      </c>
      <c r="B38" s="13" t="s">
        <v>21</v>
      </c>
      <c r="C38" s="18">
        <f t="shared" si="1"/>
        <v>1</v>
      </c>
      <c r="D38" s="22" t="s">
        <v>107</v>
      </c>
      <c r="E38" s="64">
        <f t="shared" si="2"/>
        <v>4</v>
      </c>
      <c r="G38" s="56" t="s">
        <v>88</v>
      </c>
      <c r="H38" s="5">
        <f>SUMIF(D:D,"ABS - WEH",C:C)</f>
        <v>1</v>
      </c>
      <c r="I38" s="34">
        <f t="shared" si="3"/>
        <v>2</v>
      </c>
      <c r="J38" s="35">
        <f t="shared" si="0"/>
        <v>2</v>
      </c>
      <c r="K38" s="34">
        <v>2</v>
      </c>
      <c r="L38" s="57">
        <f t="shared" si="4"/>
        <v>8</v>
      </c>
    </row>
    <row r="39" spans="1:12" x14ac:dyDescent="0.25">
      <c r="A39" s="63" t="s">
        <v>81</v>
      </c>
      <c r="B39" s="13" t="s">
        <v>64</v>
      </c>
      <c r="C39" s="18">
        <f t="shared" si="1"/>
        <v>1</v>
      </c>
      <c r="D39" s="13" t="s">
        <v>96</v>
      </c>
      <c r="E39" s="64">
        <f t="shared" si="2"/>
        <v>4</v>
      </c>
      <c r="G39" s="56" t="s">
        <v>123</v>
      </c>
      <c r="H39" s="5">
        <f>SUMIF(D:D,"WEH - STL",C:C)</f>
        <v>1</v>
      </c>
      <c r="I39" s="34">
        <f t="shared" si="3"/>
        <v>2</v>
      </c>
      <c r="J39" s="35">
        <f t="shared" si="0"/>
        <v>3</v>
      </c>
      <c r="K39" s="34">
        <v>2</v>
      </c>
      <c r="L39" s="57">
        <f t="shared" si="4"/>
        <v>12</v>
      </c>
    </row>
    <row r="40" spans="1:12" x14ac:dyDescent="0.25">
      <c r="A40" s="63" t="s">
        <v>81</v>
      </c>
      <c r="B40" s="13" t="s">
        <v>62</v>
      </c>
      <c r="C40" s="18">
        <f t="shared" si="1"/>
        <v>1</v>
      </c>
      <c r="D40" s="22" t="s">
        <v>89</v>
      </c>
      <c r="E40" s="64">
        <f t="shared" si="2"/>
        <v>2</v>
      </c>
      <c r="G40" s="56" t="s">
        <v>124</v>
      </c>
      <c r="H40" s="5">
        <f>SUMIF(D:D,"STL - CAT",C:C)</f>
        <v>0</v>
      </c>
      <c r="I40" s="34">
        <f t="shared" si="3"/>
        <v>1</v>
      </c>
      <c r="J40" s="35">
        <f t="shared" si="0"/>
        <v>1</v>
      </c>
      <c r="K40" s="34">
        <v>1</v>
      </c>
      <c r="L40" s="57">
        <f t="shared" si="4"/>
        <v>1</v>
      </c>
    </row>
    <row r="41" spans="1:12" x14ac:dyDescent="0.25">
      <c r="A41" s="63" t="s">
        <v>81</v>
      </c>
      <c r="B41" s="13" t="s">
        <v>125</v>
      </c>
      <c r="C41" s="18">
        <f t="shared" si="1"/>
        <v>1</v>
      </c>
      <c r="D41" s="22" t="s">
        <v>108</v>
      </c>
      <c r="E41" s="64">
        <f t="shared" si="2"/>
        <v>2</v>
      </c>
      <c r="G41" s="56" t="s">
        <v>92</v>
      </c>
      <c r="H41" s="5">
        <f>SUMIF(D:D,"CAT - WST",C:C)</f>
        <v>2</v>
      </c>
      <c r="I41" s="34">
        <f t="shared" si="3"/>
        <v>3</v>
      </c>
      <c r="J41" s="35">
        <f t="shared" si="0"/>
        <v>4.5</v>
      </c>
      <c r="K41" s="34">
        <v>4</v>
      </c>
      <c r="L41" s="57">
        <f t="shared" si="4"/>
        <v>54</v>
      </c>
    </row>
    <row r="42" spans="1:12" x14ac:dyDescent="0.25">
      <c r="A42" s="63" t="s">
        <v>81</v>
      </c>
      <c r="B42" s="13" t="s">
        <v>67</v>
      </c>
      <c r="C42" s="18">
        <f t="shared" si="1"/>
        <v>1</v>
      </c>
      <c r="D42" s="22" t="s">
        <v>116</v>
      </c>
      <c r="E42" s="64">
        <f t="shared" si="2"/>
        <v>3</v>
      </c>
      <c r="G42" s="56" t="s">
        <v>126</v>
      </c>
      <c r="H42" s="5">
        <f>SUMIF(D:D,"WST - PDK",C:C)</f>
        <v>0</v>
      </c>
      <c r="I42" s="34">
        <f t="shared" si="3"/>
        <v>1</v>
      </c>
      <c r="J42" s="35">
        <f t="shared" si="0"/>
        <v>1</v>
      </c>
      <c r="K42" s="34">
        <v>1</v>
      </c>
      <c r="L42" s="57">
        <f t="shared" si="4"/>
        <v>1</v>
      </c>
    </row>
    <row r="43" spans="1:12" x14ac:dyDescent="0.25">
      <c r="A43" s="63" t="s">
        <v>81</v>
      </c>
      <c r="B43" s="13" t="s">
        <v>61</v>
      </c>
      <c r="C43" s="18">
        <f t="shared" si="1"/>
        <v>1</v>
      </c>
      <c r="D43" s="22" t="s">
        <v>117</v>
      </c>
      <c r="E43" s="64">
        <f t="shared" si="2"/>
        <v>3</v>
      </c>
      <c r="G43" s="56" t="s">
        <v>127</v>
      </c>
      <c r="H43" s="5">
        <f>SUMIF(D:D,"PDK - LCA",C:C)</f>
        <v>0</v>
      </c>
      <c r="I43" s="34">
        <f t="shared" si="3"/>
        <v>1</v>
      </c>
      <c r="J43" s="35">
        <f t="shared" si="0"/>
        <v>1</v>
      </c>
      <c r="K43" s="34">
        <v>1</v>
      </c>
      <c r="L43" s="57">
        <f t="shared" si="4"/>
        <v>1</v>
      </c>
    </row>
    <row r="44" spans="1:12" x14ac:dyDescent="0.25">
      <c r="A44" s="63" t="s">
        <v>81</v>
      </c>
      <c r="B44" s="13" t="s">
        <v>18</v>
      </c>
      <c r="C44" s="18">
        <f t="shared" si="1"/>
        <v>1</v>
      </c>
      <c r="D44" s="22" t="s">
        <v>82</v>
      </c>
      <c r="E44" s="64">
        <f t="shared" si="2"/>
        <v>4</v>
      </c>
      <c r="G44" s="56" t="s">
        <v>128</v>
      </c>
      <c r="H44" s="5">
        <f>SUMIF(D:D,"LCA - KGV",C:C)</f>
        <v>1</v>
      </c>
      <c r="I44" s="34">
        <f t="shared" si="3"/>
        <v>2</v>
      </c>
      <c r="J44" s="35">
        <f t="shared" si="0"/>
        <v>2</v>
      </c>
      <c r="K44" s="34">
        <v>2</v>
      </c>
      <c r="L44" s="57">
        <f t="shared" si="4"/>
        <v>8</v>
      </c>
    </row>
    <row r="45" spans="1:12" ht="15.75" thickBot="1" x14ac:dyDescent="0.3">
      <c r="A45" s="63" t="s">
        <v>81</v>
      </c>
      <c r="B45" s="13" t="s">
        <v>66</v>
      </c>
      <c r="C45" s="18">
        <f t="shared" si="1"/>
        <v>1</v>
      </c>
      <c r="D45" s="22" t="s">
        <v>104</v>
      </c>
      <c r="E45" s="64">
        <f t="shared" si="2"/>
        <v>4</v>
      </c>
      <c r="G45" s="59" t="s">
        <v>102</v>
      </c>
      <c r="H45" s="7">
        <f>SUMIF(D:D,"KGV - WOA",C:C)</f>
        <v>2</v>
      </c>
      <c r="I45" s="36">
        <f t="shared" si="3"/>
        <v>3</v>
      </c>
      <c r="J45" s="37">
        <f t="shared" si="0"/>
        <v>3</v>
      </c>
      <c r="K45" s="36">
        <v>3</v>
      </c>
      <c r="L45" s="60">
        <f>I45*J45*K45</f>
        <v>27</v>
      </c>
    </row>
    <row r="46" spans="1:12" x14ac:dyDescent="0.25">
      <c r="A46" s="63" t="s">
        <v>81</v>
      </c>
      <c r="B46" s="13" t="s">
        <v>65</v>
      </c>
      <c r="C46" s="18">
        <f t="shared" si="1"/>
        <v>1</v>
      </c>
      <c r="D46" s="22" t="s">
        <v>115</v>
      </c>
      <c r="E46" s="64">
        <f t="shared" si="2"/>
        <v>5</v>
      </c>
      <c r="G46" s="1"/>
      <c r="H46" s="1"/>
      <c r="I46" s="1"/>
      <c r="J46" s="1"/>
      <c r="K46" s="1"/>
      <c r="L46" s="1"/>
    </row>
    <row r="47" spans="1:12" x14ac:dyDescent="0.25">
      <c r="A47" s="63" t="s">
        <v>81</v>
      </c>
      <c r="B47" s="13" t="s">
        <v>25</v>
      </c>
      <c r="C47" s="18">
        <f t="shared" si="1"/>
        <v>1</v>
      </c>
      <c r="D47" s="22" t="s">
        <v>84</v>
      </c>
      <c r="E47" s="64">
        <f t="shared" si="2"/>
        <v>5</v>
      </c>
      <c r="G47" s="1"/>
      <c r="H47" s="1"/>
      <c r="I47" s="1"/>
      <c r="J47" s="1"/>
      <c r="K47" s="1"/>
      <c r="L47" s="1"/>
    </row>
    <row r="48" spans="1:12" x14ac:dyDescent="0.25">
      <c r="A48" s="63" t="s">
        <v>81</v>
      </c>
      <c r="B48" s="13" t="s">
        <v>63</v>
      </c>
      <c r="C48" s="18">
        <f t="shared" si="1"/>
        <v>1</v>
      </c>
      <c r="D48" s="22" t="s">
        <v>123</v>
      </c>
      <c r="E48" s="64">
        <f t="shared" si="2"/>
        <v>3</v>
      </c>
      <c r="G48" s="1"/>
      <c r="H48" s="1"/>
      <c r="I48" s="1"/>
      <c r="J48" s="1"/>
      <c r="K48" s="1"/>
      <c r="L48" s="1"/>
    </row>
    <row r="49" spans="1:12" x14ac:dyDescent="0.25">
      <c r="A49" s="63" t="s">
        <v>81</v>
      </c>
      <c r="B49" s="13" t="s">
        <v>22</v>
      </c>
      <c r="C49" s="18">
        <f t="shared" si="1"/>
        <v>1</v>
      </c>
      <c r="D49" s="22" t="s">
        <v>112</v>
      </c>
      <c r="E49" s="64">
        <f t="shared" si="2"/>
        <v>3</v>
      </c>
      <c r="G49" s="1"/>
      <c r="H49" s="1"/>
      <c r="I49" s="1"/>
      <c r="J49" s="1"/>
      <c r="K49" s="1"/>
      <c r="L49" s="1"/>
    </row>
    <row r="50" spans="1:12" x14ac:dyDescent="0.25">
      <c r="A50" s="63" t="s">
        <v>81</v>
      </c>
      <c r="B50" s="13" t="s">
        <v>23</v>
      </c>
      <c r="C50" s="18">
        <f t="shared" si="1"/>
        <v>1</v>
      </c>
      <c r="D50" s="22" t="s">
        <v>128</v>
      </c>
      <c r="E50" s="64">
        <f t="shared" si="2"/>
        <v>2</v>
      </c>
      <c r="G50" s="1"/>
      <c r="H50" s="1"/>
      <c r="I50" s="1"/>
      <c r="J50" s="1"/>
      <c r="K50" s="1"/>
      <c r="L50" s="1"/>
    </row>
    <row r="51" spans="1:12" x14ac:dyDescent="0.25">
      <c r="A51" s="63" t="s">
        <v>81</v>
      </c>
      <c r="B51" s="13" t="s">
        <v>24</v>
      </c>
      <c r="C51" s="18">
        <f t="shared" si="1"/>
        <v>1</v>
      </c>
      <c r="D51" s="22" t="s">
        <v>102</v>
      </c>
      <c r="E51" s="64">
        <f t="shared" si="2"/>
        <v>2</v>
      </c>
      <c r="G51" s="1"/>
      <c r="H51" s="1"/>
      <c r="I51" s="1"/>
      <c r="J51" s="1"/>
      <c r="K51" s="1"/>
      <c r="L51" s="1"/>
    </row>
    <row r="52" spans="1:12" x14ac:dyDescent="0.25">
      <c r="A52" s="63" t="s">
        <v>81</v>
      </c>
      <c r="B52" s="13" t="s">
        <v>23</v>
      </c>
      <c r="C52" s="18">
        <f t="shared" si="1"/>
        <v>1</v>
      </c>
      <c r="D52" s="22" t="s">
        <v>107</v>
      </c>
      <c r="E52" s="64">
        <f t="shared" si="2"/>
        <v>2</v>
      </c>
      <c r="G52" s="1"/>
      <c r="H52" s="1"/>
      <c r="I52" s="1"/>
      <c r="J52" s="1"/>
      <c r="K52" s="1"/>
      <c r="L52" s="1"/>
    </row>
    <row r="53" spans="1:12" x14ac:dyDescent="0.25">
      <c r="A53" s="63" t="s">
        <v>81</v>
      </c>
      <c r="B53" s="13" t="s">
        <v>25</v>
      </c>
      <c r="C53" s="18">
        <f t="shared" si="1"/>
        <v>1</v>
      </c>
      <c r="D53" s="22" t="s">
        <v>107</v>
      </c>
      <c r="E53" s="64">
        <f t="shared" si="2"/>
        <v>5</v>
      </c>
      <c r="G53" s="1"/>
      <c r="H53" s="1"/>
      <c r="I53" s="1"/>
      <c r="J53" s="1"/>
      <c r="K53" s="1"/>
      <c r="L53" s="1"/>
    </row>
    <row r="54" spans="1:12" x14ac:dyDescent="0.25">
      <c r="A54" s="63" t="s">
        <v>81</v>
      </c>
      <c r="B54" s="13" t="s">
        <v>21</v>
      </c>
      <c r="C54" s="18">
        <f t="shared" si="1"/>
        <v>1</v>
      </c>
      <c r="D54" s="23" t="s">
        <v>97</v>
      </c>
      <c r="E54" s="64">
        <f t="shared" si="2"/>
        <v>4</v>
      </c>
      <c r="G54" s="1"/>
      <c r="H54" s="1"/>
      <c r="I54" s="1"/>
      <c r="J54" s="1"/>
      <c r="K54" s="1"/>
      <c r="L54" s="1"/>
    </row>
    <row r="55" spans="1:12" x14ac:dyDescent="0.25">
      <c r="A55" s="63" t="s">
        <v>81</v>
      </c>
      <c r="B55" s="13" t="s">
        <v>64</v>
      </c>
      <c r="C55" s="18">
        <f t="shared" si="1"/>
        <v>1</v>
      </c>
      <c r="D55" s="22" t="s">
        <v>86</v>
      </c>
      <c r="E55" s="64">
        <f t="shared" si="2"/>
        <v>4</v>
      </c>
      <c r="G55" s="1"/>
      <c r="H55" s="1"/>
      <c r="I55" s="1"/>
      <c r="J55" s="1"/>
      <c r="K55" s="1"/>
      <c r="L55" s="1"/>
    </row>
    <row r="56" spans="1:12" x14ac:dyDescent="0.25">
      <c r="A56" s="63" t="s">
        <v>81</v>
      </c>
      <c r="B56" s="13" t="s">
        <v>66</v>
      </c>
      <c r="C56" s="18">
        <f t="shared" si="1"/>
        <v>1</v>
      </c>
      <c r="D56" s="22" t="s">
        <v>84</v>
      </c>
      <c r="E56" s="64">
        <f t="shared" si="2"/>
        <v>4</v>
      </c>
      <c r="G56" s="1"/>
      <c r="H56" s="1"/>
      <c r="I56" s="1"/>
      <c r="J56" s="1"/>
      <c r="K56" s="1"/>
      <c r="L56" s="1"/>
    </row>
    <row r="57" spans="1:12" x14ac:dyDescent="0.25">
      <c r="A57" s="63" t="s">
        <v>81</v>
      </c>
      <c r="B57" s="13" t="s">
        <v>21</v>
      </c>
      <c r="C57" s="18">
        <f t="shared" si="1"/>
        <v>1</v>
      </c>
      <c r="D57" s="22" t="s">
        <v>84</v>
      </c>
      <c r="E57" s="64">
        <f t="shared" si="2"/>
        <v>4</v>
      </c>
      <c r="G57" s="1"/>
      <c r="H57" s="1"/>
      <c r="I57" s="1"/>
      <c r="J57" s="1"/>
      <c r="K57" s="1"/>
      <c r="L57" s="1"/>
    </row>
    <row r="58" spans="1:12" x14ac:dyDescent="0.25">
      <c r="A58" s="63" t="s">
        <v>81</v>
      </c>
      <c r="B58" s="13" t="s">
        <v>25</v>
      </c>
      <c r="C58" s="18">
        <f t="shared" si="1"/>
        <v>1</v>
      </c>
      <c r="D58" s="22" t="s">
        <v>84</v>
      </c>
      <c r="E58" s="64">
        <f t="shared" si="2"/>
        <v>5</v>
      </c>
      <c r="G58" s="1"/>
      <c r="H58" s="1"/>
      <c r="I58" s="1"/>
      <c r="J58" s="1"/>
      <c r="K58" s="1"/>
      <c r="L58" s="1"/>
    </row>
    <row r="59" spans="1:12" x14ac:dyDescent="0.25">
      <c r="A59" s="63" t="s">
        <v>81</v>
      </c>
      <c r="B59" s="13" t="s">
        <v>20</v>
      </c>
      <c r="C59" s="18">
        <f t="shared" si="1"/>
        <v>1</v>
      </c>
      <c r="D59" s="22" t="s">
        <v>86</v>
      </c>
      <c r="E59" s="64">
        <f t="shared" si="2"/>
        <v>1</v>
      </c>
      <c r="G59" s="1"/>
      <c r="H59" s="1"/>
      <c r="I59" s="1"/>
      <c r="J59" s="1"/>
      <c r="K59" s="1"/>
      <c r="L59" s="1"/>
    </row>
    <row r="60" spans="1:12" x14ac:dyDescent="0.25">
      <c r="A60" s="63" t="s">
        <v>81</v>
      </c>
      <c r="B60" s="13" t="s">
        <v>61</v>
      </c>
      <c r="C60" s="18">
        <f t="shared" si="1"/>
        <v>1</v>
      </c>
      <c r="D60" s="13" t="s">
        <v>96</v>
      </c>
      <c r="E60" s="64">
        <f t="shared" si="2"/>
        <v>3</v>
      </c>
      <c r="G60" s="1"/>
      <c r="H60" s="1"/>
      <c r="I60" s="1"/>
      <c r="J60" s="1"/>
      <c r="K60" s="1"/>
      <c r="L60" s="1"/>
    </row>
    <row r="61" spans="1:12" x14ac:dyDescent="0.25">
      <c r="A61" s="63" t="s">
        <v>81</v>
      </c>
      <c r="B61" s="13" t="s">
        <v>18</v>
      </c>
      <c r="C61" s="18">
        <f t="shared" si="1"/>
        <v>1</v>
      </c>
      <c r="D61" s="22" t="s">
        <v>89</v>
      </c>
      <c r="E61" s="64">
        <f t="shared" si="2"/>
        <v>4</v>
      </c>
      <c r="G61" s="1"/>
      <c r="H61" s="1"/>
      <c r="I61" s="1"/>
      <c r="J61" s="1"/>
      <c r="K61" s="1"/>
      <c r="L61" s="1"/>
    </row>
    <row r="62" spans="1:12" x14ac:dyDescent="0.25">
      <c r="A62" s="63" t="s">
        <v>81</v>
      </c>
      <c r="B62" s="13" t="s">
        <v>21</v>
      </c>
      <c r="C62" s="18">
        <f t="shared" si="1"/>
        <v>1</v>
      </c>
      <c r="D62" s="22" t="s">
        <v>89</v>
      </c>
      <c r="E62" s="64">
        <f t="shared" si="2"/>
        <v>4</v>
      </c>
      <c r="G62" s="1"/>
      <c r="H62" s="1"/>
      <c r="I62" s="1"/>
      <c r="J62" s="1"/>
      <c r="K62" s="1"/>
      <c r="L62" s="1"/>
    </row>
    <row r="63" spans="1:12" ht="15.75" thickBot="1" x14ac:dyDescent="0.3">
      <c r="A63" s="65" t="s">
        <v>81</v>
      </c>
      <c r="B63" s="39" t="s">
        <v>25</v>
      </c>
      <c r="C63" s="40">
        <f t="shared" si="1"/>
        <v>1</v>
      </c>
      <c r="D63" s="66" t="s">
        <v>83</v>
      </c>
      <c r="E63" s="67">
        <f t="shared" si="2"/>
        <v>5</v>
      </c>
      <c r="G63" s="1"/>
      <c r="H63" s="1"/>
      <c r="I63" s="1"/>
      <c r="J63" s="1"/>
      <c r="K63" s="1"/>
      <c r="L63" s="1"/>
    </row>
    <row r="64" spans="1:12" x14ac:dyDescent="0.25">
      <c r="C64" s="61"/>
      <c r="G64" s="1"/>
      <c r="H64" s="1"/>
      <c r="I64" s="1"/>
      <c r="J64" s="1"/>
      <c r="K64" s="1"/>
      <c r="L64" s="1"/>
    </row>
    <row r="65" spans="7:12" x14ac:dyDescent="0.25">
      <c r="G65" s="1"/>
      <c r="H65" s="1"/>
      <c r="I65" s="1"/>
      <c r="J65" s="1"/>
      <c r="K65" s="1"/>
      <c r="L65" s="1"/>
    </row>
    <row r="66" spans="7:12" x14ac:dyDescent="0.25">
      <c r="G66" s="1"/>
      <c r="H66" s="1"/>
      <c r="I66" s="1"/>
      <c r="J66" s="1"/>
      <c r="K66" s="1"/>
      <c r="L66" s="1"/>
    </row>
    <row r="67" spans="7:12" x14ac:dyDescent="0.25">
      <c r="G67" s="1"/>
      <c r="H67" s="1"/>
      <c r="I67" s="1"/>
      <c r="J67" s="1"/>
      <c r="K67" s="1"/>
      <c r="L67" s="1"/>
    </row>
    <row r="68" spans="7:12" x14ac:dyDescent="0.25">
      <c r="G68" s="1"/>
      <c r="H68" s="1"/>
      <c r="I68" s="1"/>
      <c r="J68" s="1"/>
      <c r="K68" s="1"/>
      <c r="L68" s="1"/>
    </row>
    <row r="69" spans="7:12" x14ac:dyDescent="0.25">
      <c r="G69" s="1"/>
      <c r="H69" s="1"/>
      <c r="I69" s="1"/>
      <c r="J69" s="1"/>
      <c r="K69" s="1"/>
      <c r="L69" s="1"/>
    </row>
    <row r="70" spans="7:12" x14ac:dyDescent="0.25">
      <c r="G70" s="1"/>
      <c r="H70" s="1"/>
      <c r="I70" s="1"/>
      <c r="J70" s="1"/>
      <c r="K70" s="1"/>
      <c r="L70" s="1"/>
    </row>
    <row r="71" spans="7:12" x14ac:dyDescent="0.25">
      <c r="G71" s="1"/>
      <c r="H71" s="1"/>
      <c r="I71" s="1"/>
      <c r="J71" s="1"/>
      <c r="K71" s="1"/>
      <c r="L71" s="1"/>
    </row>
    <row r="72" spans="7:12" x14ac:dyDescent="0.25">
      <c r="G72" s="1"/>
      <c r="H72" s="1"/>
      <c r="I72" s="1"/>
      <c r="J72" s="1"/>
      <c r="K72" s="1"/>
      <c r="L72" s="1"/>
    </row>
    <row r="73" spans="7:12" x14ac:dyDescent="0.25">
      <c r="G73" s="1"/>
      <c r="H73" s="1"/>
      <c r="I73" s="1"/>
      <c r="J73" s="1"/>
      <c r="K73" s="1"/>
      <c r="L73" s="1"/>
    </row>
    <row r="74" spans="7:12" x14ac:dyDescent="0.25">
      <c r="G74" s="1"/>
      <c r="H74" s="1"/>
      <c r="I74" s="1"/>
      <c r="J74" s="1"/>
      <c r="K74" s="1"/>
      <c r="L74" s="1"/>
    </row>
    <row r="75" spans="7:12" x14ac:dyDescent="0.25">
      <c r="G75" s="1"/>
      <c r="H75" s="1"/>
      <c r="I75" s="1"/>
      <c r="J75" s="1"/>
      <c r="K75" s="1"/>
      <c r="L75" s="1"/>
    </row>
    <row r="76" spans="7:12" x14ac:dyDescent="0.25">
      <c r="G76" s="1"/>
      <c r="H76" s="1"/>
      <c r="I76" s="1"/>
      <c r="J76" s="1"/>
      <c r="K76" s="1"/>
      <c r="L76" s="1"/>
    </row>
  </sheetData>
  <conditionalFormatting sqref="L2:L45">
    <cfRule type="cellIs" dxfId="4" priority="1" operator="between">
      <formula>90</formula>
      <formula>126</formula>
    </cfRule>
    <cfRule type="cellIs" dxfId="3" priority="2" operator="between">
      <formula>60</formula>
      <formula>90</formula>
    </cfRule>
    <cfRule type="cellIs" dxfId="2" priority="3" operator="between">
      <formula>30</formula>
      <formula>60</formula>
    </cfRule>
    <cfRule type="cellIs" dxfId="1" priority="4" operator="between">
      <formula>2</formula>
      <formula>30</formula>
    </cfRule>
    <cfRule type="cellIs" dxfId="0" priority="5" operator="equal">
      <formula>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Option Button 1">
              <controlPr defaultSize="0" autoFill="0" autoLine="0" autoPict="0" macro="[0]!NONO2">
                <anchor moveWithCells="1">
                  <from>
                    <xdr:col>9</xdr:col>
                    <xdr:colOff>1162050</xdr:colOff>
                    <xdr:row>46</xdr:row>
                    <xdr:rowOff>47625</xdr:rowOff>
                  </from>
                  <to>
                    <xdr:col>11</xdr:col>
                    <xdr:colOff>733425</xdr:colOff>
                    <xdr:row>48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tabSelected="1" topLeftCell="A49" zoomScale="40" zoomScaleNormal="40" workbookViewId="0">
      <selection activeCell="AM100" sqref="AM100"/>
    </sheetView>
  </sheetViews>
  <sheetFormatPr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Bismuth</dc:creator>
  <cp:lastModifiedBy>Arnaud Bismuth</cp:lastModifiedBy>
  <dcterms:created xsi:type="dcterms:W3CDTF">2015-07-08T07:55:42Z</dcterms:created>
  <dcterms:modified xsi:type="dcterms:W3CDTF">2015-07-23T14:46:51Z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3</vt:i4>
  </property>
</Properties>
</file>