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smuth\Desktop\"/>
    </mc:Choice>
  </mc:AlternateContent>
  <bookViews>
    <workbookView xWindow="0" yWindow="0" windowWidth="11940" windowHeight="4545" activeTab="2"/>
  </bookViews>
  <sheets>
    <sheet name="Stations" sheetId="1" r:id="rId1"/>
    <sheet name="Routes" sheetId="2" r:id="rId2"/>
    <sheet name="SCHEM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3" i="1"/>
  <c r="E3" i="2"/>
  <c r="E4" i="2"/>
  <c r="E2" i="2"/>
  <c r="H39" i="2" l="1"/>
  <c r="H38" i="2"/>
  <c r="H8" i="2"/>
  <c r="H4" i="1"/>
  <c r="H3" i="1"/>
  <c r="H7" i="2"/>
  <c r="H46" i="2" l="1"/>
  <c r="I46" i="2" s="1"/>
  <c r="H45" i="2"/>
  <c r="H44" i="2"/>
  <c r="H43" i="2"/>
  <c r="H42" i="2"/>
  <c r="H41" i="2"/>
  <c r="H40" i="2"/>
  <c r="H37" i="2"/>
  <c r="H36" i="2"/>
  <c r="H35" i="2"/>
  <c r="H34" i="2"/>
  <c r="H33" i="2"/>
  <c r="H32" i="2"/>
  <c r="H31" i="2"/>
  <c r="H30" i="2"/>
  <c r="H29" i="2"/>
  <c r="H28" i="2"/>
  <c r="H27" i="2"/>
  <c r="J46" i="2"/>
  <c r="L46" i="2" l="1"/>
  <c r="J10" i="2"/>
  <c r="H10" i="2"/>
  <c r="I10" i="2" s="1"/>
  <c r="J39" i="2"/>
  <c r="I39" i="2"/>
  <c r="J44" i="2"/>
  <c r="I44" i="2"/>
  <c r="J43" i="2"/>
  <c r="I43" i="2"/>
  <c r="J42" i="2"/>
  <c r="I42" i="2"/>
  <c r="I28" i="2"/>
  <c r="J40" i="2"/>
  <c r="I40" i="2"/>
  <c r="J37" i="2"/>
  <c r="I37" i="2"/>
  <c r="H18" i="2"/>
  <c r="I18" i="2" s="1"/>
  <c r="J35" i="2"/>
  <c r="I35" i="2"/>
  <c r="J34" i="2"/>
  <c r="I34" i="2"/>
  <c r="C32" i="2"/>
  <c r="J31" i="2"/>
  <c r="I31" i="2"/>
  <c r="J32" i="2"/>
  <c r="I32" i="2"/>
  <c r="J30" i="2"/>
  <c r="I30" i="2"/>
  <c r="J7" i="2"/>
  <c r="J20" i="2"/>
  <c r="J28" i="2"/>
  <c r="H14" i="2"/>
  <c r="I14" i="2" s="1"/>
  <c r="J25" i="2"/>
  <c r="H25" i="2"/>
  <c r="I25" i="2" s="1"/>
  <c r="J23" i="2"/>
  <c r="H20" i="2"/>
  <c r="I20" i="2" s="1"/>
  <c r="J19" i="2"/>
  <c r="H19" i="2"/>
  <c r="I19" i="2" s="1"/>
  <c r="J18" i="2"/>
  <c r="J36" i="2"/>
  <c r="I36" i="2"/>
  <c r="J26" i="2"/>
  <c r="J16" i="2"/>
  <c r="H16" i="2"/>
  <c r="I16" i="2" s="1"/>
  <c r="J12" i="2"/>
  <c r="H12" i="2"/>
  <c r="I12" i="2" s="1"/>
  <c r="J15" i="2"/>
  <c r="H15" i="2"/>
  <c r="I15" i="2" s="1"/>
  <c r="J27" i="2"/>
  <c r="I27" i="2"/>
  <c r="J14" i="2"/>
  <c r="J45" i="2"/>
  <c r="I45" i="2"/>
  <c r="J13" i="2"/>
  <c r="H13" i="2"/>
  <c r="I13" i="2" s="1"/>
  <c r="J33" i="2"/>
  <c r="I33" i="2"/>
  <c r="J11" i="2"/>
  <c r="H11" i="2"/>
  <c r="I11" i="2" s="1"/>
  <c r="I7" i="2"/>
  <c r="J8" i="2"/>
  <c r="I8" i="2"/>
  <c r="J17" i="2"/>
  <c r="H17" i="2"/>
  <c r="I17" i="2" s="1"/>
  <c r="J41" i="2"/>
  <c r="J6" i="2"/>
  <c r="H6" i="2"/>
  <c r="I6" i="2" s="1"/>
  <c r="J29" i="2"/>
  <c r="I29" i="2"/>
  <c r="J38" i="2"/>
  <c r="I38" i="2"/>
  <c r="J4" i="2"/>
  <c r="H4" i="2"/>
  <c r="I4" i="2" s="1"/>
  <c r="H24" i="2"/>
  <c r="I24" i="2" s="1"/>
  <c r="J3" i="2"/>
  <c r="H3" i="2"/>
  <c r="I3" i="2" s="1"/>
  <c r="H2" i="2"/>
  <c r="J9" i="2"/>
  <c r="L45" i="2" l="1"/>
  <c r="L37" i="2"/>
  <c r="L19" i="2"/>
  <c r="L3" i="2"/>
  <c r="L4" i="2"/>
  <c r="L29" i="2"/>
  <c r="L8" i="2"/>
  <c r="J22" i="2"/>
  <c r="L25" i="2"/>
  <c r="L42" i="2"/>
  <c r="L43" i="2"/>
  <c r="L44" i="2"/>
  <c r="L39" i="2"/>
  <c r="L10" i="2"/>
  <c r="J2" i="2"/>
  <c r="H21" i="2"/>
  <c r="I21" i="2" s="1"/>
  <c r="L6" i="2"/>
  <c r="L12" i="2"/>
  <c r="H23" i="2"/>
  <c r="I23" i="2" s="1"/>
  <c r="L23" i="2" s="1"/>
  <c r="L30" i="2"/>
  <c r="L31" i="2"/>
  <c r="L40" i="2"/>
  <c r="J21" i="2"/>
  <c r="J24" i="2"/>
  <c r="L24" i="2" s="1"/>
  <c r="H22" i="2"/>
  <c r="I22" i="2" s="1"/>
  <c r="J5" i="2"/>
  <c r="L14" i="2"/>
  <c r="L18" i="2"/>
  <c r="L38" i="2"/>
  <c r="L33" i="2"/>
  <c r="L27" i="2"/>
  <c r="H26" i="2"/>
  <c r="I26" i="2" s="1"/>
  <c r="L26" i="2" s="1"/>
  <c r="L17" i="2"/>
  <c r="L7" i="2"/>
  <c r="L20" i="2"/>
  <c r="L28" i="2"/>
  <c r="L36" i="2"/>
  <c r="I41" i="2"/>
  <c r="L41" i="2" s="1"/>
  <c r="L11" i="2"/>
  <c r="L13" i="2"/>
  <c r="L15" i="2"/>
  <c r="L16" i="2"/>
  <c r="H5" i="2"/>
  <c r="I5" i="2" s="1"/>
  <c r="L32" i="2"/>
  <c r="L34" i="2"/>
  <c r="L35" i="2"/>
  <c r="I2" i="2"/>
  <c r="H9" i="2"/>
  <c r="I9" i="2" s="1"/>
  <c r="L9" i="2" s="1"/>
  <c r="L2" i="2" l="1"/>
  <c r="L5" i="2"/>
  <c r="L21" i="2"/>
  <c r="L22" i="2"/>
  <c r="H47" i="1" l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I4" i="1"/>
  <c r="I3" i="1"/>
  <c r="J9" i="1" l="1"/>
  <c r="L9" i="1" s="1"/>
  <c r="J18" i="1"/>
  <c r="L18" i="1" s="1"/>
  <c r="J37" i="1"/>
  <c r="J17" i="1" l="1"/>
  <c r="L17" i="1" s="1"/>
  <c r="J16" i="1"/>
  <c r="L16" i="1" s="1"/>
  <c r="J44" i="1"/>
  <c r="J43" i="1"/>
  <c r="L43" i="1" s="1"/>
  <c r="J31" i="1"/>
  <c r="L31" i="1" s="1"/>
  <c r="J42" i="1"/>
  <c r="J39" i="1"/>
  <c r="L39" i="1" s="1"/>
  <c r="J34" i="1"/>
  <c r="L34" i="1" s="1"/>
  <c r="J32" i="1"/>
  <c r="L32" i="1" s="1"/>
  <c r="J30" i="1"/>
  <c r="L30" i="1" s="1"/>
  <c r="J26" i="1"/>
  <c r="L26" i="1" s="1"/>
  <c r="J27" i="1"/>
  <c r="L27" i="1" s="1"/>
  <c r="J14" i="1"/>
  <c r="L14" i="1" s="1"/>
  <c r="J23" i="1"/>
  <c r="L23" i="1" s="1"/>
  <c r="J22" i="1"/>
  <c r="L22" i="1" s="1"/>
  <c r="J20" i="1"/>
  <c r="L20" i="1" s="1"/>
  <c r="J8" i="1"/>
  <c r="L8" i="1" s="1"/>
  <c r="J33" i="1"/>
  <c r="L33" i="1" s="1"/>
  <c r="J7" i="1"/>
  <c r="L7" i="1" s="1"/>
  <c r="J10" i="1"/>
  <c r="L10" i="1" s="1"/>
  <c r="L37" i="1"/>
  <c r="J28" i="1"/>
  <c r="L28" i="1" s="1"/>
  <c r="J19" i="1"/>
  <c r="L19" i="1" s="1"/>
  <c r="J11" i="1"/>
  <c r="L11" i="1" s="1"/>
  <c r="J6" i="1"/>
  <c r="L6" i="1" s="1"/>
  <c r="J15" i="1"/>
  <c r="L15" i="1" s="1"/>
  <c r="J12" i="1"/>
  <c r="L12" i="1" s="1"/>
  <c r="J21" i="1"/>
  <c r="L21" i="1" s="1"/>
  <c r="J35" i="1"/>
  <c r="J36" i="1"/>
  <c r="J29" i="1"/>
  <c r="L29" i="1" s="1"/>
  <c r="J45" i="1"/>
  <c r="J46" i="1"/>
  <c r="J25" i="1"/>
  <c r="L25" i="1" s="1"/>
  <c r="J24" i="1"/>
  <c r="L24" i="1" s="1"/>
  <c r="J38" i="1" l="1"/>
  <c r="L38" i="1" s="1"/>
  <c r="J47" i="1"/>
  <c r="L47" i="1" s="1"/>
  <c r="J41" i="1"/>
  <c r="L41" i="1" s="1"/>
  <c r="J13" i="1"/>
  <c r="L13" i="1" s="1"/>
  <c r="J40" i="1"/>
  <c r="L40" i="1" s="1"/>
  <c r="J4" i="1"/>
  <c r="L4" i="1" s="1"/>
  <c r="J3" i="1"/>
  <c r="L3" i="1" s="1"/>
  <c r="J5" i="1"/>
  <c r="L5" i="1" s="1"/>
  <c r="L45" i="1"/>
  <c r="L36" i="1"/>
  <c r="L44" i="1"/>
  <c r="L42" i="1"/>
  <c r="L46" i="1"/>
  <c r="L35" i="1"/>
</calcChain>
</file>

<file path=xl/comments1.xml><?xml version="1.0" encoding="utf-8"?>
<comments xmlns="http://schemas.openxmlformats.org/spreadsheetml/2006/main">
  <authors>
    <author>Arnaud Bismuth</author>
  </authors>
  <commentList>
    <comment ref="U26" authorId="0" shapeId="0">
      <text/>
    </comment>
  </commentList>
</comments>
</file>

<file path=xl/sharedStrings.xml><?xml version="1.0" encoding="utf-8"?>
<sst xmlns="http://schemas.openxmlformats.org/spreadsheetml/2006/main" count="382" uniqueCount="126">
  <si>
    <t>Details</t>
  </si>
  <si>
    <t>Station</t>
  </si>
  <si>
    <t>Perception</t>
  </si>
  <si>
    <t>Quotation</t>
  </si>
  <si>
    <t>WIQ</t>
  </si>
  <si>
    <t>BAN</t>
  </si>
  <si>
    <t>LIM</t>
  </si>
  <si>
    <t>ROV</t>
  </si>
  <si>
    <t>STL</t>
  </si>
  <si>
    <t>POP</t>
  </si>
  <si>
    <t>WOA</t>
  </si>
  <si>
    <t>TOG</t>
  </si>
  <si>
    <t>SHA</t>
  </si>
  <si>
    <t>WST</t>
  </si>
  <si>
    <t>etching</t>
  </si>
  <si>
    <t>physical assault</t>
  </si>
  <si>
    <t>grafity</t>
  </si>
  <si>
    <t>pulled door</t>
  </si>
  <si>
    <t>fight</t>
  </si>
  <si>
    <t>drunk passenger</t>
  </si>
  <si>
    <t>revenue dispute</t>
  </si>
  <si>
    <t>spat</t>
  </si>
  <si>
    <t>BTP intervention</t>
  </si>
  <si>
    <t>ALS</t>
  </si>
  <si>
    <t>BEC</t>
  </si>
  <si>
    <t>BEP</t>
  </si>
  <si>
    <t>BLA</t>
  </si>
  <si>
    <t>BOC</t>
  </si>
  <si>
    <t>CAT</t>
  </si>
  <si>
    <t>CAW</t>
  </si>
  <si>
    <t>CBO</t>
  </si>
  <si>
    <t>CUH</t>
  </si>
  <si>
    <t>CUS</t>
  </si>
  <si>
    <t>CYP</t>
  </si>
  <si>
    <t>DEB</t>
  </si>
  <si>
    <t>DER</t>
  </si>
  <si>
    <t>EAI</t>
  </si>
  <si>
    <t>ELR</t>
  </si>
  <si>
    <t>GAR</t>
  </si>
  <si>
    <t>GRE</t>
  </si>
  <si>
    <t>HEQ</t>
  </si>
  <si>
    <t>ISG</t>
  </si>
  <si>
    <t>KGV</t>
  </si>
  <si>
    <t>LAP</t>
  </si>
  <si>
    <t>LCA</t>
  </si>
  <si>
    <t>LEW</t>
  </si>
  <si>
    <t>MUD</t>
  </si>
  <si>
    <t>PDK</t>
  </si>
  <si>
    <t>PML</t>
  </si>
  <si>
    <t>PPR</t>
  </si>
  <si>
    <t>ROA</t>
  </si>
  <si>
    <t>SHS</t>
  </si>
  <si>
    <t>SOQ</t>
  </si>
  <si>
    <t>STI</t>
  </si>
  <si>
    <t>STR</t>
  </si>
  <si>
    <t>WEH</t>
  </si>
  <si>
    <t>WES</t>
  </si>
  <si>
    <t>verbal assault</t>
  </si>
  <si>
    <t>soiled</t>
  </si>
  <si>
    <t>broken window</t>
  </si>
  <si>
    <t>indecent exposure</t>
  </si>
  <si>
    <t>assault with seriously attack</t>
  </si>
  <si>
    <t>steal</t>
  </si>
  <si>
    <t>aggressive passenger</t>
  </si>
  <si>
    <t>distorbing</t>
  </si>
  <si>
    <t>Incident</t>
  </si>
  <si>
    <t>total incidents</t>
  </si>
  <si>
    <t>sucidial</t>
  </si>
  <si>
    <t>Routes</t>
  </si>
  <si>
    <t>Severity</t>
  </si>
  <si>
    <t>Frequency</t>
  </si>
  <si>
    <t>severity (average)</t>
  </si>
  <si>
    <t>Period 3</t>
  </si>
  <si>
    <t>POP - WIQ</t>
  </si>
  <si>
    <t>STI - STR</t>
  </si>
  <si>
    <t>TOG - SHA</t>
  </si>
  <si>
    <t>STR - PDM</t>
  </si>
  <si>
    <t>LIM - WES</t>
  </si>
  <si>
    <t>PDM - BOC</t>
  </si>
  <si>
    <t>BOC - DER</t>
  </si>
  <si>
    <t>ROV - CUH</t>
  </si>
  <si>
    <t>DER - LAP</t>
  </si>
  <si>
    <t>CAT - WST</t>
  </si>
  <si>
    <t>LAP - ALS</t>
  </si>
  <si>
    <t>CUS - GRE</t>
  </si>
  <si>
    <t>ALS - POP</t>
  </si>
  <si>
    <t>WIQ - CAW</t>
  </si>
  <si>
    <t>CAW - HEQ</t>
  </si>
  <si>
    <t>HEQ - SOQ</t>
  </si>
  <si>
    <t>BEP - CYP</t>
  </si>
  <si>
    <t>SOQ - CRO</t>
  </si>
  <si>
    <t>KGV - WOA</t>
  </si>
  <si>
    <t>CRO - MUD</t>
  </si>
  <si>
    <t>EAI - CAT</t>
  </si>
  <si>
    <t>MUD - ISG</t>
  </si>
  <si>
    <t>ISG - CUS</t>
  </si>
  <si>
    <t>POP - BLA</t>
  </si>
  <si>
    <t>STR - SHS</t>
  </si>
  <si>
    <t>GRE - DEB</t>
  </si>
  <si>
    <t>DEB - ELR</t>
  </si>
  <si>
    <t>BAN - SHA</t>
  </si>
  <si>
    <t>ELR - LEW</t>
  </si>
  <si>
    <t>SHA - LIM</t>
  </si>
  <si>
    <t>WES - POP</t>
  </si>
  <si>
    <t>BLA - EAI</t>
  </si>
  <si>
    <t>CAT - ROV</t>
  </si>
  <si>
    <t>CUH - PRR</t>
  </si>
  <si>
    <t>ROA - BEP</t>
  </si>
  <si>
    <t>CYP - GAR</t>
  </si>
  <si>
    <t>GAR - BEC</t>
  </si>
  <si>
    <t>WEH - STL</t>
  </si>
  <si>
    <t>sleeping vagrant</t>
  </si>
  <si>
    <t>WST - PDK</t>
  </si>
  <si>
    <t>PDK - LCA</t>
  </si>
  <si>
    <t>Severity (average)</t>
  </si>
  <si>
    <t>PRR - ROA</t>
  </si>
  <si>
    <t>STL - CAT</t>
  </si>
  <si>
    <t>LCA  - KGV</t>
  </si>
  <si>
    <t>ABR</t>
  </si>
  <si>
    <t>SHS - ABR</t>
  </si>
  <si>
    <t>ABR - WEH</t>
  </si>
  <si>
    <t>date of incident</t>
  </si>
  <si>
    <t>level</t>
  </si>
  <si>
    <t>incident reference</t>
  </si>
  <si>
    <t>no ticket</t>
  </si>
  <si>
    <t xml:space="preserve">period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</si>
</sst>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</fills>
  <borders count="3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1" fillId="2" borderId="1" applyNumberFormat="0" applyAlignment="0" applyProtection="0"/>
    <xf numFmtId="0" fontId="2" fillId="3" borderId="5" applyNumberFormat="0" applyFont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6" applyNumberFormat="0" applyAlignment="0" applyProtection="0"/>
    <xf numFmtId="0" fontId="8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3" borderId="5" xfId="2" applyFont="1" applyAlignment="1">
      <alignment horizontal="center"/>
    </xf>
    <xf numFmtId="0" fontId="0" fillId="0" borderId="0" xfId="0" applyBorder="1"/>
    <xf numFmtId="0" fontId="6" fillId="6" borderId="0" xfId="5" applyAlignment="1">
      <alignment horizontal="center"/>
    </xf>
    <xf numFmtId="0" fontId="5" fillId="5" borderId="0" xfId="4" applyAlignment="1">
      <alignment horizontal="center"/>
    </xf>
    <xf numFmtId="0" fontId="5" fillId="5" borderId="0" xfId="4" applyBorder="1" applyAlignment="1">
      <alignment horizontal="center"/>
    </xf>
    <xf numFmtId="0" fontId="8" fillId="0" borderId="0" xfId="7" applyAlignment="1">
      <alignment horizontal="center"/>
    </xf>
    <xf numFmtId="0" fontId="4" fillId="4" borderId="0" xfId="3" applyAlignment="1">
      <alignment horizontal="center"/>
    </xf>
    <xf numFmtId="0" fontId="4" fillId="4" borderId="0" xfId="3" applyBorder="1" applyAlignment="1">
      <alignment horizontal="center"/>
    </xf>
    <xf numFmtId="0" fontId="1" fillId="2" borderId="1" xfId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8" fillId="0" borderId="0" xfId="7"/>
    <xf numFmtId="0" fontId="8" fillId="0" borderId="0" xfId="7" applyBorder="1" applyAlignment="1">
      <alignment horizontal="center"/>
    </xf>
    <xf numFmtId="0" fontId="0" fillId="3" borderId="0" xfId="2" applyFont="1" applyBorder="1" applyAlignment="1">
      <alignment horizontal="center"/>
    </xf>
    <xf numFmtId="0" fontId="7" fillId="7" borderId="0" xfId="6" applyBorder="1" applyAlignment="1">
      <alignment horizontal="center"/>
    </xf>
    <xf numFmtId="1" fontId="7" fillId="7" borderId="0" xfId="6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4" fillId="4" borderId="8" xfId="3" applyBorder="1" applyAlignment="1">
      <alignment horizontal="center"/>
    </xf>
    <xf numFmtId="1" fontId="0" fillId="0" borderId="16" xfId="0" applyNumberFormat="1" applyBorder="1" applyAlignment="1">
      <alignment horizontal="center"/>
    </xf>
    <xf numFmtId="0" fontId="4" fillId="4" borderId="9" xfId="3" applyBorder="1" applyAlignment="1">
      <alignment horizontal="center"/>
    </xf>
    <xf numFmtId="0" fontId="0" fillId="3" borderId="7" xfId="2" applyFont="1" applyBorder="1" applyAlignment="1">
      <alignment horizontal="center"/>
    </xf>
    <xf numFmtId="0" fontId="7" fillId="7" borderId="7" xfId="6" applyBorder="1" applyAlignment="1">
      <alignment horizontal="center"/>
    </xf>
    <xf numFmtId="1" fontId="0" fillId="0" borderId="17" xfId="0" applyNumberFormat="1" applyBorder="1" applyAlignment="1">
      <alignment horizontal="center"/>
    </xf>
    <xf numFmtId="16" fontId="6" fillId="6" borderId="8" xfId="5" applyNumberFormat="1" applyBorder="1" applyAlignment="1">
      <alignment horizontal="center"/>
    </xf>
    <xf numFmtId="0" fontId="1" fillId="2" borderId="18" xfId="1" applyBorder="1" applyAlignment="1">
      <alignment horizontal="center"/>
    </xf>
    <xf numFmtId="0" fontId="1" fillId="2" borderId="19" xfId="1" applyBorder="1" applyAlignment="1">
      <alignment horizontal="center"/>
    </xf>
    <xf numFmtId="0" fontId="1" fillId="2" borderId="20" xfId="1" applyBorder="1" applyAlignment="1">
      <alignment horizontal="center"/>
    </xf>
    <xf numFmtId="0" fontId="1" fillId="2" borderId="21" xfId="1" applyBorder="1" applyAlignment="1">
      <alignment horizontal="center"/>
    </xf>
    <xf numFmtId="0" fontId="4" fillId="4" borderId="13" xfId="3" applyBorder="1" applyAlignment="1">
      <alignment horizontal="center"/>
    </xf>
    <xf numFmtId="0" fontId="0" fillId="3" borderId="14" xfId="2" applyFont="1" applyBorder="1" applyAlignment="1">
      <alignment horizontal="center"/>
    </xf>
    <xf numFmtId="0" fontId="7" fillId="7" borderId="14" xfId="6" applyBorder="1" applyAlignment="1">
      <alignment horizontal="center"/>
    </xf>
    <xf numFmtId="1" fontId="7" fillId="7" borderId="14" xfId="6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4" fillId="4" borderId="22" xfId="3" applyBorder="1" applyAlignment="1">
      <alignment horizontal="center"/>
    </xf>
    <xf numFmtId="0" fontId="0" fillId="3" borderId="2" xfId="2" applyFont="1" applyBorder="1" applyAlignment="1">
      <alignment horizontal="center"/>
    </xf>
    <xf numFmtId="0" fontId="7" fillId="7" borderId="2" xfId="6" applyBorder="1" applyAlignment="1">
      <alignment horizontal="center"/>
    </xf>
    <xf numFmtId="1" fontId="7" fillId="7" borderId="2" xfId="6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3" borderId="4" xfId="2" applyFont="1" applyBorder="1" applyAlignment="1">
      <alignment horizontal="center"/>
    </xf>
    <xf numFmtId="0" fontId="7" fillId="7" borderId="4" xfId="6" applyBorder="1" applyAlignment="1">
      <alignment horizontal="center"/>
    </xf>
    <xf numFmtId="1" fontId="7" fillId="7" borderId="4" xfId="6" applyNumberFormat="1" applyBorder="1" applyAlignment="1">
      <alignment horizontal="center"/>
    </xf>
    <xf numFmtId="1" fontId="0" fillId="0" borderId="25" xfId="0" applyNumberFormat="1" applyBorder="1" applyAlignment="1">
      <alignment horizontal="center"/>
    </xf>
    <xf numFmtId="0" fontId="4" fillId="4" borderId="26" xfId="3" applyBorder="1" applyAlignment="1">
      <alignment horizontal="center"/>
    </xf>
    <xf numFmtId="0" fontId="0" fillId="3" borderId="3" xfId="2" applyFont="1" applyBorder="1" applyAlignment="1">
      <alignment horizontal="center"/>
    </xf>
    <xf numFmtId="0" fontId="7" fillId="7" borderId="3" xfId="6" applyBorder="1" applyAlignment="1">
      <alignment horizontal="center"/>
    </xf>
    <xf numFmtId="1" fontId="7" fillId="7" borderId="3" xfId="6" applyNumberFormat="1" applyBorder="1" applyAlignment="1">
      <alignment horizontal="center"/>
    </xf>
    <xf numFmtId="1" fontId="0" fillId="0" borderId="27" xfId="0" applyNumberFormat="1" applyBorder="1" applyAlignment="1">
      <alignment horizontal="center"/>
    </xf>
    <xf numFmtId="0" fontId="4" fillId="4" borderId="11" xfId="3" applyBorder="1" applyAlignment="1">
      <alignment horizontal="center"/>
    </xf>
    <xf numFmtId="1" fontId="0" fillId="0" borderId="12" xfId="0" applyNumberFormat="1" applyBorder="1" applyAlignment="1">
      <alignment horizontal="center"/>
    </xf>
    <xf numFmtId="0" fontId="4" fillId="4" borderId="24" xfId="3" applyBorder="1" applyAlignment="1">
      <alignment horizontal="center"/>
    </xf>
    <xf numFmtId="0" fontId="4" fillId="4" borderId="28" xfId="3" applyBorder="1" applyAlignment="1">
      <alignment horizontal="center"/>
    </xf>
    <xf numFmtId="1" fontId="0" fillId="0" borderId="29" xfId="0" applyNumberFormat="1" applyBorder="1" applyAlignment="1">
      <alignment horizontal="center"/>
    </xf>
    <xf numFmtId="0" fontId="0" fillId="0" borderId="3" xfId="0" applyBorder="1"/>
    <xf numFmtId="0" fontId="0" fillId="0" borderId="0" xfId="0" applyBorder="1" applyAlignment="1"/>
    <xf numFmtId="0" fontId="6" fillId="6" borderId="8" xfId="5" applyBorder="1" applyAlignment="1">
      <alignment horizontal="center"/>
    </xf>
    <xf numFmtId="0" fontId="6" fillId="6" borderId="22" xfId="5" applyBorder="1" applyAlignment="1">
      <alignment horizontal="center"/>
    </xf>
    <xf numFmtId="0" fontId="6" fillId="6" borderId="26" xfId="5" applyBorder="1" applyAlignment="1">
      <alignment horizontal="center"/>
    </xf>
    <xf numFmtId="0" fontId="6" fillId="6" borderId="11" xfId="5" applyBorder="1" applyAlignment="1">
      <alignment horizontal="center"/>
    </xf>
    <xf numFmtId="0" fontId="6" fillId="6" borderId="10" xfId="5" applyBorder="1" applyAlignment="1">
      <alignment horizontal="center"/>
    </xf>
    <xf numFmtId="0" fontId="6" fillId="6" borderId="9" xfId="5" applyBorder="1" applyAlignment="1">
      <alignment horizontal="center"/>
    </xf>
    <xf numFmtId="0" fontId="1" fillId="2" borderId="31" xfId="1" applyBorder="1" applyAlignment="1">
      <alignment horizontal="center"/>
    </xf>
    <xf numFmtId="0" fontId="1" fillId="2" borderId="32" xfId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2" borderId="30" xfId="1" applyBorder="1" applyAlignment="1">
      <alignment horizontal="center"/>
    </xf>
  </cellXfs>
  <cellStyles count="8">
    <cellStyle name="Bad" xfId="4" builtinId="27"/>
    <cellStyle name="Check Cell" xfId="1" builtinId="23"/>
    <cellStyle name="Explanatory Text" xfId="7" builtinId="53"/>
    <cellStyle name="Good" xfId="3" builtinId="26"/>
    <cellStyle name="Input" xfId="6" builtinId="20"/>
    <cellStyle name="Neutral" xfId="5" builtinId="28"/>
    <cellStyle name="Normal" xfId="0" builtinId="0"/>
    <cellStyle name="Note" xfId="2" builtinId="10"/>
  </cellStyles>
  <dxfs count="11"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numFmt numFmtId="1" formatCode="0"/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FF0000"/>
      <color rgb="FFFA6D1E"/>
      <color rgb="FF21A0FF"/>
      <color rgb="FF28F82D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checked="Checked" firstButton="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457200</xdr:colOff>
          <xdr:row>47</xdr:row>
          <xdr:rowOff>161925</xdr:rowOff>
        </xdr:from>
        <xdr:to>
          <xdr:col>11</xdr:col>
          <xdr:colOff>2190750</xdr:colOff>
          <xdr:row>51</xdr:row>
          <xdr:rowOff>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Macro buttom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2013856</xdr:colOff>
      <xdr:row>51</xdr:row>
      <xdr:rowOff>164345</xdr:rowOff>
    </xdr:from>
    <xdr:to>
      <xdr:col>11</xdr:col>
      <xdr:colOff>2589137</xdr:colOff>
      <xdr:row>52</xdr:row>
      <xdr:rowOff>109704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80285" y="9893452"/>
          <a:ext cx="575281" cy="13585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46</xdr:row>
          <xdr:rowOff>161925</xdr:rowOff>
        </xdr:from>
        <xdr:to>
          <xdr:col>11</xdr:col>
          <xdr:colOff>2286000</xdr:colOff>
          <xdr:row>49</xdr:row>
          <xdr:rowOff>95250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1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526141</xdr:colOff>
      <xdr:row>65</xdr:row>
      <xdr:rowOff>90260</xdr:rowOff>
    </xdr:from>
    <xdr:to>
      <xdr:col>41</xdr:col>
      <xdr:colOff>195016</xdr:colOff>
      <xdr:row>66</xdr:row>
      <xdr:rowOff>187760</xdr:rowOff>
    </xdr:to>
    <xdr:sp macro="" textlink="">
      <xdr:nvSpPr>
        <xdr:cNvPr id="322" name="Oval 1"/>
        <xdr:cNvSpPr/>
      </xdr:nvSpPr>
      <xdr:spPr>
        <a:xfrm>
          <a:off x="25291141" y="12472760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162151</xdr:colOff>
      <xdr:row>101</xdr:row>
      <xdr:rowOff>99330</xdr:rowOff>
    </xdr:from>
    <xdr:to>
      <xdr:col>33</xdr:col>
      <xdr:colOff>434276</xdr:colOff>
      <xdr:row>103</xdr:row>
      <xdr:rowOff>6330</xdr:rowOff>
    </xdr:to>
    <xdr:sp macro="" textlink="">
      <xdr:nvSpPr>
        <xdr:cNvPr id="323" name="Oval 2"/>
        <xdr:cNvSpPr/>
      </xdr:nvSpPr>
      <xdr:spPr>
        <a:xfrm>
          <a:off x="20593276" y="19339830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212043</xdr:colOff>
      <xdr:row>117</xdr:row>
      <xdr:rowOff>26604</xdr:rowOff>
    </xdr:from>
    <xdr:to>
      <xdr:col>19</xdr:col>
      <xdr:colOff>500043</xdr:colOff>
      <xdr:row>118</xdr:row>
      <xdr:rowOff>124104</xdr:rowOff>
    </xdr:to>
    <xdr:sp macro="" textlink="">
      <xdr:nvSpPr>
        <xdr:cNvPr id="324" name="Oval 3"/>
        <xdr:cNvSpPr/>
      </xdr:nvSpPr>
      <xdr:spPr>
        <a:xfrm>
          <a:off x="11975418" y="22315104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82</xdr:col>
      <xdr:colOff>548594</xdr:colOff>
      <xdr:row>44</xdr:row>
      <xdr:rowOff>187324</xdr:rowOff>
    </xdr:from>
    <xdr:to>
      <xdr:col>83</xdr:col>
      <xdr:colOff>233344</xdr:colOff>
      <xdr:row>46</xdr:row>
      <xdr:rowOff>94324</xdr:rowOff>
    </xdr:to>
    <xdr:sp macro="" textlink="">
      <xdr:nvSpPr>
        <xdr:cNvPr id="325" name="Oval 4"/>
        <xdr:cNvSpPr/>
      </xdr:nvSpPr>
      <xdr:spPr>
        <a:xfrm>
          <a:off x="50015094" y="8378824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68</xdr:col>
      <xdr:colOff>210682</xdr:colOff>
      <xdr:row>78</xdr:row>
      <xdr:rowOff>149676</xdr:rowOff>
    </xdr:from>
    <xdr:to>
      <xdr:col>68</xdr:col>
      <xdr:colOff>498682</xdr:colOff>
      <xdr:row>80</xdr:row>
      <xdr:rowOff>56676</xdr:rowOff>
    </xdr:to>
    <xdr:sp macro="" textlink="">
      <xdr:nvSpPr>
        <xdr:cNvPr id="326" name="Oval 5"/>
        <xdr:cNvSpPr/>
      </xdr:nvSpPr>
      <xdr:spPr>
        <a:xfrm>
          <a:off x="41231682" y="14818176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38</xdr:col>
      <xdr:colOff>148769</xdr:colOff>
      <xdr:row>112</xdr:row>
      <xdr:rowOff>13607</xdr:rowOff>
    </xdr:from>
    <xdr:to>
      <xdr:col>38</xdr:col>
      <xdr:colOff>452644</xdr:colOff>
      <xdr:row>113</xdr:row>
      <xdr:rowOff>111107</xdr:rowOff>
    </xdr:to>
    <xdr:sp macro="" textlink="">
      <xdr:nvSpPr>
        <xdr:cNvPr id="327" name="Oval 6"/>
        <xdr:cNvSpPr/>
      </xdr:nvSpPr>
      <xdr:spPr>
        <a:xfrm>
          <a:off x="23675519" y="21349607"/>
          <a:ext cx="30387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32</xdr:col>
      <xdr:colOff>489703</xdr:colOff>
      <xdr:row>63</xdr:row>
      <xdr:rowOff>140152</xdr:rowOff>
    </xdr:from>
    <xdr:to>
      <xdr:col>33</xdr:col>
      <xdr:colOff>158578</xdr:colOff>
      <xdr:row>65</xdr:row>
      <xdr:rowOff>47152</xdr:rowOff>
    </xdr:to>
    <xdr:sp macro="" textlink="">
      <xdr:nvSpPr>
        <xdr:cNvPr id="328" name="Oval 7"/>
        <xdr:cNvSpPr/>
      </xdr:nvSpPr>
      <xdr:spPr>
        <a:xfrm>
          <a:off x="20301703" y="12141652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46</xdr:col>
      <xdr:colOff>449488</xdr:colOff>
      <xdr:row>109</xdr:row>
      <xdr:rowOff>168727</xdr:rowOff>
    </xdr:from>
    <xdr:to>
      <xdr:col>47</xdr:col>
      <xdr:colOff>118363</xdr:colOff>
      <xdr:row>111</xdr:row>
      <xdr:rowOff>75727</xdr:rowOff>
    </xdr:to>
    <xdr:sp macro="" textlink="">
      <xdr:nvSpPr>
        <xdr:cNvPr id="329" name="Oval 8"/>
        <xdr:cNvSpPr/>
      </xdr:nvSpPr>
      <xdr:spPr>
        <a:xfrm>
          <a:off x="28929238" y="20933227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271954</xdr:colOff>
      <xdr:row>135</xdr:row>
      <xdr:rowOff>106514</xdr:rowOff>
    </xdr:from>
    <xdr:to>
      <xdr:col>33</xdr:col>
      <xdr:colOff>544079</xdr:colOff>
      <xdr:row>137</xdr:row>
      <xdr:rowOff>13514</xdr:rowOff>
    </xdr:to>
    <xdr:sp macro="" textlink="">
      <xdr:nvSpPr>
        <xdr:cNvPr id="330" name="Oval 9"/>
        <xdr:cNvSpPr/>
      </xdr:nvSpPr>
      <xdr:spPr>
        <a:xfrm>
          <a:off x="20703079" y="25824014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338973</xdr:colOff>
      <xdr:row>172</xdr:row>
      <xdr:rowOff>4470</xdr:rowOff>
    </xdr:from>
    <xdr:to>
      <xdr:col>35</xdr:col>
      <xdr:colOff>7848</xdr:colOff>
      <xdr:row>173</xdr:row>
      <xdr:rowOff>101970</xdr:rowOff>
    </xdr:to>
    <xdr:sp macro="" textlink="">
      <xdr:nvSpPr>
        <xdr:cNvPr id="331" name="Oval 10"/>
        <xdr:cNvSpPr/>
      </xdr:nvSpPr>
      <xdr:spPr>
        <a:xfrm>
          <a:off x="21389223" y="32579970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55</xdr:col>
      <xdr:colOff>577711</xdr:colOff>
      <xdr:row>95</xdr:row>
      <xdr:rowOff>155801</xdr:rowOff>
    </xdr:from>
    <xdr:to>
      <xdr:col>56</xdr:col>
      <xdr:colOff>262461</xdr:colOff>
      <xdr:row>97</xdr:row>
      <xdr:rowOff>62801</xdr:rowOff>
    </xdr:to>
    <xdr:sp macro="" textlink="">
      <xdr:nvSpPr>
        <xdr:cNvPr id="332" name="11"/>
        <xdr:cNvSpPr/>
      </xdr:nvSpPr>
      <xdr:spPr>
        <a:xfrm>
          <a:off x="33756461" y="18062801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452138</xdr:colOff>
      <xdr:row>208</xdr:row>
      <xdr:rowOff>57381</xdr:rowOff>
    </xdr:from>
    <xdr:to>
      <xdr:col>35</xdr:col>
      <xdr:colOff>121013</xdr:colOff>
      <xdr:row>209</xdr:row>
      <xdr:rowOff>154881</xdr:rowOff>
    </xdr:to>
    <xdr:sp macro="" textlink="">
      <xdr:nvSpPr>
        <xdr:cNvPr id="333" name="Oval 12"/>
        <xdr:cNvSpPr/>
      </xdr:nvSpPr>
      <xdr:spPr>
        <a:xfrm>
          <a:off x="21502388" y="39490881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70</xdr:col>
      <xdr:colOff>428625</xdr:colOff>
      <xdr:row>59</xdr:row>
      <xdr:rowOff>31975</xdr:rowOff>
    </xdr:from>
    <xdr:to>
      <xdr:col>71</xdr:col>
      <xdr:colOff>97500</xdr:colOff>
      <xdr:row>60</xdr:row>
      <xdr:rowOff>129475</xdr:rowOff>
    </xdr:to>
    <xdr:sp macro="" textlink="">
      <xdr:nvSpPr>
        <xdr:cNvPr id="334" name="Oval 333"/>
        <xdr:cNvSpPr/>
      </xdr:nvSpPr>
      <xdr:spPr>
        <a:xfrm>
          <a:off x="42656125" y="11080975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439442</xdr:colOff>
      <xdr:row>228</xdr:row>
      <xdr:rowOff>139783</xdr:rowOff>
    </xdr:from>
    <xdr:to>
      <xdr:col>35</xdr:col>
      <xdr:colOff>82917</xdr:colOff>
      <xdr:row>230</xdr:row>
      <xdr:rowOff>46783</xdr:rowOff>
    </xdr:to>
    <xdr:sp macro="" textlink="">
      <xdr:nvSpPr>
        <xdr:cNvPr id="335" name="Oval 14"/>
        <xdr:cNvSpPr/>
      </xdr:nvSpPr>
      <xdr:spPr>
        <a:xfrm>
          <a:off x="21489692" y="43383283"/>
          <a:ext cx="2626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32</xdr:col>
      <xdr:colOff>577016</xdr:colOff>
      <xdr:row>75</xdr:row>
      <xdr:rowOff>77558</xdr:rowOff>
    </xdr:from>
    <xdr:to>
      <xdr:col>33</xdr:col>
      <xdr:colOff>230016</xdr:colOff>
      <xdr:row>76</xdr:row>
      <xdr:rowOff>175058</xdr:rowOff>
    </xdr:to>
    <xdr:sp macro="" textlink="">
      <xdr:nvSpPr>
        <xdr:cNvPr id="336" name="Oval 15"/>
        <xdr:cNvSpPr/>
      </xdr:nvSpPr>
      <xdr:spPr>
        <a:xfrm>
          <a:off x="20389016" y="14365058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42</xdr:col>
      <xdr:colOff>472392</xdr:colOff>
      <xdr:row>111</xdr:row>
      <xdr:rowOff>13607</xdr:rowOff>
    </xdr:from>
    <xdr:to>
      <xdr:col>43</xdr:col>
      <xdr:colOff>141267</xdr:colOff>
      <xdr:row>112</xdr:row>
      <xdr:rowOff>111107</xdr:rowOff>
    </xdr:to>
    <xdr:sp macro="" textlink="">
      <xdr:nvSpPr>
        <xdr:cNvPr id="337" name="Oval 16"/>
        <xdr:cNvSpPr/>
      </xdr:nvSpPr>
      <xdr:spPr>
        <a:xfrm>
          <a:off x="26475642" y="21159107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446852</xdr:colOff>
      <xdr:row>242</xdr:row>
      <xdr:rowOff>67284</xdr:rowOff>
    </xdr:from>
    <xdr:to>
      <xdr:col>35</xdr:col>
      <xdr:colOff>115727</xdr:colOff>
      <xdr:row>243</xdr:row>
      <xdr:rowOff>164784</xdr:rowOff>
    </xdr:to>
    <xdr:sp macro="" textlink="">
      <xdr:nvSpPr>
        <xdr:cNvPr id="338" name="Oval 17"/>
        <xdr:cNvSpPr/>
      </xdr:nvSpPr>
      <xdr:spPr>
        <a:xfrm>
          <a:off x="21497102" y="46168284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76</xdr:col>
      <xdr:colOff>181429</xdr:colOff>
      <xdr:row>47</xdr:row>
      <xdr:rowOff>87991</xdr:rowOff>
    </xdr:from>
    <xdr:to>
      <xdr:col>76</xdr:col>
      <xdr:colOff>469429</xdr:colOff>
      <xdr:row>48</xdr:row>
      <xdr:rowOff>185491</xdr:rowOff>
    </xdr:to>
    <xdr:sp macro="" textlink="">
      <xdr:nvSpPr>
        <xdr:cNvPr id="339" name="Oval 338"/>
        <xdr:cNvSpPr/>
      </xdr:nvSpPr>
      <xdr:spPr>
        <a:xfrm>
          <a:off x="46028429" y="8850991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448434</xdr:colOff>
      <xdr:row>220</xdr:row>
      <xdr:rowOff>111428</xdr:rowOff>
    </xdr:from>
    <xdr:to>
      <xdr:col>35</xdr:col>
      <xdr:colOff>110959</xdr:colOff>
      <xdr:row>222</xdr:row>
      <xdr:rowOff>18428</xdr:rowOff>
    </xdr:to>
    <xdr:sp macro="" textlink="">
      <xdr:nvSpPr>
        <xdr:cNvPr id="340" name="Oval 19"/>
        <xdr:cNvSpPr/>
      </xdr:nvSpPr>
      <xdr:spPr>
        <a:xfrm>
          <a:off x="21498684" y="41830928"/>
          <a:ext cx="28165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392943</xdr:colOff>
      <xdr:row>148</xdr:row>
      <xdr:rowOff>113092</xdr:rowOff>
    </xdr:from>
    <xdr:to>
      <xdr:col>34</xdr:col>
      <xdr:colOff>36418</xdr:colOff>
      <xdr:row>150</xdr:row>
      <xdr:rowOff>20092</xdr:rowOff>
    </xdr:to>
    <xdr:sp macro="" textlink="">
      <xdr:nvSpPr>
        <xdr:cNvPr id="341" name="Oval 20"/>
        <xdr:cNvSpPr/>
      </xdr:nvSpPr>
      <xdr:spPr>
        <a:xfrm>
          <a:off x="20824068" y="28307092"/>
          <a:ext cx="2626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216131</xdr:colOff>
      <xdr:row>196</xdr:row>
      <xdr:rowOff>66000</xdr:rowOff>
    </xdr:from>
    <xdr:to>
      <xdr:col>34</xdr:col>
      <xdr:colOff>488256</xdr:colOff>
      <xdr:row>197</xdr:row>
      <xdr:rowOff>163500</xdr:rowOff>
    </xdr:to>
    <xdr:sp macro="" textlink="">
      <xdr:nvSpPr>
        <xdr:cNvPr id="342" name="Oval 21"/>
        <xdr:cNvSpPr/>
      </xdr:nvSpPr>
      <xdr:spPr>
        <a:xfrm>
          <a:off x="21266381" y="37213500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66</xdr:col>
      <xdr:colOff>534709</xdr:colOff>
      <xdr:row>131</xdr:row>
      <xdr:rowOff>129737</xdr:rowOff>
    </xdr:from>
    <xdr:to>
      <xdr:col>67</xdr:col>
      <xdr:colOff>203584</xdr:colOff>
      <xdr:row>133</xdr:row>
      <xdr:rowOff>36737</xdr:rowOff>
    </xdr:to>
    <xdr:sp macro="" textlink="">
      <xdr:nvSpPr>
        <xdr:cNvPr id="343" name="Oval 22"/>
        <xdr:cNvSpPr/>
      </xdr:nvSpPr>
      <xdr:spPr>
        <a:xfrm>
          <a:off x="41396959" y="25085237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80657</xdr:colOff>
      <xdr:row>89</xdr:row>
      <xdr:rowOff>38779</xdr:rowOff>
    </xdr:from>
    <xdr:to>
      <xdr:col>33</xdr:col>
      <xdr:colOff>352782</xdr:colOff>
      <xdr:row>90</xdr:row>
      <xdr:rowOff>136279</xdr:rowOff>
    </xdr:to>
    <xdr:sp macro="" textlink="">
      <xdr:nvSpPr>
        <xdr:cNvPr id="344" name="Oval 23"/>
        <xdr:cNvSpPr/>
      </xdr:nvSpPr>
      <xdr:spPr>
        <a:xfrm>
          <a:off x="20511782" y="16993279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60</xdr:col>
      <xdr:colOff>325245</xdr:colOff>
      <xdr:row>130</xdr:row>
      <xdr:rowOff>183575</xdr:rowOff>
    </xdr:from>
    <xdr:to>
      <xdr:col>60</xdr:col>
      <xdr:colOff>613245</xdr:colOff>
      <xdr:row>132</xdr:row>
      <xdr:rowOff>90575</xdr:rowOff>
    </xdr:to>
    <xdr:sp macro="" textlink="">
      <xdr:nvSpPr>
        <xdr:cNvPr id="345" name="Oval 24"/>
        <xdr:cNvSpPr/>
      </xdr:nvSpPr>
      <xdr:spPr>
        <a:xfrm>
          <a:off x="37472745" y="24948575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468806</xdr:colOff>
      <xdr:row>250</xdr:row>
      <xdr:rowOff>172437</xdr:rowOff>
    </xdr:from>
    <xdr:to>
      <xdr:col>35</xdr:col>
      <xdr:colOff>137681</xdr:colOff>
      <xdr:row>252</xdr:row>
      <xdr:rowOff>79437</xdr:rowOff>
    </xdr:to>
    <xdr:sp macro="" textlink="">
      <xdr:nvSpPr>
        <xdr:cNvPr id="346" name="Oval 25"/>
        <xdr:cNvSpPr/>
      </xdr:nvSpPr>
      <xdr:spPr>
        <a:xfrm>
          <a:off x="21519056" y="47606937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25</xdr:col>
      <xdr:colOff>286427</xdr:colOff>
      <xdr:row>109</xdr:row>
      <xdr:rowOff>176514</xdr:rowOff>
    </xdr:from>
    <xdr:to>
      <xdr:col>25</xdr:col>
      <xdr:colOff>590302</xdr:colOff>
      <xdr:row>111</xdr:row>
      <xdr:rowOff>83514</xdr:rowOff>
    </xdr:to>
    <xdr:sp macro="" textlink="">
      <xdr:nvSpPr>
        <xdr:cNvPr id="347" name="Oval 26"/>
        <xdr:cNvSpPr/>
      </xdr:nvSpPr>
      <xdr:spPr>
        <a:xfrm>
          <a:off x="15764552" y="20941014"/>
          <a:ext cx="30387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322039</xdr:colOff>
      <xdr:row>185</xdr:row>
      <xdr:rowOff>2801</xdr:rowOff>
    </xdr:from>
    <xdr:to>
      <xdr:col>34</xdr:col>
      <xdr:colOff>603689</xdr:colOff>
      <xdr:row>186</xdr:row>
      <xdr:rowOff>100301</xdr:rowOff>
    </xdr:to>
    <xdr:sp macro="" textlink="">
      <xdr:nvSpPr>
        <xdr:cNvPr id="348" name="Oval 27"/>
        <xdr:cNvSpPr/>
      </xdr:nvSpPr>
      <xdr:spPr>
        <a:xfrm>
          <a:off x="21372289" y="35054801"/>
          <a:ext cx="28165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55</xdr:col>
      <xdr:colOff>114839</xdr:colOff>
      <xdr:row>128</xdr:row>
      <xdr:rowOff>17376</xdr:rowOff>
    </xdr:from>
    <xdr:to>
      <xdr:col>55</xdr:col>
      <xdr:colOff>412364</xdr:colOff>
      <xdr:row>129</xdr:row>
      <xdr:rowOff>114876</xdr:rowOff>
    </xdr:to>
    <xdr:sp macro="" textlink="">
      <xdr:nvSpPr>
        <xdr:cNvPr id="349" name="Oval 28"/>
        <xdr:cNvSpPr/>
      </xdr:nvSpPr>
      <xdr:spPr>
        <a:xfrm>
          <a:off x="34166714" y="24401376"/>
          <a:ext cx="2975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0</a:t>
          </a:r>
        </a:p>
      </xdr:txBody>
    </xdr:sp>
    <xdr:clientData/>
  </xdr:twoCellAnchor>
  <xdr:twoCellAnchor>
    <xdr:from>
      <xdr:col>32</xdr:col>
      <xdr:colOff>442608</xdr:colOff>
      <xdr:row>52</xdr:row>
      <xdr:rowOff>134023</xdr:rowOff>
    </xdr:from>
    <xdr:to>
      <xdr:col>33</xdr:col>
      <xdr:colOff>95608</xdr:colOff>
      <xdr:row>54</xdr:row>
      <xdr:rowOff>41023</xdr:rowOff>
    </xdr:to>
    <xdr:sp macro="" textlink="">
      <xdr:nvSpPr>
        <xdr:cNvPr id="350" name="Oval 29"/>
        <xdr:cNvSpPr/>
      </xdr:nvSpPr>
      <xdr:spPr>
        <a:xfrm>
          <a:off x="20254608" y="10040023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195714</xdr:colOff>
      <xdr:row>113</xdr:row>
      <xdr:rowOff>119062</xdr:rowOff>
    </xdr:from>
    <xdr:to>
      <xdr:col>33</xdr:col>
      <xdr:colOff>467839</xdr:colOff>
      <xdr:row>115</xdr:row>
      <xdr:rowOff>26062</xdr:rowOff>
    </xdr:to>
    <xdr:sp macro="" textlink="">
      <xdr:nvSpPr>
        <xdr:cNvPr id="351" name="Oval 30"/>
        <xdr:cNvSpPr/>
      </xdr:nvSpPr>
      <xdr:spPr>
        <a:xfrm>
          <a:off x="20626839" y="21645562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60</xdr:col>
      <xdr:colOff>433542</xdr:colOff>
      <xdr:row>93</xdr:row>
      <xdr:rowOff>16554</xdr:rowOff>
    </xdr:from>
    <xdr:to>
      <xdr:col>61</xdr:col>
      <xdr:colOff>102417</xdr:colOff>
      <xdr:row>94</xdr:row>
      <xdr:rowOff>114054</xdr:rowOff>
    </xdr:to>
    <xdr:sp macro="" textlink="">
      <xdr:nvSpPr>
        <xdr:cNvPr id="352" name="Oval 31"/>
        <xdr:cNvSpPr/>
      </xdr:nvSpPr>
      <xdr:spPr>
        <a:xfrm>
          <a:off x="36628542" y="17542554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66</xdr:col>
      <xdr:colOff>22381</xdr:colOff>
      <xdr:row>91</xdr:row>
      <xdr:rowOff>149223</xdr:rowOff>
    </xdr:from>
    <xdr:to>
      <xdr:col>66</xdr:col>
      <xdr:colOff>294506</xdr:colOff>
      <xdr:row>93</xdr:row>
      <xdr:rowOff>56223</xdr:rowOff>
    </xdr:to>
    <xdr:sp macro="" textlink="">
      <xdr:nvSpPr>
        <xdr:cNvPr id="353" name="32"/>
        <xdr:cNvSpPr/>
      </xdr:nvSpPr>
      <xdr:spPr>
        <a:xfrm>
          <a:off x="39836881" y="17294223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50</xdr:col>
      <xdr:colOff>456745</xdr:colOff>
      <xdr:row>99</xdr:row>
      <xdr:rowOff>166460</xdr:rowOff>
    </xdr:from>
    <xdr:to>
      <xdr:col>51</xdr:col>
      <xdr:colOff>141495</xdr:colOff>
      <xdr:row>101</xdr:row>
      <xdr:rowOff>73460</xdr:rowOff>
    </xdr:to>
    <xdr:sp macro="" textlink="">
      <xdr:nvSpPr>
        <xdr:cNvPr id="354" name="Oval 33"/>
        <xdr:cNvSpPr/>
      </xdr:nvSpPr>
      <xdr:spPr>
        <a:xfrm>
          <a:off x="30619245" y="18835460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22</xdr:col>
      <xdr:colOff>353332</xdr:colOff>
      <xdr:row>109</xdr:row>
      <xdr:rowOff>91848</xdr:rowOff>
    </xdr:from>
    <xdr:to>
      <xdr:col>23</xdr:col>
      <xdr:colOff>22207</xdr:colOff>
      <xdr:row>110</xdr:row>
      <xdr:rowOff>189348</xdr:rowOff>
    </xdr:to>
    <xdr:sp macro="" textlink="">
      <xdr:nvSpPr>
        <xdr:cNvPr id="355" name="Oval 34"/>
        <xdr:cNvSpPr/>
      </xdr:nvSpPr>
      <xdr:spPr>
        <a:xfrm>
          <a:off x="13974082" y="20856348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38</xdr:col>
      <xdr:colOff>121782</xdr:colOff>
      <xdr:row>48</xdr:row>
      <xdr:rowOff>187096</xdr:rowOff>
    </xdr:from>
    <xdr:to>
      <xdr:col>38</xdr:col>
      <xdr:colOff>416132</xdr:colOff>
      <xdr:row>50</xdr:row>
      <xdr:rowOff>94096</xdr:rowOff>
    </xdr:to>
    <xdr:sp macro="" textlink="">
      <xdr:nvSpPr>
        <xdr:cNvPr id="356" name="Oval 35"/>
        <xdr:cNvSpPr/>
      </xdr:nvSpPr>
      <xdr:spPr>
        <a:xfrm>
          <a:off x="23648532" y="9331096"/>
          <a:ext cx="29435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351597</xdr:colOff>
      <xdr:row>160</xdr:row>
      <xdr:rowOff>67356</xdr:rowOff>
    </xdr:from>
    <xdr:to>
      <xdr:col>35</xdr:col>
      <xdr:colOff>4597</xdr:colOff>
      <xdr:row>161</xdr:row>
      <xdr:rowOff>164856</xdr:rowOff>
    </xdr:to>
    <xdr:sp macro="" textlink="">
      <xdr:nvSpPr>
        <xdr:cNvPr id="357" name="Oval 36"/>
        <xdr:cNvSpPr/>
      </xdr:nvSpPr>
      <xdr:spPr>
        <a:xfrm>
          <a:off x="21401847" y="30547356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31</xdr:col>
      <xdr:colOff>584276</xdr:colOff>
      <xdr:row>31</xdr:row>
      <xdr:rowOff>133349</xdr:rowOff>
    </xdr:from>
    <xdr:to>
      <xdr:col>32</xdr:col>
      <xdr:colOff>227751</xdr:colOff>
      <xdr:row>33</xdr:row>
      <xdr:rowOff>40349</xdr:rowOff>
    </xdr:to>
    <xdr:sp macro="" textlink="">
      <xdr:nvSpPr>
        <xdr:cNvPr id="358" name="Oval 37"/>
        <xdr:cNvSpPr/>
      </xdr:nvSpPr>
      <xdr:spPr>
        <a:xfrm>
          <a:off x="19777151" y="6038849"/>
          <a:ext cx="2626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45</xdr:col>
      <xdr:colOff>381452</xdr:colOff>
      <xdr:row>95</xdr:row>
      <xdr:rowOff>108632</xdr:rowOff>
    </xdr:from>
    <xdr:to>
      <xdr:col>46</xdr:col>
      <xdr:colOff>34452</xdr:colOff>
      <xdr:row>97</xdr:row>
      <xdr:rowOff>15632</xdr:rowOff>
    </xdr:to>
    <xdr:sp macro="" textlink="">
      <xdr:nvSpPr>
        <xdr:cNvPr id="359" name="Oval 38"/>
        <xdr:cNvSpPr/>
      </xdr:nvSpPr>
      <xdr:spPr>
        <a:xfrm>
          <a:off x="28242077" y="18206132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32</xdr:col>
      <xdr:colOff>461506</xdr:colOff>
      <xdr:row>42</xdr:row>
      <xdr:rowOff>42182</xdr:rowOff>
    </xdr:from>
    <xdr:to>
      <xdr:col>33</xdr:col>
      <xdr:colOff>114506</xdr:colOff>
      <xdr:row>43</xdr:row>
      <xdr:rowOff>139682</xdr:rowOff>
    </xdr:to>
    <xdr:sp macro="" textlink="">
      <xdr:nvSpPr>
        <xdr:cNvPr id="360" name="Oval 39"/>
        <xdr:cNvSpPr/>
      </xdr:nvSpPr>
      <xdr:spPr>
        <a:xfrm>
          <a:off x="20273506" y="8043182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534987</xdr:colOff>
      <xdr:row>101</xdr:row>
      <xdr:rowOff>137431</xdr:rowOff>
    </xdr:from>
    <xdr:to>
      <xdr:col>19</xdr:col>
      <xdr:colOff>203862</xdr:colOff>
      <xdr:row>103</xdr:row>
      <xdr:rowOff>44431</xdr:rowOff>
    </xdr:to>
    <xdr:sp macro="" textlink="">
      <xdr:nvSpPr>
        <xdr:cNvPr id="361" name="Oval 40"/>
        <xdr:cNvSpPr/>
      </xdr:nvSpPr>
      <xdr:spPr>
        <a:xfrm>
          <a:off x="11679237" y="19377931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45</xdr:col>
      <xdr:colOff>456974</xdr:colOff>
      <xdr:row>74</xdr:row>
      <xdr:rowOff>93590</xdr:rowOff>
    </xdr:from>
    <xdr:to>
      <xdr:col>46</xdr:col>
      <xdr:colOff>109974</xdr:colOff>
      <xdr:row>76</xdr:row>
      <xdr:rowOff>590</xdr:rowOff>
    </xdr:to>
    <xdr:sp macro="" textlink="">
      <xdr:nvSpPr>
        <xdr:cNvPr id="362" name="Oval 41"/>
        <xdr:cNvSpPr/>
      </xdr:nvSpPr>
      <xdr:spPr>
        <a:xfrm>
          <a:off x="28317599" y="14190590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29</xdr:col>
      <xdr:colOff>77107</xdr:colOff>
      <xdr:row>111</xdr:row>
      <xdr:rowOff>87084</xdr:rowOff>
    </xdr:from>
    <xdr:to>
      <xdr:col>29</xdr:col>
      <xdr:colOff>349232</xdr:colOff>
      <xdr:row>112</xdr:row>
      <xdr:rowOff>184584</xdr:rowOff>
    </xdr:to>
    <xdr:sp macro="" textlink="">
      <xdr:nvSpPr>
        <xdr:cNvPr id="363" name="Oval 42"/>
        <xdr:cNvSpPr/>
      </xdr:nvSpPr>
      <xdr:spPr>
        <a:xfrm>
          <a:off x="18031732" y="21232584"/>
          <a:ext cx="2721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249808</xdr:colOff>
      <xdr:row>123</xdr:row>
      <xdr:rowOff>188016</xdr:rowOff>
    </xdr:from>
    <xdr:to>
      <xdr:col>33</xdr:col>
      <xdr:colOff>537808</xdr:colOff>
      <xdr:row>125</xdr:row>
      <xdr:rowOff>95016</xdr:rowOff>
    </xdr:to>
    <xdr:sp macro="" textlink="">
      <xdr:nvSpPr>
        <xdr:cNvPr id="364" name="Oval 43"/>
        <xdr:cNvSpPr/>
      </xdr:nvSpPr>
      <xdr:spPr>
        <a:xfrm>
          <a:off x="20680933" y="23619516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71</xdr:col>
      <xdr:colOff>131184</xdr:colOff>
      <xdr:row>142</xdr:row>
      <xdr:rowOff>60028</xdr:rowOff>
    </xdr:from>
    <xdr:to>
      <xdr:col>71</xdr:col>
      <xdr:colOff>428709</xdr:colOff>
      <xdr:row>143</xdr:row>
      <xdr:rowOff>157528</xdr:rowOff>
    </xdr:to>
    <xdr:sp macro="" textlink="">
      <xdr:nvSpPr>
        <xdr:cNvPr id="365" name="Oval 44"/>
        <xdr:cNvSpPr/>
      </xdr:nvSpPr>
      <xdr:spPr>
        <a:xfrm>
          <a:off x="44089059" y="27111028"/>
          <a:ext cx="297525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50</xdr:col>
      <xdr:colOff>244473</xdr:colOff>
      <xdr:row>120</xdr:row>
      <xdr:rowOff>68489</xdr:rowOff>
    </xdr:from>
    <xdr:to>
      <xdr:col>50</xdr:col>
      <xdr:colOff>532473</xdr:colOff>
      <xdr:row>121</xdr:row>
      <xdr:rowOff>165989</xdr:rowOff>
    </xdr:to>
    <xdr:sp macro="" textlink="">
      <xdr:nvSpPr>
        <xdr:cNvPr id="366" name="Oval 45"/>
        <xdr:cNvSpPr/>
      </xdr:nvSpPr>
      <xdr:spPr>
        <a:xfrm>
          <a:off x="31200723" y="22928489"/>
          <a:ext cx="288000" cy="288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32</xdr:col>
      <xdr:colOff>96451</xdr:colOff>
      <xdr:row>33</xdr:row>
      <xdr:rowOff>40349</xdr:rowOff>
    </xdr:from>
    <xdr:to>
      <xdr:col>32</xdr:col>
      <xdr:colOff>597569</xdr:colOff>
      <xdr:row>42</xdr:row>
      <xdr:rowOff>42182</xdr:rowOff>
    </xdr:to>
    <xdr:cxnSp macro="">
      <xdr:nvCxnSpPr>
        <xdr:cNvPr id="3" name="Straight Connector 50"/>
        <xdr:cNvCxnSpPr>
          <a:stCxn id="358" idx="4"/>
          <a:endCxn id="360" idx="0"/>
        </xdr:cNvCxnSpPr>
      </xdr:nvCxnSpPr>
      <xdr:spPr>
        <a:xfrm>
          <a:off x="19908451" y="6326849"/>
          <a:ext cx="501118" cy="1716333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578671</xdr:colOff>
      <xdr:row>43</xdr:row>
      <xdr:rowOff>139682</xdr:rowOff>
    </xdr:from>
    <xdr:to>
      <xdr:col>32</xdr:col>
      <xdr:colOff>597569</xdr:colOff>
      <xdr:row>52</xdr:row>
      <xdr:rowOff>134023</xdr:rowOff>
    </xdr:to>
    <xdr:cxnSp macro="">
      <xdr:nvCxnSpPr>
        <xdr:cNvPr id="7" name="Straight Connector 51"/>
        <xdr:cNvCxnSpPr>
          <a:stCxn id="360" idx="4"/>
          <a:endCxn id="350" idx="0"/>
        </xdr:cNvCxnSpPr>
      </xdr:nvCxnSpPr>
      <xdr:spPr>
        <a:xfrm flipH="1">
          <a:off x="20390671" y="8331182"/>
          <a:ext cx="18898" cy="170884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578671</xdr:colOff>
      <xdr:row>54</xdr:row>
      <xdr:rowOff>41023</xdr:rowOff>
    </xdr:from>
    <xdr:to>
      <xdr:col>33</xdr:col>
      <xdr:colOff>14578</xdr:colOff>
      <xdr:row>63</xdr:row>
      <xdr:rowOff>140152</xdr:rowOff>
    </xdr:to>
    <xdr:cxnSp macro="">
      <xdr:nvCxnSpPr>
        <xdr:cNvPr id="9" name="Straight Connector 52"/>
        <xdr:cNvCxnSpPr>
          <a:stCxn id="350" idx="4"/>
          <a:endCxn id="328" idx="0"/>
        </xdr:cNvCxnSpPr>
      </xdr:nvCxnSpPr>
      <xdr:spPr>
        <a:xfrm>
          <a:off x="20390671" y="10328023"/>
          <a:ext cx="55032" cy="1813629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14578</xdr:colOff>
      <xdr:row>65</xdr:row>
      <xdr:rowOff>47152</xdr:rowOff>
    </xdr:from>
    <xdr:to>
      <xdr:col>33</xdr:col>
      <xdr:colOff>93954</xdr:colOff>
      <xdr:row>75</xdr:row>
      <xdr:rowOff>77558</xdr:rowOff>
    </xdr:to>
    <xdr:cxnSp macro="">
      <xdr:nvCxnSpPr>
        <xdr:cNvPr id="11" name="Straight Connector 53"/>
        <xdr:cNvCxnSpPr>
          <a:stCxn id="328" idx="4"/>
          <a:endCxn id="336" idx="0"/>
        </xdr:cNvCxnSpPr>
      </xdr:nvCxnSpPr>
      <xdr:spPr>
        <a:xfrm>
          <a:off x="20445703" y="12429652"/>
          <a:ext cx="79376" cy="1935406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93954</xdr:colOff>
      <xdr:row>76</xdr:row>
      <xdr:rowOff>175058</xdr:rowOff>
    </xdr:from>
    <xdr:to>
      <xdr:col>33</xdr:col>
      <xdr:colOff>216720</xdr:colOff>
      <xdr:row>89</xdr:row>
      <xdr:rowOff>38779</xdr:rowOff>
    </xdr:to>
    <xdr:cxnSp macro="">
      <xdr:nvCxnSpPr>
        <xdr:cNvPr id="13" name="Straight Connector 54"/>
        <xdr:cNvCxnSpPr>
          <a:stCxn id="336" idx="4"/>
          <a:endCxn id="344" idx="0"/>
        </xdr:cNvCxnSpPr>
      </xdr:nvCxnSpPr>
      <xdr:spPr>
        <a:xfrm>
          <a:off x="20525079" y="14653058"/>
          <a:ext cx="122766" cy="234022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216720</xdr:colOff>
      <xdr:row>90</xdr:row>
      <xdr:rowOff>136279</xdr:rowOff>
    </xdr:from>
    <xdr:to>
      <xdr:col>33</xdr:col>
      <xdr:colOff>298214</xdr:colOff>
      <xdr:row>101</xdr:row>
      <xdr:rowOff>99330</xdr:rowOff>
    </xdr:to>
    <xdr:cxnSp macro="">
      <xdr:nvCxnSpPr>
        <xdr:cNvPr id="15" name="Straight Connector 55"/>
        <xdr:cNvCxnSpPr>
          <a:stCxn id="344" idx="4"/>
          <a:endCxn id="323" idx="0"/>
        </xdr:cNvCxnSpPr>
      </xdr:nvCxnSpPr>
      <xdr:spPr>
        <a:xfrm>
          <a:off x="20647845" y="17281279"/>
          <a:ext cx="81494" cy="205855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298214</xdr:colOff>
      <xdr:row>103</xdr:row>
      <xdr:rowOff>6330</xdr:rowOff>
    </xdr:from>
    <xdr:to>
      <xdr:col>33</xdr:col>
      <xdr:colOff>331777</xdr:colOff>
      <xdr:row>113</xdr:row>
      <xdr:rowOff>119062</xdr:rowOff>
    </xdr:to>
    <xdr:cxnSp macro="">
      <xdr:nvCxnSpPr>
        <xdr:cNvPr id="17" name="Straight Connector 56"/>
        <xdr:cNvCxnSpPr>
          <a:stCxn id="323" idx="4"/>
          <a:endCxn id="351" idx="0"/>
        </xdr:cNvCxnSpPr>
      </xdr:nvCxnSpPr>
      <xdr:spPr>
        <a:xfrm>
          <a:off x="20729339" y="19627830"/>
          <a:ext cx="33563" cy="2017732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331777</xdr:colOff>
      <xdr:row>115</xdr:row>
      <xdr:rowOff>26062</xdr:rowOff>
    </xdr:from>
    <xdr:to>
      <xdr:col>33</xdr:col>
      <xdr:colOff>393808</xdr:colOff>
      <xdr:row>123</xdr:row>
      <xdr:rowOff>188016</xdr:rowOff>
    </xdr:to>
    <xdr:cxnSp macro="">
      <xdr:nvCxnSpPr>
        <xdr:cNvPr id="19" name="Straight Connector 57"/>
        <xdr:cNvCxnSpPr>
          <a:stCxn id="351" idx="4"/>
          <a:endCxn id="364" idx="0"/>
        </xdr:cNvCxnSpPr>
      </xdr:nvCxnSpPr>
      <xdr:spPr>
        <a:xfrm>
          <a:off x="20762902" y="21933562"/>
          <a:ext cx="62031" cy="168595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393808</xdr:colOff>
      <xdr:row>125</xdr:row>
      <xdr:rowOff>95016</xdr:rowOff>
    </xdr:from>
    <xdr:to>
      <xdr:col>33</xdr:col>
      <xdr:colOff>408017</xdr:colOff>
      <xdr:row>135</xdr:row>
      <xdr:rowOff>106514</xdr:rowOff>
    </xdr:to>
    <xdr:cxnSp macro="">
      <xdr:nvCxnSpPr>
        <xdr:cNvPr id="21" name="Straight Connector 58"/>
        <xdr:cNvCxnSpPr>
          <a:stCxn id="364" idx="4"/>
          <a:endCxn id="330" idx="0"/>
        </xdr:cNvCxnSpPr>
      </xdr:nvCxnSpPr>
      <xdr:spPr>
        <a:xfrm>
          <a:off x="20824933" y="23907516"/>
          <a:ext cx="14209" cy="191649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408017</xdr:colOff>
      <xdr:row>137</xdr:row>
      <xdr:rowOff>13514</xdr:rowOff>
    </xdr:from>
    <xdr:to>
      <xdr:col>33</xdr:col>
      <xdr:colOff>524243</xdr:colOff>
      <xdr:row>148</xdr:row>
      <xdr:rowOff>113092</xdr:rowOff>
    </xdr:to>
    <xdr:cxnSp macro="">
      <xdr:nvCxnSpPr>
        <xdr:cNvPr id="23" name="Straight Connector 59"/>
        <xdr:cNvCxnSpPr>
          <a:stCxn id="330" idx="4"/>
          <a:endCxn id="341" idx="0"/>
        </xdr:cNvCxnSpPr>
      </xdr:nvCxnSpPr>
      <xdr:spPr>
        <a:xfrm>
          <a:off x="20839142" y="26112014"/>
          <a:ext cx="116226" cy="219507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524243</xdr:colOff>
      <xdr:row>150</xdr:row>
      <xdr:rowOff>20092</xdr:rowOff>
    </xdr:from>
    <xdr:to>
      <xdr:col>34</xdr:col>
      <xdr:colOff>487660</xdr:colOff>
      <xdr:row>160</xdr:row>
      <xdr:rowOff>67356</xdr:rowOff>
    </xdr:to>
    <xdr:cxnSp macro="">
      <xdr:nvCxnSpPr>
        <xdr:cNvPr id="25" name="Straight Connector 60"/>
        <xdr:cNvCxnSpPr>
          <a:stCxn id="341" idx="4"/>
          <a:endCxn id="357" idx="0"/>
        </xdr:cNvCxnSpPr>
      </xdr:nvCxnSpPr>
      <xdr:spPr>
        <a:xfrm>
          <a:off x="20955368" y="28595092"/>
          <a:ext cx="582542" cy="195226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482973</xdr:colOff>
      <xdr:row>161</xdr:row>
      <xdr:rowOff>164856</xdr:rowOff>
    </xdr:from>
    <xdr:to>
      <xdr:col>34</xdr:col>
      <xdr:colOff>487660</xdr:colOff>
      <xdr:row>172</xdr:row>
      <xdr:rowOff>4470</xdr:rowOff>
    </xdr:to>
    <xdr:cxnSp macro="">
      <xdr:nvCxnSpPr>
        <xdr:cNvPr id="27" name="Straight Connector 61"/>
        <xdr:cNvCxnSpPr>
          <a:stCxn id="357" idx="4"/>
          <a:endCxn id="331" idx="0"/>
        </xdr:cNvCxnSpPr>
      </xdr:nvCxnSpPr>
      <xdr:spPr>
        <a:xfrm flipH="1">
          <a:off x="21533223" y="30835356"/>
          <a:ext cx="4687" cy="193511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462864</xdr:colOff>
      <xdr:row>173</xdr:row>
      <xdr:rowOff>101970</xdr:rowOff>
    </xdr:from>
    <xdr:to>
      <xdr:col>34</xdr:col>
      <xdr:colOff>482973</xdr:colOff>
      <xdr:row>185</xdr:row>
      <xdr:rowOff>2801</xdr:rowOff>
    </xdr:to>
    <xdr:cxnSp macro="">
      <xdr:nvCxnSpPr>
        <xdr:cNvPr id="29" name="Straight Connector 62"/>
        <xdr:cNvCxnSpPr>
          <a:stCxn id="331" idx="4"/>
          <a:endCxn id="348" idx="0"/>
        </xdr:cNvCxnSpPr>
      </xdr:nvCxnSpPr>
      <xdr:spPr>
        <a:xfrm flipH="1">
          <a:off x="21513114" y="32867970"/>
          <a:ext cx="20109" cy="218683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352194</xdr:colOff>
      <xdr:row>186</xdr:row>
      <xdr:rowOff>100301</xdr:rowOff>
    </xdr:from>
    <xdr:to>
      <xdr:col>34</xdr:col>
      <xdr:colOff>462864</xdr:colOff>
      <xdr:row>196</xdr:row>
      <xdr:rowOff>66000</xdr:rowOff>
    </xdr:to>
    <xdr:cxnSp macro="">
      <xdr:nvCxnSpPr>
        <xdr:cNvPr id="31" name="Straight Connector 63"/>
        <xdr:cNvCxnSpPr>
          <a:stCxn id="348" idx="4"/>
          <a:endCxn id="342" idx="0"/>
        </xdr:cNvCxnSpPr>
      </xdr:nvCxnSpPr>
      <xdr:spPr>
        <a:xfrm flipH="1">
          <a:off x="21402444" y="35342801"/>
          <a:ext cx="110670" cy="1870699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352194</xdr:colOff>
      <xdr:row>197</xdr:row>
      <xdr:rowOff>163500</xdr:rowOff>
    </xdr:from>
    <xdr:to>
      <xdr:col>34</xdr:col>
      <xdr:colOff>596138</xdr:colOff>
      <xdr:row>208</xdr:row>
      <xdr:rowOff>57381</xdr:rowOff>
    </xdr:to>
    <xdr:cxnSp macro="">
      <xdr:nvCxnSpPr>
        <xdr:cNvPr id="449" name="Straight Connector 64"/>
        <xdr:cNvCxnSpPr>
          <a:stCxn id="342" idx="4"/>
          <a:endCxn id="333" idx="0"/>
        </xdr:cNvCxnSpPr>
      </xdr:nvCxnSpPr>
      <xdr:spPr>
        <a:xfrm>
          <a:off x="21402444" y="37501500"/>
          <a:ext cx="243944" cy="198938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589259</xdr:colOff>
      <xdr:row>209</xdr:row>
      <xdr:rowOff>154881</xdr:rowOff>
    </xdr:from>
    <xdr:to>
      <xdr:col>34</xdr:col>
      <xdr:colOff>596138</xdr:colOff>
      <xdr:row>220</xdr:row>
      <xdr:rowOff>111428</xdr:rowOff>
    </xdr:to>
    <xdr:cxnSp macro="">
      <xdr:nvCxnSpPr>
        <xdr:cNvPr id="451" name="Straight Connector 65"/>
        <xdr:cNvCxnSpPr>
          <a:stCxn id="333" idx="4"/>
          <a:endCxn id="340" idx="0"/>
        </xdr:cNvCxnSpPr>
      </xdr:nvCxnSpPr>
      <xdr:spPr>
        <a:xfrm flipH="1">
          <a:off x="21639509" y="39778881"/>
          <a:ext cx="6879" cy="2052047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570742</xdr:colOff>
      <xdr:row>222</xdr:row>
      <xdr:rowOff>18428</xdr:rowOff>
    </xdr:from>
    <xdr:to>
      <xdr:col>34</xdr:col>
      <xdr:colOff>589259</xdr:colOff>
      <xdr:row>228</xdr:row>
      <xdr:rowOff>139783</xdr:rowOff>
    </xdr:to>
    <xdr:cxnSp macro="">
      <xdr:nvCxnSpPr>
        <xdr:cNvPr id="453" name="Straight Connector 66"/>
        <xdr:cNvCxnSpPr>
          <a:stCxn id="340" idx="4"/>
          <a:endCxn id="335" idx="0"/>
        </xdr:cNvCxnSpPr>
      </xdr:nvCxnSpPr>
      <xdr:spPr>
        <a:xfrm flipH="1">
          <a:off x="21620992" y="42118928"/>
          <a:ext cx="18517" cy="1264355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570742</xdr:colOff>
      <xdr:row>230</xdr:row>
      <xdr:rowOff>46783</xdr:rowOff>
    </xdr:from>
    <xdr:to>
      <xdr:col>34</xdr:col>
      <xdr:colOff>590852</xdr:colOff>
      <xdr:row>242</xdr:row>
      <xdr:rowOff>67284</xdr:rowOff>
    </xdr:to>
    <xdr:cxnSp macro="">
      <xdr:nvCxnSpPr>
        <xdr:cNvPr id="455" name="Straight Connector 67"/>
        <xdr:cNvCxnSpPr>
          <a:stCxn id="335" idx="4"/>
          <a:endCxn id="338" idx="0"/>
        </xdr:cNvCxnSpPr>
      </xdr:nvCxnSpPr>
      <xdr:spPr>
        <a:xfrm>
          <a:off x="21620992" y="43861783"/>
          <a:ext cx="20110" cy="230650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590852</xdr:colOff>
      <xdr:row>243</xdr:row>
      <xdr:rowOff>164784</xdr:rowOff>
    </xdr:from>
    <xdr:to>
      <xdr:col>34</xdr:col>
      <xdr:colOff>612806</xdr:colOff>
      <xdr:row>250</xdr:row>
      <xdr:rowOff>172437</xdr:rowOff>
    </xdr:to>
    <xdr:cxnSp macro="">
      <xdr:nvCxnSpPr>
        <xdr:cNvPr id="457" name="Straight Connector 68"/>
        <xdr:cNvCxnSpPr>
          <a:stCxn id="338" idx="4"/>
          <a:endCxn id="346" idx="0"/>
        </xdr:cNvCxnSpPr>
      </xdr:nvCxnSpPr>
      <xdr:spPr>
        <a:xfrm>
          <a:off x="21641102" y="46456284"/>
          <a:ext cx="21954" cy="1341153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161685</xdr:colOff>
      <xdr:row>103</xdr:row>
      <xdr:rowOff>2254</xdr:rowOff>
    </xdr:from>
    <xdr:to>
      <xdr:col>22</xdr:col>
      <xdr:colOff>395509</xdr:colOff>
      <xdr:row>109</xdr:row>
      <xdr:rowOff>134025</xdr:rowOff>
    </xdr:to>
    <xdr:cxnSp macro="">
      <xdr:nvCxnSpPr>
        <xdr:cNvPr id="459" name="Straight Connector 69"/>
        <xdr:cNvCxnSpPr>
          <a:stCxn id="361" idx="5"/>
          <a:endCxn id="355" idx="1"/>
        </xdr:cNvCxnSpPr>
      </xdr:nvCxnSpPr>
      <xdr:spPr>
        <a:xfrm>
          <a:off x="11925060" y="19623754"/>
          <a:ext cx="2091199" cy="127477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457866</xdr:colOff>
      <xdr:row>110</xdr:row>
      <xdr:rowOff>147171</xdr:rowOff>
    </xdr:from>
    <xdr:to>
      <xdr:col>22</xdr:col>
      <xdr:colOff>395509</xdr:colOff>
      <xdr:row>117</xdr:row>
      <xdr:rowOff>68781</xdr:rowOff>
    </xdr:to>
    <xdr:cxnSp macro="">
      <xdr:nvCxnSpPr>
        <xdr:cNvPr id="462" name="Straight Connector 70"/>
        <xdr:cNvCxnSpPr>
          <a:stCxn id="324" idx="7"/>
          <a:endCxn id="355" idx="3"/>
        </xdr:cNvCxnSpPr>
      </xdr:nvCxnSpPr>
      <xdr:spPr>
        <a:xfrm flipV="1">
          <a:off x="12221241" y="21102171"/>
          <a:ext cx="1795018" cy="1255110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22207</xdr:colOff>
      <xdr:row>110</xdr:row>
      <xdr:rowOff>45348</xdr:rowOff>
    </xdr:from>
    <xdr:to>
      <xdr:col>25</xdr:col>
      <xdr:colOff>286427</xdr:colOff>
      <xdr:row>110</xdr:row>
      <xdr:rowOff>130014</xdr:rowOff>
    </xdr:to>
    <xdr:cxnSp macro="">
      <xdr:nvCxnSpPr>
        <xdr:cNvPr id="464" name="Straight Connector 71"/>
        <xdr:cNvCxnSpPr>
          <a:stCxn id="355" idx="6"/>
          <a:endCxn id="347" idx="2"/>
        </xdr:cNvCxnSpPr>
      </xdr:nvCxnSpPr>
      <xdr:spPr>
        <a:xfrm>
          <a:off x="14262082" y="21000348"/>
          <a:ext cx="1502470" cy="84666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590302</xdr:colOff>
      <xdr:row>110</xdr:row>
      <xdr:rowOff>130014</xdr:rowOff>
    </xdr:from>
    <xdr:to>
      <xdr:col>29</xdr:col>
      <xdr:colOff>77107</xdr:colOff>
      <xdr:row>112</xdr:row>
      <xdr:rowOff>40584</xdr:rowOff>
    </xdr:to>
    <xdr:cxnSp macro="">
      <xdr:nvCxnSpPr>
        <xdr:cNvPr id="467" name="Straight Connector 72"/>
        <xdr:cNvCxnSpPr>
          <a:stCxn id="347" idx="6"/>
          <a:endCxn id="363" idx="2"/>
        </xdr:cNvCxnSpPr>
      </xdr:nvCxnSpPr>
      <xdr:spPr>
        <a:xfrm>
          <a:off x="16068427" y="21085014"/>
          <a:ext cx="1963305" cy="291570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349232</xdr:colOff>
      <xdr:row>112</xdr:row>
      <xdr:rowOff>40584</xdr:rowOff>
    </xdr:from>
    <xdr:to>
      <xdr:col>33</xdr:col>
      <xdr:colOff>195714</xdr:colOff>
      <xdr:row>114</xdr:row>
      <xdr:rowOff>72562</xdr:rowOff>
    </xdr:to>
    <xdr:cxnSp macro="">
      <xdr:nvCxnSpPr>
        <xdr:cNvPr id="469" name="Straight Connector 73"/>
        <xdr:cNvCxnSpPr>
          <a:stCxn id="363" idx="6"/>
          <a:endCxn id="351" idx="2"/>
        </xdr:cNvCxnSpPr>
      </xdr:nvCxnSpPr>
      <xdr:spPr>
        <a:xfrm>
          <a:off x="18303857" y="21376584"/>
          <a:ext cx="2322982" cy="41297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467839</xdr:colOff>
      <xdr:row>112</xdr:row>
      <xdr:rowOff>157607</xdr:rowOff>
    </xdr:from>
    <xdr:to>
      <xdr:col>38</xdr:col>
      <xdr:colOff>148769</xdr:colOff>
      <xdr:row>114</xdr:row>
      <xdr:rowOff>72562</xdr:rowOff>
    </xdr:to>
    <xdr:cxnSp macro="">
      <xdr:nvCxnSpPr>
        <xdr:cNvPr id="471" name="Straight Connector 74"/>
        <xdr:cNvCxnSpPr>
          <a:stCxn id="351" idx="6"/>
          <a:endCxn id="327" idx="2"/>
        </xdr:cNvCxnSpPr>
      </xdr:nvCxnSpPr>
      <xdr:spPr>
        <a:xfrm flipV="1">
          <a:off x="20898964" y="21493607"/>
          <a:ext cx="2776555" cy="295955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452644</xdr:colOff>
      <xdr:row>111</xdr:row>
      <xdr:rowOff>157607</xdr:rowOff>
    </xdr:from>
    <xdr:to>
      <xdr:col>42</xdr:col>
      <xdr:colOff>472392</xdr:colOff>
      <xdr:row>112</xdr:row>
      <xdr:rowOff>157607</xdr:rowOff>
    </xdr:to>
    <xdr:cxnSp macro="">
      <xdr:nvCxnSpPr>
        <xdr:cNvPr id="473" name="Straight Connector 75"/>
        <xdr:cNvCxnSpPr>
          <a:stCxn id="327" idx="6"/>
          <a:endCxn id="337" idx="2"/>
        </xdr:cNvCxnSpPr>
      </xdr:nvCxnSpPr>
      <xdr:spPr>
        <a:xfrm flipV="1">
          <a:off x="23979394" y="21303107"/>
          <a:ext cx="2496248" cy="190500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141267</xdr:colOff>
      <xdr:row>110</xdr:row>
      <xdr:rowOff>122227</xdr:rowOff>
    </xdr:from>
    <xdr:to>
      <xdr:col>46</xdr:col>
      <xdr:colOff>449488</xdr:colOff>
      <xdr:row>111</xdr:row>
      <xdr:rowOff>157607</xdr:rowOff>
    </xdr:to>
    <xdr:cxnSp macro="">
      <xdr:nvCxnSpPr>
        <xdr:cNvPr id="475" name="Straight Connector 76"/>
        <xdr:cNvCxnSpPr>
          <a:stCxn id="337" idx="6"/>
          <a:endCxn id="329" idx="2"/>
        </xdr:cNvCxnSpPr>
      </xdr:nvCxnSpPr>
      <xdr:spPr>
        <a:xfrm flipV="1">
          <a:off x="26763642" y="21077227"/>
          <a:ext cx="2165596" cy="225880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76186</xdr:colOff>
      <xdr:row>101</xdr:row>
      <xdr:rowOff>31283</xdr:rowOff>
    </xdr:from>
    <xdr:to>
      <xdr:col>50</xdr:col>
      <xdr:colOff>501246</xdr:colOff>
      <xdr:row>110</xdr:row>
      <xdr:rowOff>20404</xdr:rowOff>
    </xdr:to>
    <xdr:cxnSp macro="">
      <xdr:nvCxnSpPr>
        <xdr:cNvPr id="477" name="Straight Connector 77"/>
        <xdr:cNvCxnSpPr>
          <a:stCxn id="329" idx="7"/>
          <a:endCxn id="354" idx="3"/>
        </xdr:cNvCxnSpPr>
      </xdr:nvCxnSpPr>
      <xdr:spPr>
        <a:xfrm flipV="1">
          <a:off x="29175061" y="19271783"/>
          <a:ext cx="2282435" cy="1703621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141495</xdr:colOff>
      <xdr:row>97</xdr:row>
      <xdr:rowOff>20624</xdr:rowOff>
    </xdr:from>
    <xdr:to>
      <xdr:col>56</xdr:col>
      <xdr:colOff>3087</xdr:colOff>
      <xdr:row>100</xdr:row>
      <xdr:rowOff>119960</xdr:rowOff>
    </xdr:to>
    <xdr:cxnSp macro="">
      <xdr:nvCxnSpPr>
        <xdr:cNvPr id="479" name="Straight Connector 78"/>
        <xdr:cNvCxnSpPr>
          <a:stCxn id="354" idx="6"/>
          <a:endCxn id="332" idx="3"/>
        </xdr:cNvCxnSpPr>
      </xdr:nvCxnSpPr>
      <xdr:spPr>
        <a:xfrm flipV="1">
          <a:off x="31716870" y="18308624"/>
          <a:ext cx="2957217" cy="670836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262461</xdr:colOff>
      <xdr:row>94</xdr:row>
      <xdr:rowOff>71877</xdr:rowOff>
    </xdr:from>
    <xdr:to>
      <xdr:col>60</xdr:col>
      <xdr:colOff>475719</xdr:colOff>
      <xdr:row>96</xdr:row>
      <xdr:rowOff>109301</xdr:rowOff>
    </xdr:to>
    <xdr:cxnSp macro="">
      <xdr:nvCxnSpPr>
        <xdr:cNvPr id="321" name="Straight Connector 79"/>
        <xdr:cNvCxnSpPr>
          <a:stCxn id="332" idx="6"/>
          <a:endCxn id="352" idx="3"/>
        </xdr:cNvCxnSpPr>
      </xdr:nvCxnSpPr>
      <xdr:spPr>
        <a:xfrm flipV="1">
          <a:off x="34933461" y="17788377"/>
          <a:ext cx="2689758" cy="41842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102417</xdr:colOff>
      <xdr:row>93</xdr:row>
      <xdr:rowOff>14046</xdr:rowOff>
    </xdr:from>
    <xdr:to>
      <xdr:col>66</xdr:col>
      <xdr:colOff>62233</xdr:colOff>
      <xdr:row>93</xdr:row>
      <xdr:rowOff>160554</xdr:rowOff>
    </xdr:to>
    <xdr:cxnSp macro="">
      <xdr:nvCxnSpPr>
        <xdr:cNvPr id="368" name="Straight Connector 80"/>
        <xdr:cNvCxnSpPr>
          <a:stCxn id="352" idx="6"/>
          <a:endCxn id="353" idx="3"/>
        </xdr:cNvCxnSpPr>
      </xdr:nvCxnSpPr>
      <xdr:spPr>
        <a:xfrm flipV="1">
          <a:off x="37869042" y="17540046"/>
          <a:ext cx="3055441" cy="14650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294506</xdr:colOff>
      <xdr:row>80</xdr:row>
      <xdr:rowOff>56676</xdr:rowOff>
    </xdr:from>
    <xdr:to>
      <xdr:col>68</xdr:col>
      <xdr:colOff>354682</xdr:colOff>
      <xdr:row>92</xdr:row>
      <xdr:rowOff>102723</xdr:rowOff>
    </xdr:to>
    <xdr:cxnSp macro="">
      <xdr:nvCxnSpPr>
        <xdr:cNvPr id="370" name="Straight Connector 81"/>
        <xdr:cNvCxnSpPr>
          <a:stCxn id="353" idx="6"/>
          <a:endCxn id="326" idx="4"/>
        </xdr:cNvCxnSpPr>
      </xdr:nvCxnSpPr>
      <xdr:spPr>
        <a:xfrm flipV="1">
          <a:off x="41156756" y="15106176"/>
          <a:ext cx="1298426" cy="2332047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456505</xdr:colOff>
      <xdr:row>60</xdr:row>
      <xdr:rowOff>87298</xdr:rowOff>
    </xdr:from>
    <xdr:to>
      <xdr:col>70</xdr:col>
      <xdr:colOff>468477</xdr:colOff>
      <xdr:row>79</xdr:row>
      <xdr:rowOff>1353</xdr:rowOff>
    </xdr:to>
    <xdr:cxnSp macro="">
      <xdr:nvCxnSpPr>
        <xdr:cNvPr id="372" name="Straight Connector 82"/>
        <xdr:cNvCxnSpPr>
          <a:stCxn id="326" idx="7"/>
          <a:endCxn id="334" idx="3"/>
        </xdr:cNvCxnSpPr>
      </xdr:nvCxnSpPr>
      <xdr:spPr>
        <a:xfrm flipV="1">
          <a:off x="41477505" y="11326798"/>
          <a:ext cx="1218472" cy="3533555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57648</xdr:colOff>
      <xdr:row>48</xdr:row>
      <xdr:rowOff>143314</xdr:rowOff>
    </xdr:from>
    <xdr:to>
      <xdr:col>76</xdr:col>
      <xdr:colOff>223606</xdr:colOff>
      <xdr:row>59</xdr:row>
      <xdr:rowOff>74152</xdr:rowOff>
    </xdr:to>
    <xdr:cxnSp macro="">
      <xdr:nvCxnSpPr>
        <xdr:cNvPr id="375" name="Straight Connector 83"/>
        <xdr:cNvCxnSpPr>
          <a:stCxn id="334" idx="7"/>
          <a:endCxn id="339" idx="3"/>
        </xdr:cNvCxnSpPr>
      </xdr:nvCxnSpPr>
      <xdr:spPr>
        <a:xfrm flipV="1">
          <a:off x="42888398" y="9096814"/>
          <a:ext cx="3182208" cy="202633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469429</xdr:colOff>
      <xdr:row>46</xdr:row>
      <xdr:rowOff>52147</xdr:rowOff>
    </xdr:from>
    <xdr:to>
      <xdr:col>82</xdr:col>
      <xdr:colOff>593095</xdr:colOff>
      <xdr:row>48</xdr:row>
      <xdr:rowOff>41491</xdr:rowOff>
    </xdr:to>
    <xdr:cxnSp macro="">
      <xdr:nvCxnSpPr>
        <xdr:cNvPr id="378" name="Straight Connector 84"/>
        <xdr:cNvCxnSpPr>
          <a:stCxn id="339" idx="6"/>
          <a:endCxn id="325" idx="3"/>
        </xdr:cNvCxnSpPr>
      </xdr:nvCxnSpPr>
      <xdr:spPr>
        <a:xfrm flipV="1">
          <a:off x="47522929" y="8624647"/>
          <a:ext cx="3838416" cy="37034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114506</xdr:colOff>
      <xdr:row>42</xdr:row>
      <xdr:rowOff>186182</xdr:rowOff>
    </xdr:from>
    <xdr:to>
      <xdr:col>38</xdr:col>
      <xdr:colOff>121782</xdr:colOff>
      <xdr:row>49</xdr:row>
      <xdr:rowOff>140596</xdr:rowOff>
    </xdr:to>
    <xdr:cxnSp macro="">
      <xdr:nvCxnSpPr>
        <xdr:cNvPr id="380" name="Straight Connector 85"/>
        <xdr:cNvCxnSpPr>
          <a:stCxn id="360" idx="6"/>
          <a:endCxn id="356" idx="2"/>
        </xdr:cNvCxnSpPr>
      </xdr:nvCxnSpPr>
      <xdr:spPr>
        <a:xfrm>
          <a:off x="20545631" y="8187182"/>
          <a:ext cx="3102901" cy="128791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373025</xdr:colOff>
      <xdr:row>50</xdr:row>
      <xdr:rowOff>51919</xdr:rowOff>
    </xdr:from>
    <xdr:to>
      <xdr:col>40</xdr:col>
      <xdr:colOff>568318</xdr:colOff>
      <xdr:row>65</xdr:row>
      <xdr:rowOff>132437</xdr:rowOff>
    </xdr:to>
    <xdr:cxnSp macro="">
      <xdr:nvCxnSpPr>
        <xdr:cNvPr id="382" name="Straight Connector 86"/>
        <xdr:cNvCxnSpPr>
          <a:stCxn id="356" idx="5"/>
          <a:endCxn id="322" idx="1"/>
        </xdr:cNvCxnSpPr>
      </xdr:nvCxnSpPr>
      <xdr:spPr>
        <a:xfrm>
          <a:off x="23899775" y="9576919"/>
          <a:ext cx="1433543" cy="2938018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152839</xdr:colOff>
      <xdr:row>66</xdr:row>
      <xdr:rowOff>145583</xdr:rowOff>
    </xdr:from>
    <xdr:to>
      <xdr:col>45</xdr:col>
      <xdr:colOff>593037</xdr:colOff>
      <xdr:row>74</xdr:row>
      <xdr:rowOff>93590</xdr:rowOff>
    </xdr:to>
    <xdr:cxnSp macro="">
      <xdr:nvCxnSpPr>
        <xdr:cNvPr id="480" name="Straight Connector 87"/>
        <xdr:cNvCxnSpPr>
          <a:stCxn id="322" idx="5"/>
          <a:endCxn id="362" idx="0"/>
        </xdr:cNvCxnSpPr>
      </xdr:nvCxnSpPr>
      <xdr:spPr>
        <a:xfrm>
          <a:off x="25536964" y="12718583"/>
          <a:ext cx="2916698" cy="1472007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517515</xdr:colOff>
      <xdr:row>76</xdr:row>
      <xdr:rowOff>590</xdr:rowOff>
    </xdr:from>
    <xdr:to>
      <xdr:col>45</xdr:col>
      <xdr:colOff>593037</xdr:colOff>
      <xdr:row>95</xdr:row>
      <xdr:rowOff>108632</xdr:rowOff>
    </xdr:to>
    <xdr:cxnSp macro="">
      <xdr:nvCxnSpPr>
        <xdr:cNvPr id="482" name="Straight Connector 88"/>
        <xdr:cNvCxnSpPr>
          <a:stCxn id="362" idx="4"/>
          <a:endCxn id="359" idx="0"/>
        </xdr:cNvCxnSpPr>
      </xdr:nvCxnSpPr>
      <xdr:spPr>
        <a:xfrm flipH="1">
          <a:off x="28378140" y="14478590"/>
          <a:ext cx="75522" cy="3727542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517515</xdr:colOff>
      <xdr:row>97</xdr:row>
      <xdr:rowOff>15632</xdr:rowOff>
    </xdr:from>
    <xdr:to>
      <xdr:col>46</xdr:col>
      <xdr:colOff>593488</xdr:colOff>
      <xdr:row>109</xdr:row>
      <xdr:rowOff>168727</xdr:rowOff>
    </xdr:to>
    <xdr:cxnSp macro="">
      <xdr:nvCxnSpPr>
        <xdr:cNvPr id="484" name="Straight Connector 89"/>
        <xdr:cNvCxnSpPr>
          <a:stCxn id="359" idx="4"/>
          <a:endCxn id="329" idx="0"/>
        </xdr:cNvCxnSpPr>
      </xdr:nvCxnSpPr>
      <xdr:spPr>
        <a:xfrm>
          <a:off x="28378140" y="18494132"/>
          <a:ext cx="695098" cy="2439095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118363</xdr:colOff>
      <xdr:row>110</xdr:row>
      <xdr:rowOff>122227</xdr:rowOff>
    </xdr:from>
    <xdr:to>
      <xdr:col>50</xdr:col>
      <xdr:colOff>286650</xdr:colOff>
      <xdr:row>120</xdr:row>
      <xdr:rowOff>110666</xdr:rowOff>
    </xdr:to>
    <xdr:cxnSp macro="">
      <xdr:nvCxnSpPr>
        <xdr:cNvPr id="488" name="Straight Connector 90"/>
        <xdr:cNvCxnSpPr>
          <a:stCxn id="329" idx="6"/>
          <a:endCxn id="366" idx="1"/>
        </xdr:cNvCxnSpPr>
      </xdr:nvCxnSpPr>
      <xdr:spPr>
        <a:xfrm>
          <a:off x="29217238" y="21077227"/>
          <a:ext cx="2025662" cy="1893439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490296</xdr:colOff>
      <xdr:row>121</xdr:row>
      <xdr:rowOff>123812</xdr:rowOff>
    </xdr:from>
    <xdr:to>
      <xdr:col>55</xdr:col>
      <xdr:colOff>114839</xdr:colOff>
      <xdr:row>128</xdr:row>
      <xdr:rowOff>161376</xdr:rowOff>
    </xdr:to>
    <xdr:cxnSp macro="">
      <xdr:nvCxnSpPr>
        <xdr:cNvPr id="490" name="Straight Connector 91"/>
        <xdr:cNvCxnSpPr>
          <a:stCxn id="366" idx="5"/>
          <a:endCxn id="349" idx="2"/>
        </xdr:cNvCxnSpPr>
      </xdr:nvCxnSpPr>
      <xdr:spPr>
        <a:xfrm>
          <a:off x="31446546" y="23174312"/>
          <a:ext cx="2720168" cy="137106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368792</xdr:colOff>
      <xdr:row>129</xdr:row>
      <xdr:rowOff>72699</xdr:rowOff>
    </xdr:from>
    <xdr:to>
      <xdr:col>60</xdr:col>
      <xdr:colOff>325245</xdr:colOff>
      <xdr:row>131</xdr:row>
      <xdr:rowOff>137075</xdr:rowOff>
    </xdr:to>
    <xdr:cxnSp macro="">
      <xdr:nvCxnSpPr>
        <xdr:cNvPr id="492" name="Straight Connector 92"/>
        <xdr:cNvCxnSpPr>
          <a:stCxn id="349" idx="5"/>
          <a:endCxn id="345" idx="2"/>
        </xdr:cNvCxnSpPr>
      </xdr:nvCxnSpPr>
      <xdr:spPr>
        <a:xfrm>
          <a:off x="34420667" y="24647199"/>
          <a:ext cx="3052078" cy="445376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571068</xdr:colOff>
      <xdr:row>131</xdr:row>
      <xdr:rowOff>171914</xdr:rowOff>
    </xdr:from>
    <xdr:to>
      <xdr:col>66</xdr:col>
      <xdr:colOff>576886</xdr:colOff>
      <xdr:row>132</xdr:row>
      <xdr:rowOff>48398</xdr:rowOff>
    </xdr:to>
    <xdr:cxnSp macro="">
      <xdr:nvCxnSpPr>
        <xdr:cNvPr id="494" name="Straight Connector 93"/>
        <xdr:cNvCxnSpPr>
          <a:stCxn id="345" idx="5"/>
          <a:endCxn id="343" idx="1"/>
        </xdr:cNvCxnSpPr>
      </xdr:nvCxnSpPr>
      <xdr:spPr>
        <a:xfrm flipV="1">
          <a:off x="37718568" y="25127414"/>
          <a:ext cx="3720568" cy="6698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161407</xdr:colOff>
      <xdr:row>131</xdr:row>
      <xdr:rowOff>171914</xdr:rowOff>
    </xdr:from>
    <xdr:to>
      <xdr:col>71</xdr:col>
      <xdr:colOff>131184</xdr:colOff>
      <xdr:row>143</xdr:row>
      <xdr:rowOff>13528</xdr:rowOff>
    </xdr:to>
    <xdr:cxnSp macro="">
      <xdr:nvCxnSpPr>
        <xdr:cNvPr id="496" name="Straight Connector 94"/>
        <xdr:cNvCxnSpPr>
          <a:stCxn id="343" idx="7"/>
          <a:endCxn id="365" idx="2"/>
        </xdr:cNvCxnSpPr>
      </xdr:nvCxnSpPr>
      <xdr:spPr>
        <a:xfrm>
          <a:off x="41642782" y="25127414"/>
          <a:ext cx="2446277" cy="2127614"/>
        </a:xfrm>
        <a:prstGeom prst="line">
          <a:avLst/>
        </a:prstGeom>
        <a:ln w="101600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476250</xdr:colOff>
      <xdr:row>116</xdr:row>
      <xdr:rowOff>52428</xdr:rowOff>
    </xdr:from>
    <xdr:to>
      <xdr:col>85</xdr:col>
      <xdr:colOff>548281</xdr:colOff>
      <xdr:row>207</xdr:row>
      <xdr:rowOff>124347</xdr:rowOff>
    </xdr:to>
    <xdr:sp macro="" textlink="">
      <xdr:nvSpPr>
        <xdr:cNvPr id="478" name="Freeform 477"/>
        <xdr:cNvSpPr/>
      </xdr:nvSpPr>
      <xdr:spPr>
        <a:xfrm>
          <a:off x="11001375" y="21959928"/>
          <a:ext cx="42172531" cy="17407419"/>
        </a:xfrm>
        <a:custGeom>
          <a:avLst/>
          <a:gdLst>
            <a:gd name="connsiteX0" fmla="*/ 0 w 42172531"/>
            <a:gd name="connsiteY0" fmla="*/ 1614447 h 17407419"/>
            <a:gd name="connsiteX1" fmla="*/ 6667500 w 42172531"/>
            <a:gd name="connsiteY1" fmla="*/ 1423947 h 17407419"/>
            <a:gd name="connsiteX2" fmla="*/ 7524750 w 42172531"/>
            <a:gd name="connsiteY2" fmla="*/ 16854447 h 17407419"/>
            <a:gd name="connsiteX3" fmla="*/ 14097000 w 42172531"/>
            <a:gd name="connsiteY3" fmla="*/ 13282572 h 17407419"/>
            <a:gd name="connsiteX4" fmla="*/ 14573250 w 42172531"/>
            <a:gd name="connsiteY4" fmla="*/ 6519822 h 17407419"/>
            <a:gd name="connsiteX5" fmla="*/ 19097625 w 42172531"/>
            <a:gd name="connsiteY5" fmla="*/ 4233822 h 17407419"/>
            <a:gd name="connsiteX6" fmla="*/ 22240875 w 42172531"/>
            <a:gd name="connsiteY6" fmla="*/ 4948197 h 17407419"/>
            <a:gd name="connsiteX7" fmla="*/ 24050625 w 42172531"/>
            <a:gd name="connsiteY7" fmla="*/ 6234072 h 17407419"/>
            <a:gd name="connsiteX8" fmla="*/ 25479375 w 42172531"/>
            <a:gd name="connsiteY8" fmla="*/ 5233947 h 17407419"/>
            <a:gd name="connsiteX9" fmla="*/ 30765750 w 42172531"/>
            <a:gd name="connsiteY9" fmla="*/ 4281447 h 17407419"/>
            <a:gd name="connsiteX10" fmla="*/ 37719000 w 42172531"/>
            <a:gd name="connsiteY10" fmla="*/ 4138572 h 17407419"/>
            <a:gd name="connsiteX11" fmla="*/ 41767125 w 42172531"/>
            <a:gd name="connsiteY11" fmla="*/ 4329072 h 17407419"/>
            <a:gd name="connsiteX12" fmla="*/ 41814750 w 42172531"/>
            <a:gd name="connsiteY12" fmla="*/ 4233822 h 174074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42172531" h="17407419">
              <a:moveTo>
                <a:pt x="0" y="1614447"/>
              </a:moveTo>
              <a:cubicBezTo>
                <a:pt x="2706687" y="249197"/>
                <a:pt x="5413375" y="-1116053"/>
                <a:pt x="6667500" y="1423947"/>
              </a:cubicBezTo>
              <a:cubicBezTo>
                <a:pt x="7921625" y="3963947"/>
                <a:pt x="6286500" y="14878010"/>
                <a:pt x="7524750" y="16854447"/>
              </a:cubicBezTo>
              <a:cubicBezTo>
                <a:pt x="8763000" y="18830884"/>
                <a:pt x="12922250" y="15005010"/>
                <a:pt x="14097000" y="13282572"/>
              </a:cubicBezTo>
              <a:cubicBezTo>
                <a:pt x="15271750" y="11560134"/>
                <a:pt x="13739813" y="8027947"/>
                <a:pt x="14573250" y="6519822"/>
              </a:cubicBezTo>
              <a:cubicBezTo>
                <a:pt x="15406687" y="5011697"/>
                <a:pt x="17819688" y="4495759"/>
                <a:pt x="19097625" y="4233822"/>
              </a:cubicBezTo>
              <a:cubicBezTo>
                <a:pt x="20375562" y="3971885"/>
                <a:pt x="21415375" y="4614822"/>
                <a:pt x="22240875" y="4948197"/>
              </a:cubicBezTo>
              <a:cubicBezTo>
                <a:pt x="23066375" y="5281572"/>
                <a:pt x="23510875" y="6186447"/>
                <a:pt x="24050625" y="6234072"/>
              </a:cubicBezTo>
              <a:cubicBezTo>
                <a:pt x="24590375" y="6281697"/>
                <a:pt x="24360188" y="5559384"/>
                <a:pt x="25479375" y="5233947"/>
              </a:cubicBezTo>
              <a:cubicBezTo>
                <a:pt x="26598562" y="4908510"/>
                <a:pt x="28725813" y="4464009"/>
                <a:pt x="30765750" y="4281447"/>
              </a:cubicBezTo>
              <a:cubicBezTo>
                <a:pt x="32805687" y="4098885"/>
                <a:pt x="35885438" y="4130635"/>
                <a:pt x="37719000" y="4138572"/>
              </a:cubicBezTo>
              <a:cubicBezTo>
                <a:pt x="39552562" y="4146509"/>
                <a:pt x="41084500" y="4313197"/>
                <a:pt x="41767125" y="4329072"/>
              </a:cubicBezTo>
              <a:cubicBezTo>
                <a:pt x="42449750" y="4344947"/>
                <a:pt x="42132250" y="4289384"/>
                <a:pt x="41814750" y="4233822"/>
              </a:cubicBezTo>
            </a:path>
          </a:pathLst>
        </a:custGeom>
        <a:noFill/>
        <a:ln w="482600" cmpd="tri">
          <a:solidFill>
            <a:schemeClr val="accent1">
              <a:lumMod val="60000"/>
              <a:lumOff val="40000"/>
            </a:schemeClr>
          </a:solidFill>
          <a:prstDash val="solid"/>
          <a:round/>
          <a:headEnd w="lg" len="lg"/>
          <a:tailEnd w="lg" len="med"/>
        </a:ln>
        <a:effectLst>
          <a:glow rad="50800">
            <a:schemeClr val="accent1">
              <a:lumMod val="75000"/>
              <a:alpha val="40000"/>
            </a:schemeClr>
          </a:glow>
          <a:innerShdw blurRad="355600" dist="863600" dir="3600000">
            <a:schemeClr val="accent1">
              <a:lumMod val="75000"/>
            </a:schemeClr>
          </a:inn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-1</xdr:colOff>
      <xdr:row>30</xdr:row>
      <xdr:rowOff>95249</xdr:rowOff>
    </xdr:from>
    <xdr:to>
      <xdr:col>40</xdr:col>
      <xdr:colOff>476250</xdr:colOff>
      <xdr:row>34</xdr:row>
      <xdr:rowOff>47624</xdr:rowOff>
    </xdr:to>
    <xdr:sp macro="" textlink="">
      <xdr:nvSpPr>
        <xdr:cNvPr id="16" name="Rounded Rectangle 15"/>
        <xdr:cNvSpPr/>
      </xdr:nvSpPr>
      <xdr:spPr>
        <a:xfrm>
          <a:off x="20431124" y="5810249"/>
          <a:ext cx="4810126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Stratford International</a:t>
          </a:r>
        </a:p>
      </xdr:txBody>
    </xdr:sp>
    <xdr:clientData/>
  </xdr:twoCellAnchor>
  <xdr:twoCellAnchor>
    <xdr:from>
      <xdr:col>39</xdr:col>
      <xdr:colOff>15875</xdr:colOff>
      <xdr:row>46</xdr:row>
      <xdr:rowOff>95250</xdr:rowOff>
    </xdr:from>
    <xdr:to>
      <xdr:col>46</xdr:col>
      <xdr:colOff>238125</xdr:colOff>
      <xdr:row>50</xdr:row>
      <xdr:rowOff>95250</xdr:rowOff>
    </xdr:to>
    <xdr:sp macro="" textlink="">
      <xdr:nvSpPr>
        <xdr:cNvPr id="115" name="Rounded Rectangle 114"/>
        <xdr:cNvSpPr/>
      </xdr:nvSpPr>
      <xdr:spPr>
        <a:xfrm>
          <a:off x="24161750" y="8858250"/>
          <a:ext cx="4556125" cy="7620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Stratford High</a:t>
          </a:r>
          <a:r>
            <a:rPr lang="fr-FR" sz="3600" baseline="0"/>
            <a:t> Street</a:t>
          </a:r>
          <a:endParaRPr lang="fr-FR" sz="3600"/>
        </a:p>
      </xdr:txBody>
    </xdr:sp>
    <xdr:clientData/>
  </xdr:twoCellAnchor>
  <xdr:twoCellAnchor>
    <xdr:from>
      <xdr:col>26</xdr:col>
      <xdr:colOff>71438</xdr:colOff>
      <xdr:row>52</xdr:row>
      <xdr:rowOff>119062</xdr:rowOff>
    </xdr:from>
    <xdr:to>
      <xdr:col>32</xdr:col>
      <xdr:colOff>214313</xdr:colOff>
      <xdr:row>55</xdr:row>
      <xdr:rowOff>142875</xdr:rowOff>
    </xdr:to>
    <xdr:sp macro="" textlink="">
      <xdr:nvSpPr>
        <xdr:cNvPr id="116" name="Rounded Rectangle 115"/>
        <xdr:cNvSpPr/>
      </xdr:nvSpPr>
      <xdr:spPr>
        <a:xfrm>
          <a:off x="16168688" y="10025062"/>
          <a:ext cx="3857625" cy="59531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Pudding Mile Lane</a:t>
          </a:r>
        </a:p>
      </xdr:txBody>
    </xdr:sp>
    <xdr:clientData/>
  </xdr:twoCellAnchor>
  <xdr:twoCellAnchor>
    <xdr:from>
      <xdr:col>28</xdr:col>
      <xdr:colOff>190500</xdr:colOff>
      <xdr:row>62</xdr:row>
      <xdr:rowOff>166687</xdr:rowOff>
    </xdr:from>
    <xdr:to>
      <xdr:col>32</xdr:col>
      <xdr:colOff>285750</xdr:colOff>
      <xdr:row>66</xdr:row>
      <xdr:rowOff>119062</xdr:rowOff>
    </xdr:to>
    <xdr:sp macro="" textlink="">
      <xdr:nvSpPr>
        <xdr:cNvPr id="118" name="Rounded Rectangle 117"/>
        <xdr:cNvSpPr/>
      </xdr:nvSpPr>
      <xdr:spPr>
        <a:xfrm>
          <a:off x="17526000" y="11977687"/>
          <a:ext cx="2571750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Bow Church</a:t>
          </a:r>
        </a:p>
      </xdr:txBody>
    </xdr:sp>
    <xdr:clientData/>
  </xdr:twoCellAnchor>
  <xdr:twoCellAnchor>
    <xdr:from>
      <xdr:col>28</xdr:col>
      <xdr:colOff>0</xdr:colOff>
      <xdr:row>74</xdr:row>
      <xdr:rowOff>142875</xdr:rowOff>
    </xdr:from>
    <xdr:to>
      <xdr:col>32</xdr:col>
      <xdr:colOff>349249</xdr:colOff>
      <xdr:row>78</xdr:row>
      <xdr:rowOff>63500</xdr:rowOff>
    </xdr:to>
    <xdr:sp macro="" textlink="">
      <xdr:nvSpPr>
        <xdr:cNvPr id="119" name="Rounded Rectangle 118"/>
        <xdr:cNvSpPr/>
      </xdr:nvSpPr>
      <xdr:spPr>
        <a:xfrm>
          <a:off x="16891000" y="14239875"/>
          <a:ext cx="2762249" cy="682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Devons Road</a:t>
          </a:r>
        </a:p>
      </xdr:txBody>
    </xdr:sp>
    <xdr:clientData/>
  </xdr:twoCellAnchor>
  <xdr:twoCellAnchor>
    <xdr:from>
      <xdr:col>41</xdr:col>
      <xdr:colOff>428625</xdr:colOff>
      <xdr:row>63</xdr:row>
      <xdr:rowOff>1</xdr:rowOff>
    </xdr:from>
    <xdr:to>
      <xdr:col>45</xdr:col>
      <xdr:colOff>523875</xdr:colOff>
      <xdr:row>66</xdr:row>
      <xdr:rowOff>95251</xdr:rowOff>
    </xdr:to>
    <xdr:sp macro="" textlink="">
      <xdr:nvSpPr>
        <xdr:cNvPr id="120" name="Rounded Rectangle 119"/>
        <xdr:cNvSpPr/>
      </xdr:nvSpPr>
      <xdr:spPr>
        <a:xfrm>
          <a:off x="25812750" y="12001501"/>
          <a:ext cx="2571750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Abbey Road</a:t>
          </a:r>
        </a:p>
      </xdr:txBody>
    </xdr:sp>
    <xdr:clientData/>
  </xdr:twoCellAnchor>
  <xdr:twoCellAnchor>
    <xdr:from>
      <xdr:col>28</xdr:col>
      <xdr:colOff>47625</xdr:colOff>
      <xdr:row>88</xdr:row>
      <xdr:rowOff>47625</xdr:rowOff>
    </xdr:from>
    <xdr:to>
      <xdr:col>32</xdr:col>
      <xdr:colOff>476250</xdr:colOff>
      <xdr:row>91</xdr:row>
      <xdr:rowOff>127000</xdr:rowOff>
    </xdr:to>
    <xdr:sp macro="" textlink="">
      <xdr:nvSpPr>
        <xdr:cNvPr id="121" name="Rounded Rectangle 120"/>
        <xdr:cNvSpPr/>
      </xdr:nvSpPr>
      <xdr:spPr>
        <a:xfrm>
          <a:off x="16938625" y="16811625"/>
          <a:ext cx="2841625" cy="6508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Langdon Park</a:t>
          </a:r>
        </a:p>
      </xdr:txBody>
    </xdr:sp>
    <xdr:clientData/>
  </xdr:twoCellAnchor>
  <xdr:twoCellAnchor>
    <xdr:from>
      <xdr:col>28</xdr:col>
      <xdr:colOff>428625</xdr:colOff>
      <xdr:row>41</xdr:row>
      <xdr:rowOff>142874</xdr:rowOff>
    </xdr:from>
    <xdr:to>
      <xdr:col>32</xdr:col>
      <xdr:colOff>23813</xdr:colOff>
      <xdr:row>45</xdr:row>
      <xdr:rowOff>71437</xdr:rowOff>
    </xdr:to>
    <xdr:sp macro="" textlink="">
      <xdr:nvSpPr>
        <xdr:cNvPr id="122" name="Rounded Rectangle 121"/>
        <xdr:cNvSpPr/>
      </xdr:nvSpPr>
      <xdr:spPr>
        <a:xfrm>
          <a:off x="17764125" y="7953374"/>
          <a:ext cx="2071688" cy="69056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Stratford</a:t>
          </a:r>
        </a:p>
      </xdr:txBody>
    </xdr:sp>
    <xdr:clientData/>
  </xdr:twoCellAnchor>
  <xdr:twoCellAnchor>
    <xdr:from>
      <xdr:col>63</xdr:col>
      <xdr:colOff>95249</xdr:colOff>
      <xdr:row>77</xdr:row>
      <xdr:rowOff>119063</xdr:rowOff>
    </xdr:from>
    <xdr:to>
      <xdr:col>67</xdr:col>
      <xdr:colOff>500061</xdr:colOff>
      <xdr:row>81</xdr:row>
      <xdr:rowOff>95250</xdr:rowOff>
    </xdr:to>
    <xdr:sp macro="" textlink="">
      <xdr:nvSpPr>
        <xdr:cNvPr id="123" name="Rounded Rectangle 122"/>
        <xdr:cNvSpPr/>
      </xdr:nvSpPr>
      <xdr:spPr>
        <a:xfrm>
          <a:off x="39100124" y="14787563"/>
          <a:ext cx="2881312" cy="73818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Beckton Park</a:t>
          </a:r>
        </a:p>
      </xdr:txBody>
    </xdr:sp>
    <xdr:clientData/>
  </xdr:twoCellAnchor>
  <xdr:twoCellAnchor>
    <xdr:from>
      <xdr:col>53</xdr:col>
      <xdr:colOff>119063</xdr:colOff>
      <xdr:row>90</xdr:row>
      <xdr:rowOff>119064</xdr:rowOff>
    </xdr:from>
    <xdr:to>
      <xdr:col>58</xdr:col>
      <xdr:colOff>47625</xdr:colOff>
      <xdr:row>94</xdr:row>
      <xdr:rowOff>47626</xdr:rowOff>
    </xdr:to>
    <xdr:sp macro="" textlink="">
      <xdr:nvSpPr>
        <xdr:cNvPr id="124" name="Rounded Rectangle 123"/>
        <xdr:cNvSpPr/>
      </xdr:nvSpPr>
      <xdr:spPr>
        <a:xfrm>
          <a:off x="32932688" y="17264064"/>
          <a:ext cx="3024187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Custom House</a:t>
          </a:r>
        </a:p>
      </xdr:txBody>
    </xdr:sp>
    <xdr:clientData/>
  </xdr:twoCellAnchor>
  <xdr:twoCellAnchor>
    <xdr:from>
      <xdr:col>46</xdr:col>
      <xdr:colOff>381000</xdr:colOff>
      <xdr:row>73</xdr:row>
      <xdr:rowOff>47625</xdr:rowOff>
    </xdr:from>
    <xdr:to>
      <xdr:col>50</xdr:col>
      <xdr:colOff>190500</xdr:colOff>
      <xdr:row>76</xdr:row>
      <xdr:rowOff>119062</xdr:rowOff>
    </xdr:to>
    <xdr:sp macro="" textlink="">
      <xdr:nvSpPr>
        <xdr:cNvPr id="125" name="Rounded Rectangle 124"/>
        <xdr:cNvSpPr/>
      </xdr:nvSpPr>
      <xdr:spPr>
        <a:xfrm>
          <a:off x="28860750" y="13954125"/>
          <a:ext cx="2286000" cy="64293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West Ham</a:t>
          </a:r>
        </a:p>
      </xdr:txBody>
    </xdr:sp>
    <xdr:clientData/>
  </xdr:twoCellAnchor>
  <xdr:twoCellAnchor>
    <xdr:from>
      <xdr:col>66</xdr:col>
      <xdr:colOff>523875</xdr:colOff>
      <xdr:row>91</xdr:row>
      <xdr:rowOff>95250</xdr:rowOff>
    </xdr:from>
    <xdr:to>
      <xdr:col>70</xdr:col>
      <xdr:colOff>595312</xdr:colOff>
      <xdr:row>94</xdr:row>
      <xdr:rowOff>166687</xdr:rowOff>
    </xdr:to>
    <xdr:sp macro="" textlink="">
      <xdr:nvSpPr>
        <xdr:cNvPr id="127" name="Rounded Rectangle 126"/>
        <xdr:cNvSpPr/>
      </xdr:nvSpPr>
      <xdr:spPr>
        <a:xfrm>
          <a:off x="41386125" y="17430750"/>
          <a:ext cx="2547937" cy="64293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Royal Albert</a:t>
          </a:r>
        </a:p>
      </xdr:txBody>
    </xdr:sp>
    <xdr:clientData/>
  </xdr:twoCellAnchor>
  <xdr:twoCellAnchor>
    <xdr:from>
      <xdr:col>46</xdr:col>
      <xdr:colOff>261938</xdr:colOff>
      <xdr:row>93</xdr:row>
      <xdr:rowOff>95251</xdr:rowOff>
    </xdr:from>
    <xdr:to>
      <xdr:col>49</xdr:col>
      <xdr:colOff>428625</xdr:colOff>
      <xdr:row>97</xdr:row>
      <xdr:rowOff>0</xdr:rowOff>
    </xdr:to>
    <xdr:sp macro="" textlink="">
      <xdr:nvSpPr>
        <xdr:cNvPr id="128" name="Rounded Rectangle 127"/>
        <xdr:cNvSpPr/>
      </xdr:nvSpPr>
      <xdr:spPr>
        <a:xfrm>
          <a:off x="28741688" y="17811751"/>
          <a:ext cx="2024062" cy="666749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Star Lane</a:t>
          </a:r>
        </a:p>
      </xdr:txBody>
    </xdr:sp>
    <xdr:clientData/>
  </xdr:twoCellAnchor>
  <xdr:twoCellAnchor>
    <xdr:from>
      <xdr:col>50</xdr:col>
      <xdr:colOff>476250</xdr:colOff>
      <xdr:row>102</xdr:row>
      <xdr:rowOff>23814</xdr:rowOff>
    </xdr:from>
    <xdr:to>
      <xdr:col>55</xdr:col>
      <xdr:colOff>238125</xdr:colOff>
      <xdr:row>106</xdr:row>
      <xdr:rowOff>23814</xdr:rowOff>
    </xdr:to>
    <xdr:sp macro="" textlink="">
      <xdr:nvSpPr>
        <xdr:cNvPr id="129" name="Rounded Rectangle 128"/>
        <xdr:cNvSpPr/>
      </xdr:nvSpPr>
      <xdr:spPr>
        <a:xfrm>
          <a:off x="31432500" y="19454814"/>
          <a:ext cx="2857500" cy="7620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Royal Victoria</a:t>
          </a:r>
        </a:p>
      </xdr:txBody>
    </xdr:sp>
    <xdr:clientData/>
  </xdr:twoCellAnchor>
  <xdr:twoCellAnchor>
    <xdr:from>
      <xdr:col>59</xdr:col>
      <xdr:colOff>23812</xdr:colOff>
      <xdr:row>96</xdr:row>
      <xdr:rowOff>119062</xdr:rowOff>
    </xdr:from>
    <xdr:to>
      <xdr:col>63</xdr:col>
      <xdr:colOff>404812</xdr:colOff>
      <xdr:row>100</xdr:row>
      <xdr:rowOff>95249</xdr:rowOff>
    </xdr:to>
    <xdr:sp macro="" textlink="">
      <xdr:nvSpPr>
        <xdr:cNvPr id="130" name="Rounded Rectangle 129"/>
        <xdr:cNvSpPr/>
      </xdr:nvSpPr>
      <xdr:spPr>
        <a:xfrm>
          <a:off x="36552187" y="18407062"/>
          <a:ext cx="2857500" cy="73818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Prince</a:t>
          </a:r>
          <a:r>
            <a:rPr lang="fr-FR" sz="3600" baseline="0"/>
            <a:t> Regent</a:t>
          </a:r>
          <a:endParaRPr lang="fr-FR" sz="3600"/>
        </a:p>
      </xdr:txBody>
    </xdr:sp>
    <xdr:clientData/>
  </xdr:twoCellAnchor>
  <xdr:twoCellAnchor>
    <xdr:from>
      <xdr:col>73</xdr:col>
      <xdr:colOff>476250</xdr:colOff>
      <xdr:row>42</xdr:row>
      <xdr:rowOff>119063</xdr:rowOff>
    </xdr:from>
    <xdr:to>
      <xdr:col>78</xdr:col>
      <xdr:colOff>500062</xdr:colOff>
      <xdr:row>46</xdr:row>
      <xdr:rowOff>47625</xdr:rowOff>
    </xdr:to>
    <xdr:sp macro="" textlink="">
      <xdr:nvSpPr>
        <xdr:cNvPr id="132" name="Rounded Rectangle 131"/>
        <xdr:cNvSpPr/>
      </xdr:nvSpPr>
      <xdr:spPr>
        <a:xfrm>
          <a:off x="45672375" y="8120063"/>
          <a:ext cx="3119437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Gallions</a:t>
          </a:r>
          <a:r>
            <a:rPr lang="fr-FR" sz="3600" baseline="0"/>
            <a:t> Reach</a:t>
          </a:r>
          <a:endParaRPr lang="fr-FR" sz="3600"/>
        </a:p>
      </xdr:txBody>
    </xdr:sp>
    <xdr:clientData/>
  </xdr:twoCellAnchor>
  <xdr:twoCellAnchor>
    <xdr:from>
      <xdr:col>51</xdr:col>
      <xdr:colOff>47624</xdr:colOff>
      <xdr:row>117</xdr:row>
      <xdr:rowOff>71439</xdr:rowOff>
    </xdr:from>
    <xdr:to>
      <xdr:col>56</xdr:col>
      <xdr:colOff>309562</xdr:colOff>
      <xdr:row>121</xdr:row>
      <xdr:rowOff>1</xdr:rowOff>
    </xdr:to>
    <xdr:sp macro="" textlink="">
      <xdr:nvSpPr>
        <xdr:cNvPr id="133" name="Rounded Rectangle 132"/>
        <xdr:cNvSpPr/>
      </xdr:nvSpPr>
      <xdr:spPr>
        <a:xfrm>
          <a:off x="31622999" y="22359939"/>
          <a:ext cx="3357563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West Silvertown</a:t>
          </a:r>
        </a:p>
      </xdr:txBody>
    </xdr:sp>
    <xdr:clientData/>
  </xdr:twoCellAnchor>
  <xdr:twoCellAnchor>
    <xdr:from>
      <xdr:col>83</xdr:col>
      <xdr:colOff>500062</xdr:colOff>
      <xdr:row>43</xdr:row>
      <xdr:rowOff>95251</xdr:rowOff>
    </xdr:from>
    <xdr:to>
      <xdr:col>86</xdr:col>
      <xdr:colOff>523874</xdr:colOff>
      <xdr:row>47</xdr:row>
      <xdr:rowOff>119063</xdr:rowOff>
    </xdr:to>
    <xdr:sp macro="" textlink="">
      <xdr:nvSpPr>
        <xdr:cNvPr id="134" name="Rounded Rectangle 133"/>
        <xdr:cNvSpPr/>
      </xdr:nvSpPr>
      <xdr:spPr>
        <a:xfrm>
          <a:off x="51887437" y="8286751"/>
          <a:ext cx="1881187" cy="78581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Beckton</a:t>
          </a:r>
        </a:p>
      </xdr:txBody>
    </xdr:sp>
    <xdr:clientData/>
  </xdr:twoCellAnchor>
  <xdr:twoCellAnchor>
    <xdr:from>
      <xdr:col>71</xdr:col>
      <xdr:colOff>404813</xdr:colOff>
      <xdr:row>59</xdr:row>
      <xdr:rowOff>47625</xdr:rowOff>
    </xdr:from>
    <xdr:to>
      <xdr:col>74</xdr:col>
      <xdr:colOff>238125</xdr:colOff>
      <xdr:row>63</xdr:row>
      <xdr:rowOff>95250</xdr:rowOff>
    </xdr:to>
    <xdr:sp macro="" textlink="">
      <xdr:nvSpPr>
        <xdr:cNvPr id="136" name="Rounded Rectangle 135"/>
        <xdr:cNvSpPr/>
      </xdr:nvSpPr>
      <xdr:spPr>
        <a:xfrm>
          <a:off x="44362688" y="11287125"/>
          <a:ext cx="1690687" cy="809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Cyprus</a:t>
          </a:r>
        </a:p>
      </xdr:txBody>
    </xdr:sp>
    <xdr:clientData/>
  </xdr:twoCellAnchor>
  <xdr:twoCellAnchor>
    <xdr:from>
      <xdr:col>71</xdr:col>
      <xdr:colOff>119063</xdr:colOff>
      <xdr:row>144</xdr:row>
      <xdr:rowOff>47625</xdr:rowOff>
    </xdr:from>
    <xdr:to>
      <xdr:col>77</xdr:col>
      <xdr:colOff>119063</xdr:colOff>
      <xdr:row>147</xdr:row>
      <xdr:rowOff>119062</xdr:rowOff>
    </xdr:to>
    <xdr:sp macro="" textlink="">
      <xdr:nvSpPr>
        <xdr:cNvPr id="138" name="Rounded Rectangle 137"/>
        <xdr:cNvSpPr/>
      </xdr:nvSpPr>
      <xdr:spPr>
        <a:xfrm>
          <a:off x="44076938" y="27479625"/>
          <a:ext cx="3714750" cy="64293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Woolwich Arsenal</a:t>
          </a:r>
        </a:p>
      </xdr:txBody>
    </xdr:sp>
    <xdr:clientData/>
  </xdr:twoCellAnchor>
  <xdr:twoCellAnchor>
    <xdr:from>
      <xdr:col>29</xdr:col>
      <xdr:colOff>381000</xdr:colOff>
      <xdr:row>99</xdr:row>
      <xdr:rowOff>0</xdr:rowOff>
    </xdr:from>
    <xdr:to>
      <xdr:col>32</xdr:col>
      <xdr:colOff>523874</xdr:colOff>
      <xdr:row>102</xdr:row>
      <xdr:rowOff>119063</xdr:rowOff>
    </xdr:to>
    <xdr:sp macro="" textlink="">
      <xdr:nvSpPr>
        <xdr:cNvPr id="139" name="Rounded Rectangle 138"/>
        <xdr:cNvSpPr/>
      </xdr:nvSpPr>
      <xdr:spPr>
        <a:xfrm>
          <a:off x="18335625" y="18859500"/>
          <a:ext cx="2000249" cy="69056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All Saints</a:t>
          </a:r>
        </a:p>
      </xdr:txBody>
    </xdr:sp>
    <xdr:clientData/>
  </xdr:twoCellAnchor>
  <xdr:twoCellAnchor>
    <xdr:from>
      <xdr:col>68</xdr:col>
      <xdr:colOff>119063</xdr:colOff>
      <xdr:row>129</xdr:row>
      <xdr:rowOff>95251</xdr:rowOff>
    </xdr:from>
    <xdr:to>
      <xdr:col>72</xdr:col>
      <xdr:colOff>571500</xdr:colOff>
      <xdr:row>133</xdr:row>
      <xdr:rowOff>1</xdr:rowOff>
    </xdr:to>
    <xdr:sp macro="" textlink="">
      <xdr:nvSpPr>
        <xdr:cNvPr id="140" name="Rounded Rectangle 139"/>
        <xdr:cNvSpPr/>
      </xdr:nvSpPr>
      <xdr:spPr>
        <a:xfrm>
          <a:off x="42219563" y="24669751"/>
          <a:ext cx="2928937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King George V</a:t>
          </a:r>
        </a:p>
      </xdr:txBody>
    </xdr:sp>
    <xdr:clientData/>
  </xdr:twoCellAnchor>
  <xdr:twoCellAnchor>
    <xdr:from>
      <xdr:col>50</xdr:col>
      <xdr:colOff>47625</xdr:colOff>
      <xdr:row>129</xdr:row>
      <xdr:rowOff>95251</xdr:rowOff>
    </xdr:from>
    <xdr:to>
      <xdr:col>55</xdr:col>
      <xdr:colOff>23812</xdr:colOff>
      <xdr:row>133</xdr:row>
      <xdr:rowOff>1</xdr:rowOff>
    </xdr:to>
    <xdr:sp macro="" textlink="">
      <xdr:nvSpPr>
        <xdr:cNvPr id="141" name="Rounded Rectangle 140"/>
        <xdr:cNvSpPr/>
      </xdr:nvSpPr>
      <xdr:spPr>
        <a:xfrm>
          <a:off x="31003875" y="24669751"/>
          <a:ext cx="3071812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Pontoon Dock</a:t>
          </a:r>
        </a:p>
      </xdr:txBody>
    </xdr:sp>
    <xdr:clientData/>
  </xdr:twoCellAnchor>
  <xdr:twoCellAnchor>
    <xdr:from>
      <xdr:col>58</xdr:col>
      <xdr:colOff>71438</xdr:colOff>
      <xdr:row>126</xdr:row>
      <xdr:rowOff>23813</xdr:rowOff>
    </xdr:from>
    <xdr:to>
      <xdr:col>64</xdr:col>
      <xdr:colOff>285750</xdr:colOff>
      <xdr:row>129</xdr:row>
      <xdr:rowOff>119063</xdr:rowOff>
    </xdr:to>
    <xdr:sp macro="" textlink="">
      <xdr:nvSpPr>
        <xdr:cNvPr id="143" name="Rounded Rectangle 142"/>
        <xdr:cNvSpPr/>
      </xdr:nvSpPr>
      <xdr:spPr>
        <a:xfrm>
          <a:off x="35980688" y="24026813"/>
          <a:ext cx="3929062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London City Airport</a:t>
          </a:r>
        </a:p>
      </xdr:txBody>
    </xdr:sp>
    <xdr:clientData/>
  </xdr:twoCellAnchor>
  <xdr:twoCellAnchor>
    <xdr:from>
      <xdr:col>16</xdr:col>
      <xdr:colOff>47625</xdr:colOff>
      <xdr:row>114</xdr:row>
      <xdr:rowOff>95250</xdr:rowOff>
    </xdr:from>
    <xdr:to>
      <xdr:col>18</xdr:col>
      <xdr:colOff>333375</xdr:colOff>
      <xdr:row>118</xdr:row>
      <xdr:rowOff>142875</xdr:rowOff>
    </xdr:to>
    <xdr:sp macro="" textlink="">
      <xdr:nvSpPr>
        <xdr:cNvPr id="144" name="Rounded Rectangle 143"/>
        <xdr:cNvSpPr/>
      </xdr:nvSpPr>
      <xdr:spPr>
        <a:xfrm>
          <a:off x="9953625" y="21812250"/>
          <a:ext cx="1524000" cy="809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Bank</a:t>
          </a:r>
        </a:p>
      </xdr:txBody>
    </xdr:sp>
    <xdr:clientData/>
  </xdr:twoCellAnchor>
  <xdr:twoCellAnchor>
    <xdr:from>
      <xdr:col>28</xdr:col>
      <xdr:colOff>230187</xdr:colOff>
      <xdr:row>106</xdr:row>
      <xdr:rowOff>119062</xdr:rowOff>
    </xdr:from>
    <xdr:to>
      <xdr:col>31</xdr:col>
      <xdr:colOff>571499</xdr:colOff>
      <xdr:row>110</xdr:row>
      <xdr:rowOff>71437</xdr:rowOff>
    </xdr:to>
    <xdr:sp macro="" textlink="">
      <xdr:nvSpPr>
        <xdr:cNvPr id="145" name="Rounded Rectangle 144"/>
        <xdr:cNvSpPr/>
      </xdr:nvSpPr>
      <xdr:spPr>
        <a:xfrm>
          <a:off x="17121187" y="20312062"/>
          <a:ext cx="2151062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Westferry</a:t>
          </a:r>
        </a:p>
      </xdr:txBody>
    </xdr:sp>
    <xdr:clientData/>
  </xdr:twoCellAnchor>
  <xdr:twoCellAnchor>
    <xdr:from>
      <xdr:col>23</xdr:col>
      <xdr:colOff>507999</xdr:colOff>
      <xdr:row>112</xdr:row>
      <xdr:rowOff>71439</xdr:rowOff>
    </xdr:from>
    <xdr:to>
      <xdr:col>27</xdr:col>
      <xdr:colOff>357187</xdr:colOff>
      <xdr:row>115</xdr:row>
      <xdr:rowOff>95250</xdr:rowOff>
    </xdr:to>
    <xdr:sp macro="" textlink="">
      <xdr:nvSpPr>
        <xdr:cNvPr id="147" name="Rounded Rectangle 146"/>
        <xdr:cNvSpPr/>
      </xdr:nvSpPr>
      <xdr:spPr>
        <a:xfrm>
          <a:off x="14382749" y="21407439"/>
          <a:ext cx="2262188" cy="595311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Limehouse</a:t>
          </a:r>
        </a:p>
      </xdr:txBody>
    </xdr:sp>
    <xdr:clientData/>
  </xdr:twoCellAnchor>
  <xdr:twoCellAnchor>
    <xdr:from>
      <xdr:col>36</xdr:col>
      <xdr:colOff>428624</xdr:colOff>
      <xdr:row>107</xdr:row>
      <xdr:rowOff>1</xdr:rowOff>
    </xdr:from>
    <xdr:to>
      <xdr:col>40</xdr:col>
      <xdr:colOff>47624</xdr:colOff>
      <xdr:row>110</xdr:row>
      <xdr:rowOff>95251</xdr:rowOff>
    </xdr:to>
    <xdr:sp macro="" textlink="">
      <xdr:nvSpPr>
        <xdr:cNvPr id="148" name="Rounded Rectangle 147"/>
        <xdr:cNvSpPr/>
      </xdr:nvSpPr>
      <xdr:spPr>
        <a:xfrm>
          <a:off x="22717124" y="20383501"/>
          <a:ext cx="2095500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Blackwall</a:t>
          </a:r>
        </a:p>
      </xdr:txBody>
    </xdr:sp>
    <xdr:clientData/>
  </xdr:twoCellAnchor>
  <xdr:twoCellAnchor>
    <xdr:from>
      <xdr:col>13</xdr:col>
      <xdr:colOff>47625</xdr:colOff>
      <xdr:row>98</xdr:row>
      <xdr:rowOff>47626</xdr:rowOff>
    </xdr:from>
    <xdr:to>
      <xdr:col>18</xdr:col>
      <xdr:colOff>349250</xdr:colOff>
      <xdr:row>102</xdr:row>
      <xdr:rowOff>31750</xdr:rowOff>
    </xdr:to>
    <xdr:sp macro="" textlink="">
      <xdr:nvSpPr>
        <xdr:cNvPr id="149" name="Rounded Rectangle 148"/>
        <xdr:cNvSpPr/>
      </xdr:nvSpPr>
      <xdr:spPr>
        <a:xfrm>
          <a:off x="7889875" y="18716626"/>
          <a:ext cx="3317875" cy="746124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Tower Gateway</a:t>
          </a:r>
        </a:p>
      </xdr:txBody>
    </xdr:sp>
    <xdr:clientData/>
  </xdr:twoCellAnchor>
  <xdr:twoCellAnchor>
    <xdr:from>
      <xdr:col>34</xdr:col>
      <xdr:colOff>142874</xdr:colOff>
      <xdr:row>123</xdr:row>
      <xdr:rowOff>23812</xdr:rowOff>
    </xdr:from>
    <xdr:to>
      <xdr:col>39</xdr:col>
      <xdr:colOff>404812</xdr:colOff>
      <xdr:row>127</xdr:row>
      <xdr:rowOff>-1</xdr:rowOff>
    </xdr:to>
    <xdr:sp macro="" textlink="">
      <xdr:nvSpPr>
        <xdr:cNvPr id="150" name="Rounded Rectangle 149"/>
        <xdr:cNvSpPr/>
      </xdr:nvSpPr>
      <xdr:spPr>
        <a:xfrm>
          <a:off x="21193124" y="23455312"/>
          <a:ext cx="3357563" cy="73818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West India Quay</a:t>
          </a:r>
        </a:p>
      </xdr:txBody>
    </xdr:sp>
    <xdr:clientData/>
  </xdr:twoCellAnchor>
  <xdr:twoCellAnchor>
    <xdr:from>
      <xdr:col>34</xdr:col>
      <xdr:colOff>309562</xdr:colOff>
      <xdr:row>133</xdr:row>
      <xdr:rowOff>71437</xdr:rowOff>
    </xdr:from>
    <xdr:to>
      <xdr:col>39</xdr:col>
      <xdr:colOff>119062</xdr:colOff>
      <xdr:row>136</xdr:row>
      <xdr:rowOff>142874</xdr:rowOff>
    </xdr:to>
    <xdr:sp macro="" textlink="">
      <xdr:nvSpPr>
        <xdr:cNvPr id="151" name="Rounded Rectangle 150"/>
        <xdr:cNvSpPr/>
      </xdr:nvSpPr>
      <xdr:spPr>
        <a:xfrm>
          <a:off x="21359812" y="25407937"/>
          <a:ext cx="2905125" cy="642937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Canary Wharf</a:t>
          </a:r>
        </a:p>
      </xdr:txBody>
    </xdr:sp>
    <xdr:clientData/>
  </xdr:twoCellAnchor>
  <xdr:twoCellAnchor>
    <xdr:from>
      <xdr:col>33</xdr:col>
      <xdr:colOff>452437</xdr:colOff>
      <xdr:row>115</xdr:row>
      <xdr:rowOff>47626</xdr:rowOff>
    </xdr:from>
    <xdr:to>
      <xdr:col>36</xdr:col>
      <xdr:colOff>142875</xdr:colOff>
      <xdr:row>118</xdr:row>
      <xdr:rowOff>71437</xdr:rowOff>
    </xdr:to>
    <xdr:sp macro="" textlink="">
      <xdr:nvSpPr>
        <xdr:cNvPr id="153" name="Rounded Rectangle 152"/>
        <xdr:cNvSpPr/>
      </xdr:nvSpPr>
      <xdr:spPr>
        <a:xfrm>
          <a:off x="20883562" y="21955126"/>
          <a:ext cx="1547813" cy="595311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Poplar</a:t>
          </a:r>
        </a:p>
      </xdr:txBody>
    </xdr:sp>
    <xdr:clientData/>
  </xdr:twoCellAnchor>
  <xdr:twoCellAnchor>
    <xdr:from>
      <xdr:col>34</xdr:col>
      <xdr:colOff>428625</xdr:colOff>
      <xdr:row>146</xdr:row>
      <xdr:rowOff>71438</xdr:rowOff>
    </xdr:from>
    <xdr:to>
      <xdr:col>39</xdr:col>
      <xdr:colOff>71437</xdr:colOff>
      <xdr:row>150</xdr:row>
      <xdr:rowOff>0</xdr:rowOff>
    </xdr:to>
    <xdr:sp macro="" textlink="">
      <xdr:nvSpPr>
        <xdr:cNvPr id="154" name="Rounded Rectangle 153"/>
        <xdr:cNvSpPr/>
      </xdr:nvSpPr>
      <xdr:spPr>
        <a:xfrm>
          <a:off x="21478875" y="27884438"/>
          <a:ext cx="2738437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heron Quays</a:t>
          </a:r>
        </a:p>
      </xdr:txBody>
    </xdr:sp>
    <xdr:clientData/>
  </xdr:twoCellAnchor>
  <xdr:twoCellAnchor>
    <xdr:from>
      <xdr:col>35</xdr:col>
      <xdr:colOff>238125</xdr:colOff>
      <xdr:row>170</xdr:row>
      <xdr:rowOff>119062</xdr:rowOff>
    </xdr:from>
    <xdr:to>
      <xdr:col>39</xdr:col>
      <xdr:colOff>523874</xdr:colOff>
      <xdr:row>173</xdr:row>
      <xdr:rowOff>142875</xdr:rowOff>
    </xdr:to>
    <xdr:sp macro="" textlink="">
      <xdr:nvSpPr>
        <xdr:cNvPr id="158" name="Rounded Rectangle 157"/>
        <xdr:cNvSpPr/>
      </xdr:nvSpPr>
      <xdr:spPr>
        <a:xfrm>
          <a:off x="21907500" y="32504062"/>
          <a:ext cx="2762249" cy="59531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Crossharbour</a:t>
          </a:r>
        </a:p>
      </xdr:txBody>
    </xdr:sp>
    <xdr:clientData/>
  </xdr:twoCellAnchor>
  <xdr:twoCellAnchor>
    <xdr:from>
      <xdr:col>29</xdr:col>
      <xdr:colOff>317500</xdr:colOff>
      <xdr:row>192</xdr:row>
      <xdr:rowOff>127002</xdr:rowOff>
    </xdr:from>
    <xdr:to>
      <xdr:col>34</xdr:col>
      <xdr:colOff>222250</xdr:colOff>
      <xdr:row>196</xdr:row>
      <xdr:rowOff>158750</xdr:rowOff>
    </xdr:to>
    <xdr:sp macro="" textlink="">
      <xdr:nvSpPr>
        <xdr:cNvPr id="159" name="Rounded Rectangle 158"/>
        <xdr:cNvSpPr/>
      </xdr:nvSpPr>
      <xdr:spPr>
        <a:xfrm>
          <a:off x="17811750" y="36703002"/>
          <a:ext cx="2921000" cy="793748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Island Garden</a:t>
          </a:r>
        </a:p>
      </xdr:txBody>
    </xdr:sp>
    <xdr:clientData/>
  </xdr:twoCellAnchor>
  <xdr:twoCellAnchor>
    <xdr:from>
      <xdr:col>35</xdr:col>
      <xdr:colOff>238126</xdr:colOff>
      <xdr:row>183</xdr:row>
      <xdr:rowOff>95251</xdr:rowOff>
    </xdr:from>
    <xdr:to>
      <xdr:col>39</xdr:col>
      <xdr:colOff>23813</xdr:colOff>
      <xdr:row>186</xdr:row>
      <xdr:rowOff>142876</xdr:rowOff>
    </xdr:to>
    <xdr:sp macro="" textlink="">
      <xdr:nvSpPr>
        <xdr:cNvPr id="160" name="Rounded Rectangle 159"/>
        <xdr:cNvSpPr/>
      </xdr:nvSpPr>
      <xdr:spPr>
        <a:xfrm>
          <a:off x="21907501" y="34956751"/>
          <a:ext cx="2262187" cy="6191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Mudchute</a:t>
          </a:r>
        </a:p>
      </xdr:txBody>
    </xdr:sp>
    <xdr:clientData/>
  </xdr:twoCellAnchor>
  <xdr:twoCellAnchor>
    <xdr:from>
      <xdr:col>35</xdr:col>
      <xdr:colOff>381000</xdr:colOff>
      <xdr:row>158</xdr:row>
      <xdr:rowOff>119064</xdr:rowOff>
    </xdr:from>
    <xdr:to>
      <xdr:col>39</xdr:col>
      <xdr:colOff>357187</xdr:colOff>
      <xdr:row>161</xdr:row>
      <xdr:rowOff>119064</xdr:rowOff>
    </xdr:to>
    <xdr:sp macro="" textlink="">
      <xdr:nvSpPr>
        <xdr:cNvPr id="162" name="Rounded Rectangle 161"/>
        <xdr:cNvSpPr/>
      </xdr:nvSpPr>
      <xdr:spPr>
        <a:xfrm>
          <a:off x="22050375" y="30218064"/>
          <a:ext cx="2452687" cy="5715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South Quay</a:t>
          </a:r>
        </a:p>
      </xdr:txBody>
    </xdr:sp>
    <xdr:clientData/>
  </xdr:twoCellAnchor>
  <xdr:twoCellAnchor>
    <xdr:from>
      <xdr:col>35</xdr:col>
      <xdr:colOff>381000</xdr:colOff>
      <xdr:row>227</xdr:row>
      <xdr:rowOff>166687</xdr:rowOff>
    </xdr:from>
    <xdr:to>
      <xdr:col>40</xdr:col>
      <xdr:colOff>523875</xdr:colOff>
      <xdr:row>231</xdr:row>
      <xdr:rowOff>95250</xdr:rowOff>
    </xdr:to>
    <xdr:sp macro="" textlink="">
      <xdr:nvSpPr>
        <xdr:cNvPr id="163" name="Rounded Rectangle 162"/>
        <xdr:cNvSpPr/>
      </xdr:nvSpPr>
      <xdr:spPr>
        <a:xfrm>
          <a:off x="22050375" y="43410187"/>
          <a:ext cx="3238500" cy="690563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Deptford</a:t>
          </a:r>
          <a:r>
            <a:rPr lang="fr-FR" sz="3600" baseline="0"/>
            <a:t> Bridge</a:t>
          </a:r>
          <a:endParaRPr lang="fr-FR" sz="3600"/>
        </a:p>
      </xdr:txBody>
    </xdr:sp>
    <xdr:clientData/>
  </xdr:twoCellAnchor>
  <xdr:twoCellAnchor>
    <xdr:from>
      <xdr:col>35</xdr:col>
      <xdr:colOff>333375</xdr:colOff>
      <xdr:row>218</xdr:row>
      <xdr:rowOff>166688</xdr:rowOff>
    </xdr:from>
    <xdr:to>
      <xdr:col>39</xdr:col>
      <xdr:colOff>285750</xdr:colOff>
      <xdr:row>222</xdr:row>
      <xdr:rowOff>119063</xdr:rowOff>
    </xdr:to>
    <xdr:sp macro="" textlink="">
      <xdr:nvSpPr>
        <xdr:cNvPr id="164" name="Rounded Rectangle 163"/>
        <xdr:cNvSpPr/>
      </xdr:nvSpPr>
      <xdr:spPr>
        <a:xfrm>
          <a:off x="22002750" y="41695688"/>
          <a:ext cx="2428875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Greenwich</a:t>
          </a:r>
        </a:p>
      </xdr:txBody>
    </xdr:sp>
    <xdr:clientData/>
  </xdr:twoCellAnchor>
  <xdr:twoCellAnchor>
    <xdr:from>
      <xdr:col>35</xdr:col>
      <xdr:colOff>381000</xdr:colOff>
      <xdr:row>207</xdr:row>
      <xdr:rowOff>71438</xdr:rowOff>
    </xdr:from>
    <xdr:to>
      <xdr:col>39</xdr:col>
      <xdr:colOff>238125</xdr:colOff>
      <xdr:row>210</xdr:row>
      <xdr:rowOff>119063</xdr:rowOff>
    </xdr:to>
    <xdr:sp macro="" textlink="">
      <xdr:nvSpPr>
        <xdr:cNvPr id="165" name="Rounded Rectangle 164"/>
        <xdr:cNvSpPr/>
      </xdr:nvSpPr>
      <xdr:spPr>
        <a:xfrm>
          <a:off x="22050375" y="39504938"/>
          <a:ext cx="2333625" cy="6191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Cutty sark</a:t>
          </a:r>
        </a:p>
      </xdr:txBody>
    </xdr:sp>
    <xdr:clientData/>
  </xdr:twoCellAnchor>
  <xdr:twoCellAnchor>
    <xdr:from>
      <xdr:col>41</xdr:col>
      <xdr:colOff>261937</xdr:colOff>
      <xdr:row>106</xdr:row>
      <xdr:rowOff>23814</xdr:rowOff>
    </xdr:from>
    <xdr:to>
      <xdr:col>44</xdr:col>
      <xdr:colOff>547687</xdr:colOff>
      <xdr:row>109</xdr:row>
      <xdr:rowOff>142876</xdr:rowOff>
    </xdr:to>
    <xdr:sp macro="" textlink="">
      <xdr:nvSpPr>
        <xdr:cNvPr id="167" name="Rounded Rectangle 166"/>
        <xdr:cNvSpPr/>
      </xdr:nvSpPr>
      <xdr:spPr>
        <a:xfrm>
          <a:off x="25646062" y="20216814"/>
          <a:ext cx="2143125" cy="690562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East India</a:t>
          </a:r>
        </a:p>
      </xdr:txBody>
    </xdr:sp>
    <xdr:clientData/>
  </xdr:twoCellAnchor>
  <xdr:twoCellAnchor>
    <xdr:from>
      <xdr:col>43</xdr:col>
      <xdr:colOff>238124</xdr:colOff>
      <xdr:row>113</xdr:row>
      <xdr:rowOff>166689</xdr:rowOff>
    </xdr:from>
    <xdr:to>
      <xdr:col>48</xdr:col>
      <xdr:colOff>71437</xdr:colOff>
      <xdr:row>117</xdr:row>
      <xdr:rowOff>119063</xdr:rowOff>
    </xdr:to>
    <xdr:sp macro="" textlink="">
      <xdr:nvSpPr>
        <xdr:cNvPr id="169" name="Rounded Rectangle 168"/>
        <xdr:cNvSpPr/>
      </xdr:nvSpPr>
      <xdr:spPr>
        <a:xfrm>
          <a:off x="26860499" y="21693189"/>
          <a:ext cx="2928938" cy="714374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Canning Town</a:t>
          </a:r>
        </a:p>
      </xdr:txBody>
    </xdr:sp>
    <xdr:clientData/>
  </xdr:twoCellAnchor>
  <xdr:twoCellAnchor>
    <xdr:from>
      <xdr:col>35</xdr:col>
      <xdr:colOff>333375</xdr:colOff>
      <xdr:row>241</xdr:row>
      <xdr:rowOff>71437</xdr:rowOff>
    </xdr:from>
    <xdr:to>
      <xdr:col>40</xdr:col>
      <xdr:colOff>214312</xdr:colOff>
      <xdr:row>245</xdr:row>
      <xdr:rowOff>23812</xdr:rowOff>
    </xdr:to>
    <xdr:sp macro="" textlink="">
      <xdr:nvSpPr>
        <xdr:cNvPr id="170" name="Rounded Rectangle 169"/>
        <xdr:cNvSpPr/>
      </xdr:nvSpPr>
      <xdr:spPr>
        <a:xfrm>
          <a:off x="22002750" y="45981937"/>
          <a:ext cx="2976562" cy="7143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Elverson Road</a:t>
          </a:r>
        </a:p>
      </xdr:txBody>
    </xdr:sp>
    <xdr:clientData/>
  </xdr:twoCellAnchor>
  <xdr:twoCellAnchor>
    <xdr:from>
      <xdr:col>35</xdr:col>
      <xdr:colOff>261938</xdr:colOff>
      <xdr:row>249</xdr:row>
      <xdr:rowOff>23812</xdr:rowOff>
    </xdr:from>
    <xdr:to>
      <xdr:col>39</xdr:col>
      <xdr:colOff>166688</xdr:colOff>
      <xdr:row>253</xdr:row>
      <xdr:rowOff>71437</xdr:rowOff>
    </xdr:to>
    <xdr:sp macro="" textlink="">
      <xdr:nvSpPr>
        <xdr:cNvPr id="171" name="Rounded Rectangle 170"/>
        <xdr:cNvSpPr/>
      </xdr:nvSpPr>
      <xdr:spPr>
        <a:xfrm>
          <a:off x="21931313" y="47458312"/>
          <a:ext cx="2381250" cy="8096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Lewisham</a:t>
          </a:r>
        </a:p>
      </xdr:txBody>
    </xdr:sp>
    <xdr:clientData/>
  </xdr:twoCellAnchor>
  <xdr:twoCellAnchor>
    <xdr:from>
      <xdr:col>21</xdr:col>
      <xdr:colOff>508001</xdr:colOff>
      <xdr:row>103</xdr:row>
      <xdr:rowOff>63500</xdr:rowOff>
    </xdr:from>
    <xdr:to>
      <xdr:col>25</xdr:col>
      <xdr:colOff>31751</xdr:colOff>
      <xdr:row>107</xdr:row>
      <xdr:rowOff>95250</xdr:rowOff>
    </xdr:to>
    <xdr:sp macro="" textlink="">
      <xdr:nvSpPr>
        <xdr:cNvPr id="173" name="Rounded Rectangle 172"/>
        <xdr:cNvSpPr/>
      </xdr:nvSpPr>
      <xdr:spPr>
        <a:xfrm>
          <a:off x="13176251" y="19685000"/>
          <a:ext cx="1936750" cy="793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Shadwell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D586"/>
  <sheetViews>
    <sheetView topLeftCell="A16" zoomScale="70" zoomScaleNormal="70" workbookViewId="0">
      <selection activeCell="G151" sqref="G151"/>
    </sheetView>
  </sheetViews>
  <sheetFormatPr defaultColWidth="9.140625" defaultRowHeight="15" x14ac:dyDescent="0.25"/>
  <cols>
    <col min="1" max="1" width="35.85546875" style="5" customWidth="1"/>
    <col min="2" max="2" width="47.28515625" style="6" customWidth="1"/>
    <col min="3" max="3" width="19.28515625" style="8" customWidth="1"/>
    <col min="4" max="4" width="22.85546875" style="9" customWidth="1"/>
    <col min="5" max="5" width="14.140625" style="1" customWidth="1"/>
    <col min="6" max="6" width="6.42578125" style="1" customWidth="1"/>
    <col min="7" max="7" width="32" style="9" customWidth="1"/>
    <col min="8" max="8" width="19.7109375" style="3" customWidth="1"/>
    <col min="9" max="9" width="34.5703125" style="1" customWidth="1"/>
    <col min="10" max="10" width="39.5703125" style="1" customWidth="1"/>
    <col min="11" max="11" width="26" style="13" customWidth="1"/>
    <col min="12" max="12" width="40.7109375" customWidth="1"/>
    <col min="13" max="13" width="3.85546875" customWidth="1"/>
    <col min="14" max="14" width="9.140625" customWidth="1"/>
    <col min="15" max="15" width="27.28515625" customWidth="1"/>
  </cols>
  <sheetData>
    <row r="1" spans="1:394" ht="15" customHeight="1" thickBot="1" x14ac:dyDescent="0.3">
      <c r="A1"/>
      <c r="B1"/>
      <c r="C1"/>
      <c r="D1" s="1"/>
      <c r="E1"/>
      <c r="F1"/>
      <c r="G1" s="1"/>
      <c r="H1"/>
      <c r="I1"/>
      <c r="J1"/>
      <c r="K1"/>
    </row>
    <row r="2" spans="1:394" s="11" customFormat="1" ht="16.5" thickTop="1" thickBot="1" x14ac:dyDescent="0.3">
      <c r="A2" s="29" t="s">
        <v>121</v>
      </c>
      <c r="B2" s="30" t="s">
        <v>0</v>
      </c>
      <c r="C2" s="30" t="s">
        <v>65</v>
      </c>
      <c r="D2" s="30" t="s">
        <v>1</v>
      </c>
      <c r="E2" s="31" t="s">
        <v>69</v>
      </c>
      <c r="F2" s="58"/>
      <c r="G2" s="29" t="s">
        <v>1</v>
      </c>
      <c r="H2" s="30" t="s">
        <v>66</v>
      </c>
      <c r="I2" s="30" t="s">
        <v>70</v>
      </c>
      <c r="J2" s="30" t="s">
        <v>114</v>
      </c>
      <c r="K2" s="30" t="s">
        <v>2</v>
      </c>
      <c r="L2" s="31" t="s">
        <v>3</v>
      </c>
      <c r="M2" s="4"/>
      <c r="N2" s="74" t="s">
        <v>122</v>
      </c>
      <c r="O2" s="74" t="s">
        <v>123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</row>
    <row r="3" spans="1:394" x14ac:dyDescent="0.25">
      <c r="A3" s="28" t="s">
        <v>125</v>
      </c>
      <c r="B3" s="7"/>
      <c r="C3" s="17">
        <v>1</v>
      </c>
      <c r="D3" s="10"/>
      <c r="E3" s="21" t="e">
        <f>INDEX(N:N,MATCH(B3,O:O,0),1)</f>
        <v>#N/A</v>
      </c>
      <c r="F3" s="2"/>
      <c r="G3" s="22" t="s">
        <v>118</v>
      </c>
      <c r="H3" s="18">
        <f>SUMIF(D:D,"ABR",C:C)</f>
        <v>0</v>
      </c>
      <c r="I3" s="19">
        <f>IF(H3&gt;4, 4,H3)+1</f>
        <v>1</v>
      </c>
      <c r="J3" s="20">
        <f t="shared" ref="J3:J47" si="0">IFERROR(AVERAGEIF($D$3:$D$958,G3,$E$3:$E$958),1)</f>
        <v>1</v>
      </c>
      <c r="K3" s="19">
        <v>10</v>
      </c>
      <c r="L3" s="23">
        <f>I3*J3*K3</f>
        <v>10</v>
      </c>
      <c r="M3" s="4"/>
      <c r="N3" s="72">
        <v>1</v>
      </c>
      <c r="O3" s="73" t="s">
        <v>124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94" x14ac:dyDescent="0.25">
      <c r="A4" s="28" t="s">
        <v>125</v>
      </c>
      <c r="B4" s="7"/>
      <c r="C4" s="17">
        <v>1</v>
      </c>
      <c r="D4" s="10"/>
      <c r="E4" s="21" t="e">
        <f t="shared" ref="E4:E67" si="1">INDEX(N:N,MATCH(B4,O:O,0),1)</f>
        <v>#N/A</v>
      </c>
      <c r="F4" s="2"/>
      <c r="G4" s="54" t="s">
        <v>23</v>
      </c>
      <c r="H4" s="43">
        <f>SUMIF(D:D,"ALS",C:C)</f>
        <v>0</v>
      </c>
      <c r="I4" s="44">
        <f t="shared" ref="I4:I47" si="2">IF(H4&gt;4, 4,H4)+1</f>
        <v>1</v>
      </c>
      <c r="J4" s="45">
        <f t="shared" si="0"/>
        <v>1</v>
      </c>
      <c r="K4" s="44">
        <v>1</v>
      </c>
      <c r="L4" s="46">
        <f t="shared" ref="L4:L34" si="3">I4*J4*K4</f>
        <v>1</v>
      </c>
      <c r="M4" s="4"/>
      <c r="N4" s="69">
        <v>1</v>
      </c>
      <c r="O4" s="21" t="s">
        <v>17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94" x14ac:dyDescent="0.25">
      <c r="A5" s="28" t="s">
        <v>125</v>
      </c>
      <c r="B5" s="7"/>
      <c r="C5" s="17">
        <v>1</v>
      </c>
      <c r="D5" s="10"/>
      <c r="E5" s="21" t="e">
        <f t="shared" si="1"/>
        <v>#N/A</v>
      </c>
      <c r="F5" s="2"/>
      <c r="G5" s="54" t="s">
        <v>5</v>
      </c>
      <c r="H5" s="43">
        <f>SUMIF(D:D,"BAN",C:C)</f>
        <v>0</v>
      </c>
      <c r="I5" s="44">
        <f t="shared" si="2"/>
        <v>1</v>
      </c>
      <c r="J5" s="45">
        <f t="shared" si="0"/>
        <v>1</v>
      </c>
      <c r="K5" s="44">
        <v>3</v>
      </c>
      <c r="L5" s="46">
        <f t="shared" si="3"/>
        <v>3</v>
      </c>
      <c r="M5" s="4"/>
      <c r="N5" s="69">
        <v>1</v>
      </c>
      <c r="O5" s="21" t="s">
        <v>16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94" x14ac:dyDescent="0.25">
      <c r="A6" s="28" t="s">
        <v>125</v>
      </c>
      <c r="B6" s="7"/>
      <c r="C6" s="17">
        <v>1</v>
      </c>
      <c r="D6" s="10"/>
      <c r="E6" s="21" t="e">
        <f t="shared" si="1"/>
        <v>#N/A</v>
      </c>
      <c r="F6" s="2"/>
      <c r="G6" s="54" t="s">
        <v>24</v>
      </c>
      <c r="H6" s="43">
        <f>SUMIF(D:D,"BEC",C:C)</f>
        <v>0</v>
      </c>
      <c r="I6" s="44">
        <f t="shared" si="2"/>
        <v>1</v>
      </c>
      <c r="J6" s="45">
        <f t="shared" si="0"/>
        <v>1</v>
      </c>
      <c r="K6" s="44">
        <v>2</v>
      </c>
      <c r="L6" s="46">
        <f t="shared" si="3"/>
        <v>2</v>
      </c>
      <c r="M6" s="4"/>
      <c r="N6" s="70">
        <v>2</v>
      </c>
      <c r="O6" s="67" t="s">
        <v>20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94" x14ac:dyDescent="0.25">
      <c r="A7" s="28" t="s">
        <v>125</v>
      </c>
      <c r="B7" s="7"/>
      <c r="C7" s="17">
        <v>1</v>
      </c>
      <c r="D7" s="10"/>
      <c r="E7" s="21" t="e">
        <f t="shared" si="1"/>
        <v>#N/A</v>
      </c>
      <c r="F7" s="2"/>
      <c r="G7" s="54" t="s">
        <v>25</v>
      </c>
      <c r="H7" s="43">
        <f>SUMIF(D:D,"BEP",C:C)</f>
        <v>0</v>
      </c>
      <c r="I7" s="44">
        <f t="shared" si="2"/>
        <v>1</v>
      </c>
      <c r="J7" s="45">
        <f t="shared" si="0"/>
        <v>1</v>
      </c>
      <c r="K7" s="44">
        <v>1</v>
      </c>
      <c r="L7" s="46">
        <f t="shared" si="3"/>
        <v>1</v>
      </c>
      <c r="M7" s="4"/>
      <c r="N7" s="70">
        <v>2</v>
      </c>
      <c r="O7" s="67" t="s">
        <v>21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spans="1:394" x14ac:dyDescent="0.25">
      <c r="A8" s="28" t="s">
        <v>125</v>
      </c>
      <c r="B8" s="7"/>
      <c r="C8" s="17">
        <v>1</v>
      </c>
      <c r="D8" s="10"/>
      <c r="E8" s="21" t="e">
        <f t="shared" si="1"/>
        <v>#N/A</v>
      </c>
      <c r="F8" s="2"/>
      <c r="G8" s="54" t="s">
        <v>26</v>
      </c>
      <c r="H8" s="43">
        <f>SUMIF(D:D,"BLA",C:C)</f>
        <v>0</v>
      </c>
      <c r="I8" s="44">
        <f t="shared" si="2"/>
        <v>1</v>
      </c>
      <c r="J8" s="45">
        <f t="shared" si="0"/>
        <v>1</v>
      </c>
      <c r="K8" s="44">
        <v>2</v>
      </c>
      <c r="L8" s="46">
        <f t="shared" si="3"/>
        <v>2</v>
      </c>
      <c r="M8" s="4"/>
      <c r="N8" s="70">
        <v>2</v>
      </c>
      <c r="O8" s="67" t="s">
        <v>14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spans="1:394" x14ac:dyDescent="0.25">
      <c r="A9" s="28" t="s">
        <v>125</v>
      </c>
      <c r="B9" s="7"/>
      <c r="C9" s="17">
        <v>1</v>
      </c>
      <c r="D9" s="10"/>
      <c r="E9" s="21" t="e">
        <f t="shared" si="1"/>
        <v>#N/A</v>
      </c>
      <c r="F9" s="2"/>
      <c r="G9" s="54" t="s">
        <v>27</v>
      </c>
      <c r="H9" s="43">
        <f>SUMIF(D:D,"BOC",C:C)</f>
        <v>0</v>
      </c>
      <c r="I9" s="44">
        <f t="shared" si="2"/>
        <v>1</v>
      </c>
      <c r="J9" s="45">
        <f t="shared" si="0"/>
        <v>1</v>
      </c>
      <c r="K9" s="44">
        <v>5</v>
      </c>
      <c r="L9" s="46">
        <f t="shared" si="3"/>
        <v>5</v>
      </c>
      <c r="M9" s="4"/>
      <c r="N9" s="70">
        <v>2</v>
      </c>
      <c r="O9" s="67" t="s">
        <v>111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94" x14ac:dyDescent="0.25">
      <c r="A10" s="28" t="s">
        <v>125</v>
      </c>
      <c r="B10" s="7"/>
      <c r="C10" s="17">
        <v>1</v>
      </c>
      <c r="D10" s="10"/>
      <c r="E10" s="21" t="e">
        <f t="shared" si="1"/>
        <v>#N/A</v>
      </c>
      <c r="F10" s="2"/>
      <c r="G10" s="54" t="s">
        <v>28</v>
      </c>
      <c r="H10" s="43">
        <f>SUMIF(D:D,"CAT",C:C)</f>
        <v>0</v>
      </c>
      <c r="I10" s="44">
        <f t="shared" si="2"/>
        <v>1</v>
      </c>
      <c r="J10" s="45">
        <f t="shared" si="0"/>
        <v>1</v>
      </c>
      <c r="K10" s="44">
        <v>1</v>
      </c>
      <c r="L10" s="46">
        <f t="shared" si="3"/>
        <v>1</v>
      </c>
      <c r="M10" s="4"/>
      <c r="N10" s="70">
        <v>2</v>
      </c>
      <c r="O10" s="67" t="s">
        <v>58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1" spans="1:394" x14ac:dyDescent="0.25">
      <c r="A11" s="28" t="s">
        <v>125</v>
      </c>
      <c r="B11" s="7"/>
      <c r="C11" s="17">
        <v>1</v>
      </c>
      <c r="D11" s="10"/>
      <c r="E11" s="21" t="e">
        <f t="shared" si="1"/>
        <v>#N/A</v>
      </c>
      <c r="F11" s="2"/>
      <c r="G11" s="54" t="s">
        <v>29</v>
      </c>
      <c r="H11" s="43">
        <f>SUMIF(D:D,"CAW",C:C)</f>
        <v>0</v>
      </c>
      <c r="I11" s="44">
        <f t="shared" si="2"/>
        <v>1</v>
      </c>
      <c r="J11" s="45">
        <f t="shared" si="0"/>
        <v>1</v>
      </c>
      <c r="K11" s="44">
        <v>4</v>
      </c>
      <c r="L11" s="46">
        <f t="shared" si="3"/>
        <v>4</v>
      </c>
      <c r="M11" s="4"/>
      <c r="N11" s="70">
        <v>2</v>
      </c>
      <c r="O11" s="67" t="s">
        <v>67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spans="1:394" x14ac:dyDescent="0.25">
      <c r="A12" s="28" t="s">
        <v>125</v>
      </c>
      <c r="B12" s="7"/>
      <c r="C12" s="17">
        <v>1</v>
      </c>
      <c r="D12" s="10"/>
      <c r="E12" s="21" t="e">
        <f t="shared" si="1"/>
        <v>#N/A</v>
      </c>
      <c r="F12" s="2"/>
      <c r="G12" s="54" t="s">
        <v>30</v>
      </c>
      <c r="H12" s="43">
        <f>SUMIF(D:D,"CBO",C:C)</f>
        <v>0</v>
      </c>
      <c r="I12" s="44">
        <f t="shared" si="2"/>
        <v>1</v>
      </c>
      <c r="J12" s="45">
        <f t="shared" si="0"/>
        <v>1</v>
      </c>
      <c r="K12" s="44">
        <v>1</v>
      </c>
      <c r="L12" s="46">
        <f t="shared" si="3"/>
        <v>1</v>
      </c>
      <c r="M12" s="4"/>
      <c r="N12" s="70">
        <v>3</v>
      </c>
      <c r="O12" s="67" t="s">
        <v>57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spans="1:394" x14ac:dyDescent="0.25">
      <c r="A13" s="28" t="s">
        <v>125</v>
      </c>
      <c r="B13" s="7"/>
      <c r="C13" s="17">
        <v>1</v>
      </c>
      <c r="D13" s="10"/>
      <c r="E13" s="21" t="e">
        <f t="shared" si="1"/>
        <v>#N/A</v>
      </c>
      <c r="F13" s="2"/>
      <c r="G13" s="54" t="s">
        <v>31</v>
      </c>
      <c r="H13" s="43">
        <f>SUMIF(D:D,"CUH",C:C)</f>
        <v>0</v>
      </c>
      <c r="I13" s="44">
        <f t="shared" si="2"/>
        <v>1</v>
      </c>
      <c r="J13" s="45">
        <f t="shared" si="0"/>
        <v>1</v>
      </c>
      <c r="K13" s="44">
        <v>1</v>
      </c>
      <c r="L13" s="46">
        <f t="shared" si="3"/>
        <v>1</v>
      </c>
      <c r="M13" s="4"/>
      <c r="N13" s="70">
        <v>3</v>
      </c>
      <c r="O13" s="67" t="s">
        <v>63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394" x14ac:dyDescent="0.25">
      <c r="A14" s="28" t="s">
        <v>125</v>
      </c>
      <c r="B14" s="7"/>
      <c r="C14" s="17">
        <v>1</v>
      </c>
      <c r="D14" s="10"/>
      <c r="E14" s="21" t="e">
        <f t="shared" si="1"/>
        <v>#N/A</v>
      </c>
      <c r="F14" s="2"/>
      <c r="G14" s="38" t="s">
        <v>32</v>
      </c>
      <c r="H14" s="39">
        <f>SUMIF(D:D,"CUS",C:C)</f>
        <v>0</v>
      </c>
      <c r="I14" s="40">
        <f t="shared" si="2"/>
        <v>1</v>
      </c>
      <c r="J14" s="41">
        <f t="shared" si="0"/>
        <v>1</v>
      </c>
      <c r="K14" s="40">
        <v>1</v>
      </c>
      <c r="L14" s="42">
        <f t="shared" si="3"/>
        <v>1</v>
      </c>
      <c r="M14" s="4"/>
      <c r="N14" s="70">
        <v>3</v>
      </c>
      <c r="O14" s="67" t="s">
        <v>19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94" x14ac:dyDescent="0.25">
      <c r="A15" s="28" t="s">
        <v>125</v>
      </c>
      <c r="B15" s="7"/>
      <c r="C15" s="17">
        <v>1</v>
      </c>
      <c r="D15" s="10"/>
      <c r="E15" s="21" t="e">
        <f t="shared" si="1"/>
        <v>#N/A</v>
      </c>
      <c r="F15" s="2"/>
      <c r="G15" s="55" t="s">
        <v>33</v>
      </c>
      <c r="H15" s="18">
        <f>SUMIF(D:D,"CYP",C:C)</f>
        <v>0</v>
      </c>
      <c r="I15" s="19">
        <f t="shared" si="2"/>
        <v>1</v>
      </c>
      <c r="J15" s="20">
        <f t="shared" si="0"/>
        <v>1</v>
      </c>
      <c r="K15" s="19">
        <v>1</v>
      </c>
      <c r="L15" s="56">
        <f t="shared" si="3"/>
        <v>1</v>
      </c>
      <c r="M15" s="4"/>
      <c r="N15" s="70">
        <v>3</v>
      </c>
      <c r="O15" s="67" t="s">
        <v>64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94" x14ac:dyDescent="0.25">
      <c r="A16" s="28" t="s">
        <v>125</v>
      </c>
      <c r="B16" s="7"/>
      <c r="C16" s="17">
        <v>1</v>
      </c>
      <c r="D16" s="10"/>
      <c r="E16" s="21" t="e">
        <f t="shared" si="1"/>
        <v>#N/A</v>
      </c>
      <c r="F16" s="2"/>
      <c r="G16" s="38" t="s">
        <v>34</v>
      </c>
      <c r="H16" s="39">
        <f>SUMIF(D:D,"DER",C:C)</f>
        <v>0</v>
      </c>
      <c r="I16" s="40">
        <f t="shared" si="2"/>
        <v>1</v>
      </c>
      <c r="J16" s="41">
        <f t="shared" si="0"/>
        <v>1</v>
      </c>
      <c r="K16" s="40">
        <v>3</v>
      </c>
      <c r="L16" s="42">
        <f t="shared" si="3"/>
        <v>3</v>
      </c>
      <c r="M16" s="4"/>
      <c r="N16" s="70">
        <v>3</v>
      </c>
      <c r="O16" s="67" t="s">
        <v>59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spans="1:31" x14ac:dyDescent="0.25">
      <c r="A17" s="28" t="s">
        <v>125</v>
      </c>
      <c r="B17" s="7"/>
      <c r="C17" s="17">
        <v>1</v>
      </c>
      <c r="D17" s="10"/>
      <c r="E17" s="21" t="e">
        <f t="shared" si="1"/>
        <v>#N/A</v>
      </c>
      <c r="F17" s="2"/>
      <c r="G17" s="54" t="s">
        <v>35</v>
      </c>
      <c r="H17" s="43">
        <f>SUMIF(D:D,"DER",C:C)</f>
        <v>0</v>
      </c>
      <c r="I17" s="44">
        <f t="shared" si="2"/>
        <v>1</v>
      </c>
      <c r="J17" s="45">
        <f t="shared" si="0"/>
        <v>1</v>
      </c>
      <c r="K17" s="44">
        <v>2</v>
      </c>
      <c r="L17" s="46">
        <f t="shared" si="3"/>
        <v>2</v>
      </c>
      <c r="M17" s="4"/>
      <c r="N17" s="70">
        <v>4</v>
      </c>
      <c r="O17" s="67" t="s">
        <v>62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spans="1:31" x14ac:dyDescent="0.25">
      <c r="A18" s="28" t="s">
        <v>125</v>
      </c>
      <c r="B18" s="7"/>
      <c r="C18" s="17">
        <v>1</v>
      </c>
      <c r="D18" s="10"/>
      <c r="E18" s="21" t="e">
        <f t="shared" si="1"/>
        <v>#N/A</v>
      </c>
      <c r="F18" s="2"/>
      <c r="G18" s="38" t="s">
        <v>36</v>
      </c>
      <c r="H18" s="39">
        <f>SUMIF(D:D,"EAI",C:C)</f>
        <v>0</v>
      </c>
      <c r="I18" s="40">
        <f t="shared" si="2"/>
        <v>1</v>
      </c>
      <c r="J18" s="41">
        <f t="shared" si="0"/>
        <v>1</v>
      </c>
      <c r="K18" s="40">
        <v>1</v>
      </c>
      <c r="L18" s="42">
        <f t="shared" si="3"/>
        <v>1</v>
      </c>
      <c r="M18" s="4"/>
      <c r="N18" s="70">
        <v>4</v>
      </c>
      <c r="O18" s="67" t="s">
        <v>18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spans="1:31" x14ac:dyDescent="0.25">
      <c r="A19" s="28" t="s">
        <v>125</v>
      </c>
      <c r="B19" s="7"/>
      <c r="C19" s="17">
        <v>1</v>
      </c>
      <c r="D19" s="10"/>
      <c r="E19" s="21" t="e">
        <f t="shared" si="1"/>
        <v>#N/A</v>
      </c>
      <c r="F19" s="2"/>
      <c r="G19" s="47" t="s">
        <v>37</v>
      </c>
      <c r="H19" s="48">
        <f>SUMIF(D:D,"ELR",C:C)</f>
        <v>0</v>
      </c>
      <c r="I19" s="49">
        <f t="shared" si="2"/>
        <v>1</v>
      </c>
      <c r="J19" s="50">
        <f t="shared" si="0"/>
        <v>1</v>
      </c>
      <c r="K19" s="49">
        <v>2</v>
      </c>
      <c r="L19" s="51">
        <f t="shared" si="3"/>
        <v>2</v>
      </c>
      <c r="M19" s="4"/>
      <c r="N19" s="70">
        <v>4</v>
      </c>
      <c r="O19" s="67" t="s">
        <v>60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x14ac:dyDescent="0.25">
      <c r="A20" s="28" t="s">
        <v>125</v>
      </c>
      <c r="B20" s="7"/>
      <c r="C20" s="17">
        <v>1</v>
      </c>
      <c r="D20" s="10"/>
      <c r="E20" s="21" t="e">
        <f t="shared" si="1"/>
        <v>#N/A</v>
      </c>
      <c r="F20" s="2"/>
      <c r="G20" s="55" t="s">
        <v>38</v>
      </c>
      <c r="H20" s="18">
        <f>SUMIF(D:D,"GAR",C:C)</f>
        <v>0</v>
      </c>
      <c r="I20" s="19">
        <f t="shared" si="2"/>
        <v>1</v>
      </c>
      <c r="J20" s="20">
        <f t="shared" si="0"/>
        <v>1</v>
      </c>
      <c r="K20" s="19">
        <v>1</v>
      </c>
      <c r="L20" s="56">
        <f t="shared" si="3"/>
        <v>1</v>
      </c>
      <c r="M20" s="4"/>
      <c r="N20" s="70">
        <v>4</v>
      </c>
      <c r="O20" s="67" t="s">
        <v>15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spans="1:31" x14ac:dyDescent="0.25">
      <c r="A21" s="28" t="s">
        <v>125</v>
      </c>
      <c r="B21" s="7"/>
      <c r="C21" s="17">
        <v>1</v>
      </c>
      <c r="D21" s="10"/>
      <c r="E21" s="21" t="e">
        <f t="shared" si="1"/>
        <v>#N/A</v>
      </c>
      <c r="F21" s="2"/>
      <c r="G21" s="38" t="s">
        <v>39</v>
      </c>
      <c r="H21" s="39">
        <f>SUMIF(D:D,"GRE",C:C)</f>
        <v>0</v>
      </c>
      <c r="I21" s="40">
        <f t="shared" si="2"/>
        <v>1</v>
      </c>
      <c r="J21" s="41">
        <f t="shared" si="0"/>
        <v>1</v>
      </c>
      <c r="K21" s="40">
        <v>1</v>
      </c>
      <c r="L21" s="42">
        <f t="shared" si="3"/>
        <v>1</v>
      </c>
      <c r="M21" s="4"/>
      <c r="N21" s="70">
        <v>5</v>
      </c>
      <c r="O21" s="67" t="s">
        <v>22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1" ht="15.75" thickBot="1" x14ac:dyDescent="0.3">
      <c r="A22" s="28" t="s">
        <v>125</v>
      </c>
      <c r="B22" s="7"/>
      <c r="C22" s="17">
        <v>1</v>
      </c>
      <c r="D22" s="10"/>
      <c r="E22" s="21" t="e">
        <f t="shared" si="1"/>
        <v>#N/A</v>
      </c>
      <c r="F22" s="2"/>
      <c r="G22" s="38" t="s">
        <v>40</v>
      </c>
      <c r="H22" s="39">
        <f>SUMIF(D:D,"HEQ",C:C)</f>
        <v>0</v>
      </c>
      <c r="I22" s="40">
        <f t="shared" si="2"/>
        <v>1</v>
      </c>
      <c r="J22" s="41">
        <f t="shared" si="0"/>
        <v>1</v>
      </c>
      <c r="K22" s="40">
        <v>1</v>
      </c>
      <c r="L22" s="42">
        <f t="shared" si="3"/>
        <v>1</v>
      </c>
      <c r="M22" s="4"/>
      <c r="N22" s="71">
        <v>5</v>
      </c>
      <c r="O22" s="68" t="s">
        <v>61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spans="1:31" x14ac:dyDescent="0.25">
      <c r="A23" s="28" t="s">
        <v>125</v>
      </c>
      <c r="B23" s="7"/>
      <c r="C23" s="17">
        <v>1</v>
      </c>
      <c r="D23" s="10"/>
      <c r="E23" s="21" t="e">
        <f t="shared" si="1"/>
        <v>#N/A</v>
      </c>
      <c r="F23" s="2"/>
      <c r="G23" s="47" t="s">
        <v>41</v>
      </c>
      <c r="H23" s="48">
        <f>SUMIF(D:D,"ISG",C:C)</f>
        <v>0</v>
      </c>
      <c r="I23" s="49">
        <f t="shared" si="2"/>
        <v>1</v>
      </c>
      <c r="J23" s="50">
        <f t="shared" si="0"/>
        <v>1</v>
      </c>
      <c r="K23" s="49">
        <v>2</v>
      </c>
      <c r="L23" s="51">
        <f t="shared" si="3"/>
        <v>2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</row>
    <row r="24" spans="1:31" x14ac:dyDescent="0.25">
      <c r="A24" s="28" t="s">
        <v>125</v>
      </c>
      <c r="B24" s="7"/>
      <c r="C24" s="17">
        <v>1</v>
      </c>
      <c r="D24" s="10"/>
      <c r="E24" s="21" t="e">
        <f t="shared" si="1"/>
        <v>#N/A</v>
      </c>
      <c r="F24" s="2"/>
      <c r="G24" s="55" t="s">
        <v>42</v>
      </c>
      <c r="H24" s="18">
        <f>SUMIF(D:D,"KGV",C:C)</f>
        <v>0</v>
      </c>
      <c r="I24" s="19">
        <f t="shared" si="2"/>
        <v>1</v>
      </c>
      <c r="J24" s="20">
        <f t="shared" si="0"/>
        <v>1</v>
      </c>
      <c r="K24" s="19">
        <v>4</v>
      </c>
      <c r="L24" s="56">
        <f t="shared" si="3"/>
        <v>4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spans="1:31" x14ac:dyDescent="0.25">
      <c r="A25" s="28" t="s">
        <v>125</v>
      </c>
      <c r="B25" s="7"/>
      <c r="C25" s="17">
        <v>1</v>
      </c>
      <c r="D25" s="10"/>
      <c r="E25" s="21" t="e">
        <f t="shared" si="1"/>
        <v>#N/A</v>
      </c>
      <c r="F25" s="2"/>
      <c r="G25" s="38" t="s">
        <v>43</v>
      </c>
      <c r="H25" s="39">
        <f>SUMIF(D:D,"LAP",C:C)</f>
        <v>0</v>
      </c>
      <c r="I25" s="40">
        <f t="shared" si="2"/>
        <v>1</v>
      </c>
      <c r="J25" s="41">
        <f t="shared" si="0"/>
        <v>1</v>
      </c>
      <c r="K25" s="40">
        <v>1</v>
      </c>
      <c r="L25" s="42">
        <f t="shared" si="3"/>
        <v>1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</row>
    <row r="26" spans="1:31" x14ac:dyDescent="0.25">
      <c r="A26" s="28" t="s">
        <v>125</v>
      </c>
      <c r="B26" s="7"/>
      <c r="C26" s="17">
        <v>1</v>
      </c>
      <c r="D26" s="10"/>
      <c r="E26" s="21" t="e">
        <f t="shared" si="1"/>
        <v>#N/A</v>
      </c>
      <c r="F26" s="2"/>
      <c r="G26" s="55" t="s">
        <v>44</v>
      </c>
      <c r="H26" s="18">
        <f>SUMIF(D:D,"LCA",C:C)</f>
        <v>0</v>
      </c>
      <c r="I26" s="19">
        <f t="shared" si="2"/>
        <v>1</v>
      </c>
      <c r="J26" s="20">
        <f t="shared" si="0"/>
        <v>1</v>
      </c>
      <c r="K26" s="19">
        <v>2</v>
      </c>
      <c r="L26" s="56">
        <f t="shared" si="3"/>
        <v>2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</row>
    <row r="27" spans="1:31" x14ac:dyDescent="0.25">
      <c r="A27" s="28" t="s">
        <v>125</v>
      </c>
      <c r="B27" s="7"/>
      <c r="C27" s="17">
        <v>1</v>
      </c>
      <c r="D27" s="10"/>
      <c r="E27" s="21" t="e">
        <f t="shared" si="1"/>
        <v>#N/A</v>
      </c>
      <c r="F27" s="2"/>
      <c r="G27" s="38" t="s">
        <v>45</v>
      </c>
      <c r="H27" s="39">
        <f>SUMIF(D:D,"LEW",C:C)</f>
        <v>0</v>
      </c>
      <c r="I27" s="40">
        <f t="shared" si="2"/>
        <v>1</v>
      </c>
      <c r="J27" s="41">
        <f t="shared" si="0"/>
        <v>1</v>
      </c>
      <c r="K27" s="40">
        <v>1</v>
      </c>
      <c r="L27" s="42">
        <f t="shared" si="3"/>
        <v>1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</row>
    <row r="28" spans="1:31" x14ac:dyDescent="0.25">
      <c r="A28" s="28" t="s">
        <v>125</v>
      </c>
      <c r="B28" s="7"/>
      <c r="C28" s="17">
        <v>1</v>
      </c>
      <c r="D28" s="10"/>
      <c r="E28" s="21" t="e">
        <f t="shared" si="1"/>
        <v>#N/A</v>
      </c>
      <c r="F28" s="2"/>
      <c r="G28" s="54" t="s">
        <v>6</v>
      </c>
      <c r="H28" s="43">
        <f>SUMIF(D:D,"LIM",C:C)</f>
        <v>0</v>
      </c>
      <c r="I28" s="44">
        <f t="shared" si="2"/>
        <v>1</v>
      </c>
      <c r="J28" s="45">
        <f t="shared" si="0"/>
        <v>1</v>
      </c>
      <c r="K28" s="44">
        <v>1</v>
      </c>
      <c r="L28" s="46">
        <f t="shared" si="3"/>
        <v>1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</row>
    <row r="29" spans="1:31" x14ac:dyDescent="0.25">
      <c r="A29" s="28" t="s">
        <v>125</v>
      </c>
      <c r="B29" s="7"/>
      <c r="C29" s="17">
        <v>1</v>
      </c>
      <c r="D29" s="10"/>
      <c r="E29" s="21" t="e">
        <f t="shared" si="1"/>
        <v>#N/A</v>
      </c>
      <c r="F29" s="2"/>
      <c r="G29" s="38" t="s">
        <v>46</v>
      </c>
      <c r="H29" s="39">
        <f>SUMIF(D:D,"MUD",C:C)</f>
        <v>0</v>
      </c>
      <c r="I29" s="40">
        <f t="shared" si="2"/>
        <v>1</v>
      </c>
      <c r="J29" s="41">
        <f t="shared" si="0"/>
        <v>1</v>
      </c>
      <c r="K29" s="40">
        <v>1</v>
      </c>
      <c r="L29" s="42">
        <f t="shared" si="3"/>
        <v>1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</row>
    <row r="30" spans="1:31" x14ac:dyDescent="0.25">
      <c r="A30" s="28" t="s">
        <v>125</v>
      </c>
      <c r="B30" s="7"/>
      <c r="C30" s="17">
        <v>1</v>
      </c>
      <c r="D30" s="10"/>
      <c r="E30" s="21" t="e">
        <f t="shared" si="1"/>
        <v>#N/A</v>
      </c>
      <c r="F30" s="2"/>
      <c r="G30" s="47" t="s">
        <v>47</v>
      </c>
      <c r="H30" s="48">
        <f>SUMIF(D:D,"PDK",C:C)</f>
        <v>0</v>
      </c>
      <c r="I30" s="49">
        <f t="shared" si="2"/>
        <v>1</v>
      </c>
      <c r="J30" s="50">
        <f t="shared" si="0"/>
        <v>1</v>
      </c>
      <c r="K30" s="49">
        <v>1</v>
      </c>
      <c r="L30" s="51">
        <f t="shared" si="3"/>
        <v>1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</row>
    <row r="31" spans="1:31" x14ac:dyDescent="0.25">
      <c r="A31" s="28" t="s">
        <v>125</v>
      </c>
      <c r="B31" s="7"/>
      <c r="C31" s="17">
        <v>1</v>
      </c>
      <c r="D31" s="10"/>
      <c r="E31" s="21" t="e">
        <f t="shared" si="1"/>
        <v>#N/A</v>
      </c>
      <c r="F31" s="2"/>
      <c r="G31" s="47" t="s">
        <v>48</v>
      </c>
      <c r="H31" s="48">
        <f>SUMIF(D:D,"PML",C:C)</f>
        <v>0</v>
      </c>
      <c r="I31" s="49">
        <f t="shared" si="2"/>
        <v>1</v>
      </c>
      <c r="J31" s="50">
        <f t="shared" si="0"/>
        <v>1</v>
      </c>
      <c r="K31" s="49">
        <v>1</v>
      </c>
      <c r="L31" s="51">
        <f t="shared" si="3"/>
        <v>1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</row>
    <row r="32" spans="1:31" x14ac:dyDescent="0.25">
      <c r="A32" s="28" t="s">
        <v>125</v>
      </c>
      <c r="B32" s="7"/>
      <c r="C32" s="17">
        <v>1</v>
      </c>
      <c r="D32" s="10"/>
      <c r="E32" s="21" t="e">
        <f t="shared" si="1"/>
        <v>#N/A</v>
      </c>
      <c r="F32" s="2"/>
      <c r="G32" s="55" t="s">
        <v>9</v>
      </c>
      <c r="H32" s="18">
        <f>SUMIF(D:D,"POP",C:C)</f>
        <v>0</v>
      </c>
      <c r="I32" s="19">
        <f t="shared" si="2"/>
        <v>1</v>
      </c>
      <c r="J32" s="20">
        <f t="shared" si="0"/>
        <v>1</v>
      </c>
      <c r="K32" s="19">
        <v>2</v>
      </c>
      <c r="L32" s="56">
        <f t="shared" si="3"/>
        <v>2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</row>
    <row r="33" spans="1:31" x14ac:dyDescent="0.25">
      <c r="A33" s="28" t="s">
        <v>125</v>
      </c>
      <c r="B33" s="7"/>
      <c r="C33" s="17">
        <v>1</v>
      </c>
      <c r="D33" s="10"/>
      <c r="E33" s="21" t="e">
        <f t="shared" si="1"/>
        <v>#N/A</v>
      </c>
      <c r="F33" s="2"/>
      <c r="G33" s="38" t="s">
        <v>49</v>
      </c>
      <c r="H33" s="39">
        <f>SUMIF(D:D,"PPR",C:C)</f>
        <v>0</v>
      </c>
      <c r="I33" s="40">
        <f t="shared" si="2"/>
        <v>1</v>
      </c>
      <c r="J33" s="41">
        <f t="shared" si="0"/>
        <v>1</v>
      </c>
      <c r="K33" s="40">
        <v>1</v>
      </c>
      <c r="L33" s="42">
        <f t="shared" si="3"/>
        <v>1</v>
      </c>
      <c r="M33" s="4"/>
      <c r="N33" s="4"/>
      <c r="O33" s="57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</row>
    <row r="34" spans="1:31" x14ac:dyDescent="0.25">
      <c r="A34" s="28" t="s">
        <v>125</v>
      </c>
      <c r="B34" s="7"/>
      <c r="C34" s="17">
        <v>1</v>
      </c>
      <c r="D34" s="10"/>
      <c r="E34" s="21" t="e">
        <f t="shared" si="1"/>
        <v>#N/A</v>
      </c>
      <c r="F34" s="2"/>
      <c r="G34" s="47" t="s">
        <v>50</v>
      </c>
      <c r="H34" s="48">
        <f>SUMIF(D:D,"ROA",C:C)</f>
        <v>0</v>
      </c>
      <c r="I34" s="49">
        <f t="shared" si="2"/>
        <v>1</v>
      </c>
      <c r="J34" s="50">
        <f t="shared" si="0"/>
        <v>1</v>
      </c>
      <c r="K34" s="49">
        <v>1</v>
      </c>
      <c r="L34" s="51">
        <f t="shared" si="3"/>
        <v>1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</row>
    <row r="35" spans="1:31" x14ac:dyDescent="0.25">
      <c r="A35" s="28" t="s">
        <v>125</v>
      </c>
      <c r="B35" s="7"/>
      <c r="C35" s="17">
        <v>1</v>
      </c>
      <c r="D35" s="10"/>
      <c r="E35" s="21" t="e">
        <f t="shared" si="1"/>
        <v>#N/A</v>
      </c>
      <c r="F35" s="2"/>
      <c r="G35" s="47" t="s">
        <v>7</v>
      </c>
      <c r="H35" s="48">
        <f>SUMIF(D:D,"ROV",C:C)</f>
        <v>0</v>
      </c>
      <c r="I35" s="49">
        <f t="shared" si="2"/>
        <v>1</v>
      </c>
      <c r="J35" s="50">
        <f t="shared" si="0"/>
        <v>1</v>
      </c>
      <c r="K35" s="49">
        <v>3</v>
      </c>
      <c r="L35" s="51">
        <f t="shared" ref="L35:L46" si="4">I35*J35*K35</f>
        <v>3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</row>
    <row r="36" spans="1:31" x14ac:dyDescent="0.25">
      <c r="A36" s="28" t="s">
        <v>125</v>
      </c>
      <c r="B36" s="7"/>
      <c r="C36" s="17">
        <v>1</v>
      </c>
      <c r="D36" s="10"/>
      <c r="E36" s="21" t="e">
        <f t="shared" si="1"/>
        <v>#N/A</v>
      </c>
      <c r="F36" s="2"/>
      <c r="G36" s="38" t="s">
        <v>12</v>
      </c>
      <c r="H36" s="39">
        <f>SUMIF(D:D,"SHA",C:C)</f>
        <v>0</v>
      </c>
      <c r="I36" s="40">
        <f t="shared" si="2"/>
        <v>1</v>
      </c>
      <c r="J36" s="41">
        <f t="shared" si="0"/>
        <v>1</v>
      </c>
      <c r="K36" s="40">
        <v>1</v>
      </c>
      <c r="L36" s="42">
        <f t="shared" si="4"/>
        <v>1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</row>
    <row r="37" spans="1:31" x14ac:dyDescent="0.25">
      <c r="A37" s="28" t="s">
        <v>125</v>
      </c>
      <c r="B37" s="7"/>
      <c r="C37" s="17">
        <v>1</v>
      </c>
      <c r="D37" s="10"/>
      <c r="E37" s="21" t="e">
        <f t="shared" si="1"/>
        <v>#N/A</v>
      </c>
      <c r="F37" s="2"/>
      <c r="G37" s="47" t="s">
        <v>51</v>
      </c>
      <c r="H37" s="48">
        <f>SUMIF(D:D,"SHS",C:C)</f>
        <v>0</v>
      </c>
      <c r="I37" s="49">
        <f t="shared" si="2"/>
        <v>1</v>
      </c>
      <c r="J37" s="50">
        <f t="shared" si="0"/>
        <v>1</v>
      </c>
      <c r="K37" s="49">
        <v>1</v>
      </c>
      <c r="L37" s="51">
        <f t="shared" si="4"/>
        <v>1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</row>
    <row r="38" spans="1:31" x14ac:dyDescent="0.25">
      <c r="A38" s="28" t="s">
        <v>125</v>
      </c>
      <c r="B38" s="7"/>
      <c r="C38" s="17">
        <v>1</v>
      </c>
      <c r="D38" s="10"/>
      <c r="E38" s="21" t="e">
        <f t="shared" si="1"/>
        <v>#N/A</v>
      </c>
      <c r="F38" s="2"/>
      <c r="G38" s="47" t="s">
        <v>52</v>
      </c>
      <c r="H38" s="48">
        <f>SUMIF(D:D,"SOQ",C:C)</f>
        <v>0</v>
      </c>
      <c r="I38" s="49">
        <f t="shared" si="2"/>
        <v>1</v>
      </c>
      <c r="J38" s="50">
        <f t="shared" si="0"/>
        <v>1</v>
      </c>
      <c r="K38" s="49">
        <v>2</v>
      </c>
      <c r="L38" s="51">
        <f t="shared" si="4"/>
        <v>2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25">
      <c r="A39" s="28" t="s">
        <v>125</v>
      </c>
      <c r="B39" s="7"/>
      <c r="C39" s="17">
        <v>1</v>
      </c>
      <c r="D39" s="10"/>
      <c r="E39" s="21" t="e">
        <f t="shared" si="1"/>
        <v>#N/A</v>
      </c>
      <c r="F39" s="2"/>
      <c r="G39" s="47" t="s">
        <v>53</v>
      </c>
      <c r="H39" s="48">
        <f>SUMIF(D:D,"STI",C:C)</f>
        <v>0</v>
      </c>
      <c r="I39" s="49">
        <f t="shared" si="2"/>
        <v>1</v>
      </c>
      <c r="J39" s="50">
        <f t="shared" si="0"/>
        <v>1</v>
      </c>
      <c r="K39" s="49">
        <v>2</v>
      </c>
      <c r="L39" s="51">
        <f t="shared" si="4"/>
        <v>2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  <row r="40" spans="1:31" x14ac:dyDescent="0.25">
      <c r="A40" s="28" t="s">
        <v>125</v>
      </c>
      <c r="B40" s="7"/>
      <c r="C40" s="17">
        <v>1</v>
      </c>
      <c r="D40" s="10"/>
      <c r="E40" s="21" t="e">
        <f t="shared" si="1"/>
        <v>#N/A</v>
      </c>
      <c r="F40" s="2"/>
      <c r="G40" s="38" t="s">
        <v>8</v>
      </c>
      <c r="H40" s="39">
        <f>SUMIF(D:D,"STL",C:C)</f>
        <v>0</v>
      </c>
      <c r="I40" s="40">
        <f t="shared" si="2"/>
        <v>1</v>
      </c>
      <c r="J40" s="41">
        <f t="shared" si="0"/>
        <v>1</v>
      </c>
      <c r="K40" s="40">
        <v>1</v>
      </c>
      <c r="L40" s="42">
        <f t="shared" si="4"/>
        <v>1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</row>
    <row r="41" spans="1:31" x14ac:dyDescent="0.25">
      <c r="A41" s="28" t="s">
        <v>125</v>
      </c>
      <c r="B41" s="7"/>
      <c r="C41" s="17">
        <v>1</v>
      </c>
      <c r="D41" s="10"/>
      <c r="E41" s="21" t="e">
        <f t="shared" si="1"/>
        <v>#N/A</v>
      </c>
      <c r="F41" s="2"/>
      <c r="G41" s="47" t="s">
        <v>54</v>
      </c>
      <c r="H41" s="48">
        <f>SUMIF(D:D,"STR",C:C)</f>
        <v>0</v>
      </c>
      <c r="I41" s="49">
        <f t="shared" si="2"/>
        <v>1</v>
      </c>
      <c r="J41" s="50">
        <f t="shared" si="0"/>
        <v>1</v>
      </c>
      <c r="K41" s="49">
        <v>1</v>
      </c>
      <c r="L41" s="51">
        <f>I41*J41*K41</f>
        <v>1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x14ac:dyDescent="0.25">
      <c r="A42" s="28" t="s">
        <v>125</v>
      </c>
      <c r="B42" s="7"/>
      <c r="C42" s="17">
        <v>1</v>
      </c>
      <c r="D42" s="10"/>
      <c r="E42" s="21" t="e">
        <f t="shared" si="1"/>
        <v>#N/A</v>
      </c>
      <c r="F42" s="2"/>
      <c r="G42" s="47" t="s">
        <v>11</v>
      </c>
      <c r="H42" s="48">
        <f>SUMIF(D:D,"TOG",C:C)</f>
        <v>0</v>
      </c>
      <c r="I42" s="49">
        <f t="shared" si="2"/>
        <v>1</v>
      </c>
      <c r="J42" s="50">
        <f t="shared" si="0"/>
        <v>1</v>
      </c>
      <c r="K42" s="49">
        <v>2</v>
      </c>
      <c r="L42" s="51">
        <f t="shared" si="4"/>
        <v>2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x14ac:dyDescent="0.25">
      <c r="A43" s="28" t="s">
        <v>125</v>
      </c>
      <c r="B43" s="7"/>
      <c r="C43" s="17">
        <v>1</v>
      </c>
      <c r="D43" s="10"/>
      <c r="E43" s="21" t="e">
        <f t="shared" si="1"/>
        <v>#N/A</v>
      </c>
      <c r="F43" s="2"/>
      <c r="G43" s="47" t="s">
        <v>55</v>
      </c>
      <c r="H43" s="48">
        <f>SUMIF(D:D,"WEH",C:C)</f>
        <v>0</v>
      </c>
      <c r="I43" s="49">
        <f t="shared" si="2"/>
        <v>1</v>
      </c>
      <c r="J43" s="50">
        <f t="shared" si="0"/>
        <v>1</v>
      </c>
      <c r="K43" s="49">
        <v>1</v>
      </c>
      <c r="L43" s="51">
        <f t="shared" si="4"/>
        <v>1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x14ac:dyDescent="0.25">
      <c r="A44" s="28" t="s">
        <v>125</v>
      </c>
      <c r="B44" s="7"/>
      <c r="C44" s="17">
        <v>1</v>
      </c>
      <c r="D44" s="10"/>
      <c r="E44" s="21" t="e">
        <f t="shared" si="1"/>
        <v>#N/A</v>
      </c>
      <c r="F44" s="2"/>
      <c r="G44" s="38" t="s">
        <v>56</v>
      </c>
      <c r="H44" s="39">
        <f>SUMIF(D:D,"WES",C:C)</f>
        <v>0</v>
      </c>
      <c r="I44" s="40">
        <f t="shared" si="2"/>
        <v>1</v>
      </c>
      <c r="J44" s="41">
        <f t="shared" si="0"/>
        <v>1</v>
      </c>
      <c r="K44" s="40">
        <v>3</v>
      </c>
      <c r="L44" s="42">
        <f t="shared" si="4"/>
        <v>3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x14ac:dyDescent="0.25">
      <c r="A45" s="28" t="s">
        <v>125</v>
      </c>
      <c r="B45" s="7"/>
      <c r="C45" s="17">
        <v>1</v>
      </c>
      <c r="D45" s="10"/>
      <c r="E45" s="21" t="e">
        <f t="shared" si="1"/>
        <v>#N/A</v>
      </c>
      <c r="F45" s="2"/>
      <c r="G45" s="47" t="s">
        <v>4</v>
      </c>
      <c r="H45" s="48">
        <f>SUMIF(D:D,"WIQ",C:C)</f>
        <v>0</v>
      </c>
      <c r="I45" s="49">
        <f t="shared" si="2"/>
        <v>1</v>
      </c>
      <c r="J45" s="50">
        <f t="shared" si="0"/>
        <v>1</v>
      </c>
      <c r="K45" s="49">
        <v>3</v>
      </c>
      <c r="L45" s="51">
        <f t="shared" si="4"/>
        <v>3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x14ac:dyDescent="0.25">
      <c r="A46" s="28" t="s">
        <v>125</v>
      </c>
      <c r="B46" s="7"/>
      <c r="C46" s="17">
        <v>1</v>
      </c>
      <c r="D46" s="10"/>
      <c r="E46" s="21" t="e">
        <f t="shared" si="1"/>
        <v>#N/A</v>
      </c>
      <c r="F46" s="2"/>
      <c r="G46" s="47" t="s">
        <v>10</v>
      </c>
      <c r="H46" s="48">
        <f>SUMIF(D:D,"WOA",C:C)</f>
        <v>0</v>
      </c>
      <c r="I46" s="49">
        <f t="shared" si="2"/>
        <v>1</v>
      </c>
      <c r="J46" s="50">
        <f t="shared" si="0"/>
        <v>1</v>
      </c>
      <c r="K46" s="49">
        <v>1</v>
      </c>
      <c r="L46" s="51">
        <f t="shared" si="4"/>
        <v>1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x14ac:dyDescent="0.25">
      <c r="A47" s="28" t="s">
        <v>125</v>
      </c>
      <c r="B47" s="7"/>
      <c r="C47" s="17">
        <v>1</v>
      </c>
      <c r="D47" s="10"/>
      <c r="E47" s="21" t="e">
        <f t="shared" si="1"/>
        <v>#N/A</v>
      </c>
      <c r="F47" s="2"/>
      <c r="G47" s="47" t="s">
        <v>13</v>
      </c>
      <c r="H47" s="48">
        <f>SUMIF(D:D,"WST",C:C)</f>
        <v>0</v>
      </c>
      <c r="I47" s="49">
        <f t="shared" si="2"/>
        <v>1</v>
      </c>
      <c r="J47" s="50">
        <f t="shared" si="0"/>
        <v>1</v>
      </c>
      <c r="K47" s="49">
        <v>3</v>
      </c>
      <c r="L47" s="51">
        <f>I47*J47*K47</f>
        <v>3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x14ac:dyDescent="0.25">
      <c r="A48" s="28" t="s">
        <v>125</v>
      </c>
      <c r="B48" s="7"/>
      <c r="C48" s="17">
        <v>1</v>
      </c>
      <c r="D48" s="10"/>
      <c r="E48" s="21" t="e">
        <f t="shared" si="1"/>
        <v>#N/A</v>
      </c>
      <c r="F48" s="2"/>
      <c r="G48" s="2"/>
      <c r="H48" s="4"/>
      <c r="I48" s="2"/>
      <c r="J48" s="2"/>
      <c r="K48" s="1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x14ac:dyDescent="0.25">
      <c r="A49" s="28" t="s">
        <v>125</v>
      </c>
      <c r="B49" s="7"/>
      <c r="C49" s="17">
        <v>1</v>
      </c>
      <c r="D49" s="10"/>
      <c r="E49" s="21" t="e">
        <f t="shared" si="1"/>
        <v>#N/A</v>
      </c>
      <c r="F49" s="2"/>
      <c r="G49" s="2"/>
      <c r="H49" s="4"/>
      <c r="I49" s="2"/>
      <c r="J49" s="2"/>
      <c r="K49" s="1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x14ac:dyDescent="0.25">
      <c r="A50" s="28" t="s">
        <v>125</v>
      </c>
      <c r="B50" s="7"/>
      <c r="C50" s="17">
        <v>1</v>
      </c>
      <c r="D50" s="10"/>
      <c r="E50" s="21" t="e">
        <f t="shared" si="1"/>
        <v>#N/A</v>
      </c>
      <c r="F50" s="2"/>
      <c r="G50" s="2"/>
      <c r="H50" s="4"/>
      <c r="I50" s="2"/>
      <c r="J50" s="2"/>
      <c r="K50" s="1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x14ac:dyDescent="0.25">
      <c r="A51" s="28" t="s">
        <v>125</v>
      </c>
      <c r="B51" s="7"/>
      <c r="C51" s="17">
        <v>1</v>
      </c>
      <c r="D51" s="10"/>
      <c r="E51" s="21" t="e">
        <f t="shared" si="1"/>
        <v>#N/A</v>
      </c>
      <c r="F51" s="2"/>
      <c r="G51" s="2"/>
      <c r="H51" s="4"/>
      <c r="I51" s="2"/>
      <c r="J51" s="2"/>
      <c r="K51" s="1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x14ac:dyDescent="0.25">
      <c r="A52" s="28" t="s">
        <v>125</v>
      </c>
      <c r="B52" s="7"/>
      <c r="C52" s="17">
        <v>1</v>
      </c>
      <c r="D52" s="10"/>
      <c r="E52" s="21" t="e">
        <f t="shared" si="1"/>
        <v>#N/A</v>
      </c>
      <c r="F52" s="4"/>
      <c r="G52" s="2"/>
      <c r="H52" s="4"/>
      <c r="I52" s="2"/>
      <c r="J52" s="2"/>
      <c r="K52" s="1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x14ac:dyDescent="0.25">
      <c r="A53" s="28" t="s">
        <v>125</v>
      </c>
      <c r="B53" s="7"/>
      <c r="C53" s="17">
        <v>1</v>
      </c>
      <c r="D53" s="10"/>
      <c r="E53" s="21" t="e">
        <f t="shared" si="1"/>
        <v>#N/A</v>
      </c>
      <c r="F53" s="4"/>
      <c r="G53" s="2"/>
      <c r="H53" s="4"/>
      <c r="I53" s="4"/>
      <c r="J53" s="4"/>
      <c r="K53" s="15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x14ac:dyDescent="0.25">
      <c r="A54" s="28" t="s">
        <v>125</v>
      </c>
      <c r="B54" s="7"/>
      <c r="C54" s="17">
        <v>1</v>
      </c>
      <c r="D54" s="10"/>
      <c r="E54" s="21" t="e">
        <f t="shared" si="1"/>
        <v>#N/A</v>
      </c>
      <c r="F54" s="4"/>
      <c r="G54" s="2"/>
      <c r="H54" s="4"/>
      <c r="I54" s="4"/>
      <c r="J54" s="4"/>
      <c r="K54" s="15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x14ac:dyDescent="0.25">
      <c r="A55" s="28" t="s">
        <v>125</v>
      </c>
      <c r="B55" s="7"/>
      <c r="C55" s="17">
        <v>1</v>
      </c>
      <c r="D55" s="10"/>
      <c r="E55" s="21" t="e">
        <f t="shared" si="1"/>
        <v>#N/A</v>
      </c>
      <c r="F55" s="4"/>
      <c r="G55" s="2"/>
      <c r="H55" s="4"/>
      <c r="I55" s="4"/>
      <c r="J55" s="4"/>
      <c r="K55" s="15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x14ac:dyDescent="0.25">
      <c r="A56" s="28" t="s">
        <v>125</v>
      </c>
      <c r="B56" s="7"/>
      <c r="C56" s="17">
        <v>1</v>
      </c>
      <c r="D56" s="10"/>
      <c r="E56" s="21" t="e">
        <f t="shared" si="1"/>
        <v>#N/A</v>
      </c>
      <c r="F56" s="4"/>
      <c r="G56" s="2"/>
      <c r="H56" s="4"/>
      <c r="I56" s="4"/>
      <c r="J56" s="4"/>
      <c r="K56" s="15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x14ac:dyDescent="0.25">
      <c r="A57" s="28" t="s">
        <v>125</v>
      </c>
      <c r="B57" s="7"/>
      <c r="C57" s="17">
        <v>1</v>
      </c>
      <c r="D57" s="10"/>
      <c r="E57" s="21" t="e">
        <f t="shared" si="1"/>
        <v>#N/A</v>
      </c>
      <c r="F57" s="4"/>
      <c r="G57" s="2"/>
      <c r="H57" s="4"/>
      <c r="I57" s="4"/>
      <c r="J57" s="4"/>
      <c r="K57" s="15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x14ac:dyDescent="0.25">
      <c r="A58" s="28" t="s">
        <v>125</v>
      </c>
      <c r="B58" s="7"/>
      <c r="C58" s="17">
        <v>1</v>
      </c>
      <c r="D58" s="10"/>
      <c r="E58" s="21" t="e">
        <f t="shared" si="1"/>
        <v>#N/A</v>
      </c>
      <c r="F58" s="4"/>
      <c r="G58" s="2"/>
      <c r="H58" s="4"/>
      <c r="I58" s="4"/>
      <c r="J58" s="4"/>
      <c r="K58" s="15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x14ac:dyDescent="0.25">
      <c r="A59" s="28" t="s">
        <v>125</v>
      </c>
      <c r="B59" s="7"/>
      <c r="C59" s="17">
        <v>1</v>
      </c>
      <c r="D59" s="10"/>
      <c r="E59" s="21" t="e">
        <f t="shared" si="1"/>
        <v>#N/A</v>
      </c>
      <c r="F59" s="4"/>
      <c r="G59" s="2"/>
      <c r="H59" s="4"/>
      <c r="I59" s="4"/>
      <c r="J59" s="4"/>
      <c r="K59" s="15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x14ac:dyDescent="0.25">
      <c r="A60" s="28" t="s">
        <v>125</v>
      </c>
      <c r="B60" s="7"/>
      <c r="C60" s="17">
        <v>1</v>
      </c>
      <c r="D60" s="10"/>
      <c r="E60" s="21" t="e">
        <f t="shared" si="1"/>
        <v>#N/A</v>
      </c>
      <c r="F60" s="4"/>
      <c r="G60" s="2"/>
      <c r="H60" s="4"/>
      <c r="I60" s="4"/>
      <c r="J60" s="4"/>
      <c r="K60" s="15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x14ac:dyDescent="0.25">
      <c r="A61" s="28" t="s">
        <v>125</v>
      </c>
      <c r="B61" s="7"/>
      <c r="C61" s="17">
        <v>1</v>
      </c>
      <c r="D61" s="10"/>
      <c r="E61" s="21" t="e">
        <f t="shared" si="1"/>
        <v>#N/A</v>
      </c>
      <c r="F61" s="4"/>
      <c r="G61" s="2"/>
      <c r="H61" s="4"/>
      <c r="I61" s="4"/>
      <c r="J61" s="4"/>
      <c r="K61" s="15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x14ac:dyDescent="0.25">
      <c r="A62" s="28" t="s">
        <v>125</v>
      </c>
      <c r="B62" s="7"/>
      <c r="C62" s="17">
        <v>1</v>
      </c>
      <c r="D62" s="10"/>
      <c r="E62" s="21" t="e">
        <f t="shared" si="1"/>
        <v>#N/A</v>
      </c>
      <c r="F62" s="4"/>
      <c r="G62" s="2"/>
      <c r="H62" s="4"/>
      <c r="I62" s="4"/>
      <c r="J62" s="4"/>
      <c r="K62" s="15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x14ac:dyDescent="0.25">
      <c r="A63" s="28" t="s">
        <v>125</v>
      </c>
      <c r="B63" s="7"/>
      <c r="C63" s="17">
        <v>1</v>
      </c>
      <c r="D63" s="10"/>
      <c r="E63" s="21" t="e">
        <f t="shared" si="1"/>
        <v>#N/A</v>
      </c>
      <c r="F63" s="4"/>
      <c r="G63" s="2"/>
      <c r="H63" s="4"/>
      <c r="I63" s="4"/>
      <c r="J63" s="4"/>
      <c r="K63" s="15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x14ac:dyDescent="0.25">
      <c r="A64" s="28" t="s">
        <v>125</v>
      </c>
      <c r="B64" s="7"/>
      <c r="C64" s="17">
        <v>1</v>
      </c>
      <c r="D64" s="10"/>
      <c r="E64" s="21" t="e">
        <f t="shared" si="1"/>
        <v>#N/A</v>
      </c>
      <c r="F64" s="4"/>
      <c r="G64" s="2"/>
      <c r="H64" s="4"/>
      <c r="I64" s="4"/>
      <c r="J64" s="4"/>
      <c r="K64" s="15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x14ac:dyDescent="0.25">
      <c r="A65" s="28" t="s">
        <v>125</v>
      </c>
      <c r="B65" s="7"/>
      <c r="C65" s="17">
        <v>1</v>
      </c>
      <c r="D65" s="10"/>
      <c r="E65" s="21" t="e">
        <f t="shared" si="1"/>
        <v>#N/A</v>
      </c>
      <c r="F65" s="4"/>
      <c r="G65" s="2"/>
      <c r="H65" s="4"/>
      <c r="I65" s="4"/>
      <c r="J65" s="4"/>
      <c r="K65" s="15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spans="1:31" x14ac:dyDescent="0.25">
      <c r="A66" s="28" t="s">
        <v>125</v>
      </c>
      <c r="B66" s="7"/>
      <c r="C66" s="17">
        <v>1</v>
      </c>
      <c r="D66" s="10"/>
      <c r="E66" s="21" t="e">
        <f t="shared" si="1"/>
        <v>#N/A</v>
      </c>
      <c r="F66" s="4"/>
      <c r="G66" s="2"/>
      <c r="H66" s="4"/>
      <c r="I66" s="4"/>
      <c r="J66" s="4"/>
      <c r="K66" s="15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spans="1:31" x14ac:dyDescent="0.25">
      <c r="A67" s="28" t="s">
        <v>125</v>
      </c>
      <c r="B67" s="7"/>
      <c r="C67" s="17">
        <v>1</v>
      </c>
      <c r="D67" s="10"/>
      <c r="E67" s="21" t="e">
        <f t="shared" si="1"/>
        <v>#N/A</v>
      </c>
      <c r="F67" s="4"/>
      <c r="G67" s="2"/>
      <c r="H67" s="4"/>
      <c r="I67" s="4"/>
      <c r="J67" s="4"/>
      <c r="K67" s="15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spans="1:31" x14ac:dyDescent="0.25">
      <c r="A68" s="28" t="s">
        <v>125</v>
      </c>
      <c r="B68" s="7"/>
      <c r="C68" s="17">
        <v>1</v>
      </c>
      <c r="D68" s="10"/>
      <c r="E68" s="21" t="e">
        <f t="shared" ref="E68:E77" si="5">INDEX(N:N,MATCH(B68,O:O,0),1)</f>
        <v>#N/A</v>
      </c>
      <c r="F68" s="4"/>
      <c r="G68" s="2"/>
      <c r="H68" s="4"/>
      <c r="I68" s="4"/>
      <c r="J68" s="4"/>
      <c r="K68" s="15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spans="1:31" x14ac:dyDescent="0.25">
      <c r="A69" s="28" t="s">
        <v>125</v>
      </c>
      <c r="B69" s="7"/>
      <c r="C69" s="17">
        <v>1</v>
      </c>
      <c r="D69" s="10"/>
      <c r="E69" s="21" t="e">
        <f t="shared" si="5"/>
        <v>#N/A</v>
      </c>
      <c r="F69" s="4"/>
      <c r="G69" s="2"/>
      <c r="H69" s="4"/>
      <c r="I69" s="4"/>
      <c r="J69" s="4"/>
      <c r="K69" s="15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spans="1:31" x14ac:dyDescent="0.25">
      <c r="A70" s="28" t="s">
        <v>125</v>
      </c>
      <c r="B70" s="7"/>
      <c r="C70" s="17">
        <v>1</v>
      </c>
      <c r="D70" s="10"/>
      <c r="E70" s="21" t="e">
        <f t="shared" si="5"/>
        <v>#N/A</v>
      </c>
      <c r="F70" s="4"/>
      <c r="G70" s="2"/>
      <c r="H70" s="4"/>
      <c r="I70" s="4"/>
      <c r="J70" s="4"/>
      <c r="K70" s="15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</row>
    <row r="71" spans="1:31" x14ac:dyDescent="0.25">
      <c r="A71" s="28" t="s">
        <v>125</v>
      </c>
      <c r="B71" s="7"/>
      <c r="C71" s="17">
        <v>1</v>
      </c>
      <c r="D71" s="10"/>
      <c r="E71" s="21" t="e">
        <f t="shared" si="5"/>
        <v>#N/A</v>
      </c>
      <c r="F71" s="4"/>
      <c r="G71" s="2"/>
      <c r="H71" s="4"/>
      <c r="I71" s="4"/>
      <c r="J71" s="4"/>
      <c r="K71" s="15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</row>
    <row r="72" spans="1:31" x14ac:dyDescent="0.25">
      <c r="A72" s="28" t="s">
        <v>125</v>
      </c>
      <c r="B72" s="7"/>
      <c r="C72" s="17">
        <v>1</v>
      </c>
      <c r="D72" s="10"/>
      <c r="E72" s="21" t="e">
        <f t="shared" si="5"/>
        <v>#N/A</v>
      </c>
      <c r="F72" s="4"/>
      <c r="G72" s="2"/>
      <c r="H72" s="4"/>
      <c r="I72" s="4"/>
      <c r="J72" s="4"/>
      <c r="K72" s="15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</row>
    <row r="73" spans="1:31" x14ac:dyDescent="0.25">
      <c r="A73" s="28" t="s">
        <v>125</v>
      </c>
      <c r="B73" s="7"/>
      <c r="C73" s="17">
        <v>1</v>
      </c>
      <c r="D73" s="10"/>
      <c r="E73" s="21" t="e">
        <f t="shared" si="5"/>
        <v>#N/A</v>
      </c>
      <c r="F73" s="4"/>
      <c r="G73" s="2"/>
      <c r="H73" s="4"/>
      <c r="I73" s="4"/>
      <c r="J73" s="4"/>
      <c r="K73" s="15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</row>
    <row r="74" spans="1:31" x14ac:dyDescent="0.25">
      <c r="A74" s="28" t="s">
        <v>125</v>
      </c>
      <c r="B74" s="7"/>
      <c r="C74" s="17">
        <v>1</v>
      </c>
      <c r="D74" s="10"/>
      <c r="E74" s="21" t="e">
        <f t="shared" si="5"/>
        <v>#N/A</v>
      </c>
      <c r="F74" s="4"/>
      <c r="G74" s="2"/>
      <c r="H74" s="4"/>
      <c r="I74" s="4"/>
      <c r="J74" s="4"/>
      <c r="K74" s="15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</row>
    <row r="75" spans="1:31" x14ac:dyDescent="0.25">
      <c r="A75" s="28" t="s">
        <v>125</v>
      </c>
      <c r="B75" s="7"/>
      <c r="C75" s="17">
        <v>1</v>
      </c>
      <c r="D75" s="10"/>
      <c r="E75" s="21" t="e">
        <f t="shared" si="5"/>
        <v>#N/A</v>
      </c>
      <c r="F75" s="4"/>
      <c r="G75" s="2"/>
      <c r="H75" s="4"/>
      <c r="I75" s="4"/>
      <c r="J75" s="4"/>
      <c r="K75" s="15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</row>
    <row r="76" spans="1:31" x14ac:dyDescent="0.25">
      <c r="A76" s="28" t="s">
        <v>125</v>
      </c>
      <c r="B76" s="7"/>
      <c r="C76" s="17">
        <v>1</v>
      </c>
      <c r="D76" s="10"/>
      <c r="E76" s="21" t="e">
        <f t="shared" si="5"/>
        <v>#N/A</v>
      </c>
      <c r="F76" s="4"/>
      <c r="G76" s="2"/>
      <c r="H76" s="4"/>
      <c r="I76" s="4"/>
      <c r="J76" s="4"/>
      <c r="K76" s="15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</row>
    <row r="77" spans="1:31" x14ac:dyDescent="0.25">
      <c r="A77" s="28" t="s">
        <v>125</v>
      </c>
      <c r="B77" s="7"/>
      <c r="C77" s="17">
        <v>1</v>
      </c>
      <c r="D77" s="10"/>
      <c r="E77" s="21" t="e">
        <f t="shared" si="5"/>
        <v>#N/A</v>
      </c>
      <c r="F77" s="4"/>
      <c r="G77" s="2"/>
      <c r="H77" s="4"/>
      <c r="I77" s="4"/>
      <c r="J77" s="4"/>
      <c r="K77" s="15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</row>
    <row r="78" spans="1:31" x14ac:dyDescent="0.25">
      <c r="A78" s="28" t="s">
        <v>125</v>
      </c>
      <c r="B78" s="7"/>
      <c r="C78" s="17">
        <v>1</v>
      </c>
      <c r="D78" s="10"/>
      <c r="E78" s="4"/>
      <c r="F78" s="4"/>
      <c r="G78" s="2"/>
      <c r="H78" s="4"/>
      <c r="I78" s="4"/>
      <c r="J78" s="4"/>
      <c r="K78" s="15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</row>
    <row r="79" spans="1:31" x14ac:dyDescent="0.25">
      <c r="A79" s="28" t="s">
        <v>125</v>
      </c>
      <c r="B79" s="7"/>
      <c r="C79" s="17">
        <v>1</v>
      </c>
      <c r="D79" s="10"/>
      <c r="E79" s="4"/>
      <c r="F79" s="4"/>
      <c r="G79" s="2"/>
      <c r="H79" s="4"/>
      <c r="I79" s="4"/>
      <c r="J79" s="4"/>
      <c r="K79" s="15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</row>
    <row r="80" spans="1:31" x14ac:dyDescent="0.25">
      <c r="A80" s="28" t="s">
        <v>125</v>
      </c>
      <c r="B80" s="7"/>
      <c r="C80" s="17">
        <v>1</v>
      </c>
      <c r="D80" s="10"/>
      <c r="E80" s="4"/>
      <c r="F80" s="4"/>
      <c r="G80" s="2"/>
      <c r="H80" s="4"/>
      <c r="I80" s="4"/>
      <c r="J80" s="4"/>
      <c r="K80" s="15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</row>
    <row r="81" spans="1:31" x14ac:dyDescent="0.25">
      <c r="A81" s="28" t="s">
        <v>125</v>
      </c>
      <c r="B81" s="7"/>
      <c r="C81" s="17">
        <v>1</v>
      </c>
      <c r="D81" s="10"/>
      <c r="E81" s="4"/>
      <c r="F81" s="4"/>
      <c r="G81" s="2"/>
      <c r="H81" s="4"/>
      <c r="I81" s="4"/>
      <c r="J81" s="4"/>
      <c r="K81" s="15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</row>
    <row r="82" spans="1:31" x14ac:dyDescent="0.25">
      <c r="A82" s="28" t="s">
        <v>125</v>
      </c>
      <c r="B82" s="7"/>
      <c r="C82" s="17">
        <v>1</v>
      </c>
      <c r="D82" s="10"/>
      <c r="E82" s="4"/>
      <c r="F82" s="4"/>
      <c r="G82" s="2"/>
      <c r="H82" s="4"/>
      <c r="I82" s="4"/>
      <c r="J82" s="4"/>
      <c r="K82" s="15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</row>
    <row r="83" spans="1:31" x14ac:dyDescent="0.25">
      <c r="A83" s="28" t="s">
        <v>125</v>
      </c>
      <c r="B83" s="7"/>
      <c r="C83" s="17">
        <v>1</v>
      </c>
      <c r="D83" s="10"/>
      <c r="E83" s="4"/>
      <c r="F83" s="4"/>
      <c r="G83" s="2"/>
      <c r="H83" s="4"/>
      <c r="I83" s="4"/>
      <c r="J83" s="4"/>
      <c r="K83" s="15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</row>
    <row r="84" spans="1:31" x14ac:dyDescent="0.25">
      <c r="A84" s="28" t="s">
        <v>125</v>
      </c>
      <c r="B84" s="7"/>
      <c r="C84" s="17">
        <v>1</v>
      </c>
      <c r="D84" s="10"/>
      <c r="E84" s="4"/>
      <c r="F84" s="4"/>
      <c r="G84" s="2"/>
      <c r="H84" s="4"/>
      <c r="I84" s="4"/>
      <c r="J84" s="4"/>
      <c r="K84" s="15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</row>
    <row r="85" spans="1:31" x14ac:dyDescent="0.25">
      <c r="A85" s="28" t="s">
        <v>125</v>
      </c>
      <c r="B85" s="7"/>
      <c r="C85" s="17">
        <v>1</v>
      </c>
      <c r="D85" s="10"/>
      <c r="E85" s="4"/>
      <c r="F85" s="4"/>
      <c r="G85" s="2"/>
      <c r="H85" s="4"/>
      <c r="I85" s="4"/>
      <c r="J85" s="4"/>
      <c r="K85" s="15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</row>
    <row r="86" spans="1:31" x14ac:dyDescent="0.25">
      <c r="A86" s="28" t="s">
        <v>125</v>
      </c>
      <c r="B86" s="7"/>
      <c r="C86" s="17">
        <v>1</v>
      </c>
      <c r="D86" s="10"/>
      <c r="E86" s="4"/>
      <c r="F86" s="4"/>
      <c r="G86" s="2"/>
      <c r="H86" s="4"/>
      <c r="I86" s="4"/>
      <c r="J86" s="4"/>
      <c r="K86" s="15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</row>
    <row r="87" spans="1:31" x14ac:dyDescent="0.25">
      <c r="A87" s="28" t="s">
        <v>125</v>
      </c>
      <c r="B87" s="7"/>
      <c r="C87" s="17">
        <v>1</v>
      </c>
      <c r="D87" s="10"/>
      <c r="E87" s="4"/>
      <c r="F87" s="4"/>
      <c r="G87" s="2"/>
      <c r="H87" s="4"/>
      <c r="I87" s="4"/>
      <c r="J87" s="4"/>
      <c r="K87" s="15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</row>
    <row r="88" spans="1:31" x14ac:dyDescent="0.25">
      <c r="A88" s="28" t="s">
        <v>125</v>
      </c>
      <c r="B88" s="7"/>
      <c r="C88" s="17">
        <v>1</v>
      </c>
      <c r="D88" s="10"/>
      <c r="E88" s="4"/>
      <c r="F88" s="4"/>
      <c r="G88" s="2"/>
      <c r="H88" s="4"/>
      <c r="I88" s="4"/>
      <c r="J88" s="4"/>
      <c r="K88" s="15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</row>
    <row r="89" spans="1:31" x14ac:dyDescent="0.25">
      <c r="A89" s="28" t="s">
        <v>125</v>
      </c>
      <c r="B89" s="7"/>
      <c r="C89" s="17">
        <v>1</v>
      </c>
      <c r="D89" s="10"/>
      <c r="E89" s="4"/>
      <c r="F89" s="4"/>
      <c r="G89" s="2"/>
      <c r="H89" s="4"/>
      <c r="I89" s="4"/>
      <c r="J89" s="4"/>
      <c r="K89" s="15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</row>
    <row r="90" spans="1:31" x14ac:dyDescent="0.25">
      <c r="A90" s="28" t="s">
        <v>125</v>
      </c>
      <c r="B90" s="7"/>
      <c r="C90" s="17">
        <v>1</v>
      </c>
      <c r="D90" s="10"/>
      <c r="E90" s="4"/>
      <c r="F90" s="4"/>
      <c r="G90" s="2"/>
      <c r="H90" s="4"/>
      <c r="I90" s="4"/>
      <c r="J90" s="4"/>
      <c r="K90" s="15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</row>
    <row r="91" spans="1:31" x14ac:dyDescent="0.25">
      <c r="A91" s="28" t="s">
        <v>125</v>
      </c>
      <c r="B91" s="7"/>
      <c r="C91" s="17">
        <v>1</v>
      </c>
      <c r="D91" s="10"/>
      <c r="E91" s="4"/>
      <c r="F91" s="4"/>
      <c r="G91" s="2"/>
      <c r="H91" s="4"/>
      <c r="I91" s="4"/>
      <c r="J91" s="4"/>
      <c r="K91" s="15"/>
      <c r="L91" s="4"/>
      <c r="M91" s="4"/>
      <c r="N91" s="4"/>
      <c r="O91" s="4"/>
      <c r="P91" s="4"/>
      <c r="Q91" s="4"/>
      <c r="R91" s="4"/>
    </row>
    <row r="92" spans="1:31" x14ac:dyDescent="0.25">
      <c r="A92" s="28" t="s">
        <v>125</v>
      </c>
      <c r="B92" s="7"/>
      <c r="C92" s="17">
        <v>1</v>
      </c>
      <c r="D92" s="10"/>
      <c r="E92" s="4"/>
      <c r="F92" s="4"/>
      <c r="G92" s="2"/>
      <c r="H92" s="4"/>
      <c r="I92" s="4"/>
      <c r="J92" s="4"/>
      <c r="K92" s="15"/>
      <c r="L92" s="4"/>
      <c r="M92" s="4"/>
      <c r="N92" s="4"/>
      <c r="O92" s="4"/>
      <c r="P92" s="4"/>
      <c r="Q92" s="4"/>
      <c r="R92" s="4"/>
    </row>
    <row r="93" spans="1:31" x14ac:dyDescent="0.25">
      <c r="A93" s="28" t="s">
        <v>125</v>
      </c>
      <c r="B93" s="7"/>
      <c r="C93" s="17">
        <v>1</v>
      </c>
      <c r="D93" s="10"/>
      <c r="E93" s="4"/>
      <c r="F93" s="4"/>
      <c r="G93" s="2"/>
      <c r="H93" s="4"/>
      <c r="I93" s="4"/>
      <c r="J93" s="4"/>
      <c r="K93" s="15"/>
      <c r="L93" s="4"/>
      <c r="M93" s="4"/>
      <c r="N93" s="4"/>
      <c r="O93" s="4"/>
      <c r="P93" s="4"/>
      <c r="Q93" s="4"/>
      <c r="R93" s="4"/>
    </row>
    <row r="94" spans="1:31" x14ac:dyDescent="0.25">
      <c r="A94" s="28" t="s">
        <v>125</v>
      </c>
      <c r="B94" s="7"/>
      <c r="C94" s="17">
        <v>1</v>
      </c>
      <c r="D94" s="10"/>
      <c r="E94" s="4"/>
      <c r="F94" s="4"/>
      <c r="G94" s="2"/>
      <c r="H94" s="4"/>
      <c r="I94" s="4"/>
      <c r="J94" s="4"/>
      <c r="K94" s="15"/>
      <c r="L94" s="4"/>
      <c r="M94" s="4"/>
      <c r="N94" s="4"/>
      <c r="O94" s="4"/>
      <c r="P94" s="4"/>
      <c r="Q94" s="4"/>
      <c r="R94" s="4"/>
    </row>
    <row r="95" spans="1:31" x14ac:dyDescent="0.25">
      <c r="A95" s="28" t="s">
        <v>125</v>
      </c>
      <c r="B95" s="7"/>
      <c r="C95" s="17">
        <v>1</v>
      </c>
      <c r="D95" s="10"/>
      <c r="E95" s="4"/>
      <c r="F95" s="4"/>
      <c r="G95" s="2"/>
      <c r="H95" s="4"/>
      <c r="I95" s="4"/>
      <c r="J95" s="4"/>
      <c r="K95" s="15"/>
      <c r="L95" s="4"/>
      <c r="M95" s="4"/>
    </row>
    <row r="96" spans="1:31" x14ac:dyDescent="0.25">
      <c r="A96" s="28" t="s">
        <v>125</v>
      </c>
      <c r="B96" s="7"/>
      <c r="C96" s="17">
        <v>1</v>
      </c>
      <c r="D96" s="10"/>
      <c r="E96" s="4"/>
      <c r="F96" s="4"/>
      <c r="G96" s="2"/>
      <c r="H96" s="4"/>
      <c r="I96" s="4"/>
      <c r="J96" s="4"/>
      <c r="K96" s="15"/>
      <c r="L96" s="4"/>
      <c r="M96" s="4"/>
    </row>
    <row r="97" spans="1:13" x14ac:dyDescent="0.25">
      <c r="A97" s="28" t="s">
        <v>125</v>
      </c>
      <c r="B97" s="7"/>
      <c r="C97" s="17">
        <v>1</v>
      </c>
      <c r="D97" s="10"/>
      <c r="E97" s="4"/>
      <c r="F97" s="4"/>
      <c r="G97" s="2"/>
      <c r="H97" s="4"/>
      <c r="I97" s="4"/>
      <c r="J97" s="4"/>
      <c r="K97" s="15"/>
      <c r="L97" s="4"/>
      <c r="M97" s="4"/>
    </row>
    <row r="98" spans="1:13" x14ac:dyDescent="0.25">
      <c r="A98" s="28" t="s">
        <v>125</v>
      </c>
      <c r="B98" s="7"/>
      <c r="C98" s="17">
        <v>1</v>
      </c>
      <c r="D98" s="10"/>
      <c r="E98" s="4"/>
      <c r="F98" s="4"/>
      <c r="G98" s="2"/>
      <c r="H98" s="4"/>
      <c r="I98" s="4"/>
      <c r="J98" s="4"/>
      <c r="K98" s="15"/>
      <c r="L98" s="4"/>
      <c r="M98" s="4"/>
    </row>
    <row r="99" spans="1:13" x14ac:dyDescent="0.25">
      <c r="A99" s="28" t="s">
        <v>125</v>
      </c>
      <c r="B99" s="7"/>
      <c r="C99" s="17">
        <v>1</v>
      </c>
      <c r="D99" s="10"/>
      <c r="E99" s="4"/>
      <c r="F99" s="4"/>
      <c r="G99" s="2"/>
      <c r="H99" s="4"/>
      <c r="I99" s="4"/>
      <c r="J99" s="4"/>
      <c r="K99" s="15"/>
      <c r="L99" s="4"/>
      <c r="M99" s="4"/>
    </row>
    <row r="100" spans="1:13" x14ac:dyDescent="0.25">
      <c r="A100" s="28" t="s">
        <v>125</v>
      </c>
      <c r="B100" s="7"/>
      <c r="C100" s="17">
        <v>1</v>
      </c>
      <c r="D100" s="10"/>
      <c r="E100" s="4"/>
      <c r="F100" s="4"/>
      <c r="G100" s="2"/>
      <c r="H100" s="4"/>
      <c r="I100" s="4"/>
      <c r="J100" s="4"/>
      <c r="K100" s="15"/>
      <c r="L100" s="4"/>
      <c r="M100" s="4"/>
    </row>
    <row r="101" spans="1:13" x14ac:dyDescent="0.25">
      <c r="A101" s="28" t="s">
        <v>125</v>
      </c>
      <c r="B101" s="7"/>
      <c r="C101" s="17">
        <v>1</v>
      </c>
      <c r="D101" s="10"/>
      <c r="E101" s="4"/>
      <c r="F101" s="4"/>
      <c r="G101" s="2"/>
      <c r="H101" s="4"/>
      <c r="I101" s="4"/>
      <c r="J101" s="4"/>
      <c r="K101" s="15"/>
      <c r="L101" s="4"/>
      <c r="M101" s="4"/>
    </row>
    <row r="102" spans="1:13" x14ac:dyDescent="0.25">
      <c r="A102" s="28" t="s">
        <v>125</v>
      </c>
      <c r="B102" s="7"/>
      <c r="C102" s="17">
        <v>1</v>
      </c>
      <c r="D102" s="10"/>
      <c r="E102" s="4"/>
      <c r="F102" s="4"/>
      <c r="G102" s="2"/>
      <c r="H102" s="4"/>
      <c r="I102" s="4"/>
      <c r="J102" s="4"/>
      <c r="K102" s="15"/>
      <c r="L102" s="4"/>
      <c r="M102" s="4"/>
    </row>
    <row r="103" spans="1:13" x14ac:dyDescent="0.25">
      <c r="A103" s="28" t="s">
        <v>125</v>
      </c>
      <c r="B103" s="7"/>
      <c r="C103" s="17">
        <v>1</v>
      </c>
      <c r="D103" s="10"/>
      <c r="E103" s="4"/>
      <c r="F103" s="4"/>
      <c r="G103" s="2"/>
      <c r="H103" s="4"/>
      <c r="I103" s="4"/>
      <c r="J103" s="4"/>
      <c r="K103" s="15"/>
      <c r="L103" s="4"/>
      <c r="M103" s="4"/>
    </row>
    <row r="104" spans="1:13" x14ac:dyDescent="0.25">
      <c r="A104" s="28" t="s">
        <v>125</v>
      </c>
      <c r="B104" s="7"/>
      <c r="C104" s="17">
        <v>1</v>
      </c>
      <c r="D104" s="10"/>
      <c r="E104" s="4"/>
      <c r="F104" s="4"/>
      <c r="G104" s="2"/>
      <c r="H104" s="4"/>
      <c r="I104" s="4"/>
      <c r="J104" s="4"/>
      <c r="K104" s="15"/>
      <c r="L104" s="4"/>
      <c r="M104" s="4"/>
    </row>
    <row r="105" spans="1:13" x14ac:dyDescent="0.25">
      <c r="A105" s="28" t="s">
        <v>125</v>
      </c>
      <c r="B105" s="7"/>
      <c r="C105" s="17">
        <v>1</v>
      </c>
      <c r="D105" s="10"/>
      <c r="E105" s="4"/>
      <c r="F105" s="4"/>
      <c r="G105" s="2"/>
      <c r="H105" s="4"/>
      <c r="I105" s="4"/>
      <c r="J105" s="4"/>
      <c r="K105" s="15"/>
      <c r="L105" s="4"/>
      <c r="M105" s="4"/>
    </row>
    <row r="106" spans="1:13" x14ac:dyDescent="0.25">
      <c r="A106" s="28" t="s">
        <v>125</v>
      </c>
      <c r="B106" s="7"/>
      <c r="C106" s="17">
        <v>1</v>
      </c>
      <c r="D106" s="10"/>
      <c r="E106" s="4"/>
      <c r="F106" s="4"/>
      <c r="G106" s="2"/>
      <c r="H106" s="4"/>
      <c r="I106" s="4"/>
      <c r="J106" s="4"/>
      <c r="K106" s="15"/>
      <c r="L106" s="4"/>
      <c r="M106" s="4"/>
    </row>
    <row r="107" spans="1:13" x14ac:dyDescent="0.25">
      <c r="A107" s="28" t="s">
        <v>125</v>
      </c>
      <c r="B107" s="7"/>
      <c r="C107" s="17">
        <v>1</v>
      </c>
      <c r="D107" s="10"/>
      <c r="E107" s="4"/>
      <c r="F107" s="4"/>
      <c r="G107" s="2"/>
      <c r="H107" s="4"/>
      <c r="I107" s="4"/>
      <c r="J107" s="4"/>
      <c r="K107" s="15"/>
      <c r="L107" s="4"/>
      <c r="M107" s="4"/>
    </row>
    <row r="108" spans="1:13" x14ac:dyDescent="0.25">
      <c r="A108" s="28" t="s">
        <v>125</v>
      </c>
      <c r="B108" s="7"/>
      <c r="C108" s="17">
        <v>1</v>
      </c>
      <c r="D108" s="10"/>
      <c r="E108" s="4"/>
      <c r="F108" s="4"/>
      <c r="G108" s="2"/>
      <c r="H108" s="4"/>
      <c r="I108" s="4"/>
      <c r="J108" s="4"/>
      <c r="K108" s="15"/>
      <c r="L108" s="4"/>
      <c r="M108" s="4"/>
    </row>
    <row r="109" spans="1:13" x14ac:dyDescent="0.25">
      <c r="A109" s="28" t="s">
        <v>125</v>
      </c>
      <c r="B109" s="7"/>
      <c r="C109" s="17">
        <v>1</v>
      </c>
      <c r="D109" s="10"/>
      <c r="E109" s="4"/>
      <c r="F109" s="4"/>
      <c r="G109" s="2"/>
      <c r="H109" s="4"/>
      <c r="I109" s="4"/>
      <c r="J109" s="4"/>
      <c r="K109" s="15"/>
      <c r="L109" s="4"/>
      <c r="M109" s="4"/>
    </row>
    <row r="110" spans="1:13" x14ac:dyDescent="0.25">
      <c r="A110" s="28" t="s">
        <v>125</v>
      </c>
      <c r="B110" s="7"/>
      <c r="C110" s="17">
        <v>1</v>
      </c>
      <c r="D110" s="10"/>
      <c r="E110" s="4"/>
      <c r="F110" s="4"/>
      <c r="G110" s="2"/>
      <c r="H110" s="4"/>
      <c r="I110" s="4"/>
      <c r="J110" s="4"/>
      <c r="K110" s="15"/>
      <c r="L110" s="4"/>
      <c r="M110" s="4"/>
    </row>
    <row r="111" spans="1:13" x14ac:dyDescent="0.25">
      <c r="A111" s="28" t="s">
        <v>125</v>
      </c>
      <c r="B111" s="7"/>
      <c r="C111" s="17">
        <v>1</v>
      </c>
      <c r="D111" s="10"/>
      <c r="E111" s="4"/>
      <c r="F111" s="4"/>
      <c r="G111" s="2"/>
      <c r="H111" s="4"/>
      <c r="I111" s="4"/>
      <c r="J111" s="4"/>
      <c r="K111" s="15"/>
      <c r="L111" s="4"/>
      <c r="M111" s="4"/>
    </row>
    <row r="112" spans="1:13" x14ac:dyDescent="0.25">
      <c r="A112" s="28" t="s">
        <v>125</v>
      </c>
      <c r="B112" s="7"/>
      <c r="C112" s="17">
        <v>1</v>
      </c>
      <c r="D112" s="10"/>
      <c r="E112" s="4"/>
      <c r="F112" s="4"/>
      <c r="G112" s="2"/>
      <c r="H112" s="4"/>
      <c r="I112" s="4"/>
      <c r="J112" s="4"/>
      <c r="K112" s="15"/>
      <c r="L112" s="4"/>
      <c r="M112" s="4"/>
    </row>
    <row r="113" spans="1:13" x14ac:dyDescent="0.25">
      <c r="A113" s="28" t="s">
        <v>125</v>
      </c>
      <c r="B113" s="7"/>
      <c r="C113" s="17">
        <v>1</v>
      </c>
      <c r="D113" s="10"/>
      <c r="E113" s="4"/>
      <c r="F113" s="4"/>
      <c r="G113" s="2"/>
      <c r="H113" s="4"/>
      <c r="I113" s="4"/>
      <c r="J113" s="4"/>
      <c r="K113" s="15"/>
      <c r="L113" s="4"/>
      <c r="M113" s="4"/>
    </row>
    <row r="114" spans="1:13" x14ac:dyDescent="0.25">
      <c r="A114" s="28" t="s">
        <v>125</v>
      </c>
      <c r="B114" s="7"/>
      <c r="C114" s="17">
        <v>1</v>
      </c>
      <c r="D114" s="10"/>
      <c r="E114" s="4"/>
      <c r="F114" s="4"/>
      <c r="G114" s="2"/>
      <c r="H114" s="4"/>
      <c r="I114" s="4"/>
      <c r="J114" s="4"/>
      <c r="K114" s="15"/>
      <c r="L114" s="4"/>
      <c r="M114" s="4"/>
    </row>
    <row r="115" spans="1:13" x14ac:dyDescent="0.25">
      <c r="A115" s="28" t="s">
        <v>125</v>
      </c>
      <c r="B115" s="7"/>
      <c r="C115" s="17">
        <v>1</v>
      </c>
      <c r="D115" s="10"/>
      <c r="E115" s="4"/>
      <c r="F115" s="4"/>
      <c r="G115" s="2"/>
      <c r="H115" s="4"/>
      <c r="I115" s="4"/>
      <c r="J115" s="4"/>
      <c r="K115" s="15"/>
      <c r="L115" s="4"/>
      <c r="M115" s="4"/>
    </row>
    <row r="116" spans="1:13" x14ac:dyDescent="0.25">
      <c r="A116" s="28" t="s">
        <v>125</v>
      </c>
      <c r="B116" s="7"/>
      <c r="C116" s="17">
        <v>1</v>
      </c>
      <c r="D116" s="10"/>
      <c r="E116" s="4"/>
      <c r="F116" s="4"/>
      <c r="G116" s="2"/>
      <c r="H116" s="4"/>
      <c r="I116" s="4"/>
      <c r="J116" s="4"/>
      <c r="K116" s="15"/>
      <c r="L116" s="4"/>
      <c r="M116" s="4"/>
    </row>
    <row r="117" spans="1:13" x14ac:dyDescent="0.25">
      <c r="A117" s="28" t="s">
        <v>125</v>
      </c>
      <c r="B117" s="7"/>
      <c r="C117" s="17">
        <v>1</v>
      </c>
      <c r="D117" s="10"/>
      <c r="E117" s="4"/>
      <c r="F117" s="4"/>
      <c r="G117" s="2"/>
      <c r="H117" s="4"/>
      <c r="I117" s="4"/>
      <c r="J117" s="4"/>
      <c r="K117" s="15"/>
      <c r="L117" s="4"/>
      <c r="M117" s="4"/>
    </row>
    <row r="118" spans="1:13" x14ac:dyDescent="0.25">
      <c r="A118" s="28" t="s">
        <v>125</v>
      </c>
      <c r="B118" s="7"/>
      <c r="C118" s="17">
        <v>1</v>
      </c>
      <c r="D118" s="10"/>
      <c r="E118" s="4"/>
      <c r="F118" s="4"/>
      <c r="G118" s="2"/>
      <c r="H118" s="4"/>
      <c r="I118" s="4"/>
      <c r="J118" s="4"/>
      <c r="K118" s="15"/>
      <c r="L118" s="4"/>
      <c r="M118" s="4"/>
    </row>
    <row r="119" spans="1:13" x14ac:dyDescent="0.25">
      <c r="A119" s="28" t="s">
        <v>125</v>
      </c>
      <c r="B119" s="7"/>
      <c r="C119" s="17">
        <v>1</v>
      </c>
      <c r="D119" s="10"/>
      <c r="E119" s="4"/>
      <c r="F119" s="4"/>
      <c r="G119" s="2"/>
      <c r="H119" s="4"/>
      <c r="I119" s="4"/>
      <c r="J119" s="4"/>
      <c r="K119" s="15"/>
      <c r="L119" s="4"/>
      <c r="M119" s="4"/>
    </row>
    <row r="120" spans="1:13" x14ac:dyDescent="0.25">
      <c r="A120" s="28" t="s">
        <v>125</v>
      </c>
      <c r="B120" s="7"/>
      <c r="C120" s="17">
        <v>1</v>
      </c>
      <c r="D120" s="10"/>
      <c r="E120" s="4"/>
      <c r="F120" s="4"/>
      <c r="G120" s="2"/>
      <c r="H120" s="4"/>
      <c r="I120" s="4"/>
      <c r="J120" s="4"/>
      <c r="K120" s="15"/>
      <c r="L120" s="4"/>
      <c r="M120" s="4"/>
    </row>
    <row r="121" spans="1:13" x14ac:dyDescent="0.25">
      <c r="A121" s="28" t="s">
        <v>125</v>
      </c>
      <c r="B121" s="7"/>
      <c r="C121" s="17">
        <v>1</v>
      </c>
      <c r="D121" s="10"/>
      <c r="E121" s="4"/>
      <c r="F121" s="4"/>
      <c r="G121" s="2"/>
      <c r="H121" s="4"/>
      <c r="I121" s="4"/>
      <c r="J121" s="4"/>
      <c r="K121" s="15"/>
      <c r="L121" s="4"/>
      <c r="M121" s="4"/>
    </row>
    <row r="122" spans="1:13" x14ac:dyDescent="0.25">
      <c r="A122" s="28" t="s">
        <v>125</v>
      </c>
      <c r="B122" s="7"/>
      <c r="C122" s="17">
        <v>1</v>
      </c>
      <c r="D122" s="10"/>
      <c r="E122" s="4"/>
      <c r="F122" s="4"/>
      <c r="G122" s="2"/>
      <c r="H122" s="4"/>
      <c r="I122" s="4"/>
      <c r="J122" s="4"/>
      <c r="K122" s="15"/>
      <c r="L122" s="4"/>
      <c r="M122" s="4"/>
    </row>
    <row r="123" spans="1:13" x14ac:dyDescent="0.25">
      <c r="A123" s="28" t="s">
        <v>125</v>
      </c>
      <c r="B123" s="7"/>
      <c r="C123" s="17">
        <v>1</v>
      </c>
      <c r="D123" s="10"/>
      <c r="E123" s="4"/>
      <c r="F123" s="4"/>
      <c r="G123" s="2"/>
      <c r="H123" s="4"/>
      <c r="I123" s="4"/>
      <c r="J123" s="4"/>
      <c r="K123" s="15"/>
      <c r="L123" s="4"/>
      <c r="M123" s="4"/>
    </row>
    <row r="124" spans="1:13" x14ac:dyDescent="0.25">
      <c r="A124" s="28" t="s">
        <v>125</v>
      </c>
      <c r="B124" s="7"/>
      <c r="C124" s="17">
        <v>1</v>
      </c>
      <c r="D124" s="10"/>
      <c r="E124" s="4"/>
      <c r="F124" s="4"/>
      <c r="G124" s="2"/>
      <c r="H124" s="4"/>
      <c r="I124" s="4"/>
      <c r="J124" s="4"/>
      <c r="K124" s="15"/>
      <c r="L124" s="4"/>
      <c r="M124" s="4"/>
    </row>
    <row r="125" spans="1:13" x14ac:dyDescent="0.25">
      <c r="A125" s="28" t="s">
        <v>125</v>
      </c>
      <c r="B125" s="7"/>
      <c r="C125" s="17">
        <v>1</v>
      </c>
      <c r="D125" s="10"/>
      <c r="E125" s="4"/>
      <c r="F125" s="4"/>
      <c r="G125" s="2"/>
      <c r="H125" s="4"/>
      <c r="I125" s="4"/>
      <c r="J125" s="4"/>
      <c r="K125" s="15"/>
      <c r="L125" s="4"/>
      <c r="M125" s="4"/>
    </row>
    <row r="126" spans="1:13" x14ac:dyDescent="0.25">
      <c r="A126" s="28" t="s">
        <v>125</v>
      </c>
      <c r="B126" s="7"/>
      <c r="C126" s="17">
        <v>1</v>
      </c>
      <c r="D126" s="10"/>
      <c r="E126" s="4"/>
      <c r="F126" s="4"/>
      <c r="G126" s="2"/>
      <c r="H126" s="4"/>
      <c r="I126" s="4"/>
      <c r="J126" s="4"/>
      <c r="K126" s="15"/>
      <c r="L126" s="4"/>
      <c r="M126" s="4"/>
    </row>
    <row r="127" spans="1:13" x14ac:dyDescent="0.25">
      <c r="A127" s="28" t="s">
        <v>125</v>
      </c>
      <c r="B127" s="7"/>
      <c r="C127" s="17">
        <v>1</v>
      </c>
      <c r="D127" s="10"/>
      <c r="E127" s="4"/>
      <c r="F127" s="4"/>
      <c r="G127" s="2"/>
      <c r="H127" s="4"/>
      <c r="I127" s="4"/>
      <c r="J127" s="4"/>
      <c r="K127" s="15"/>
      <c r="L127" s="4"/>
      <c r="M127" s="4"/>
    </row>
    <row r="128" spans="1:13" x14ac:dyDescent="0.25">
      <c r="A128" s="28" t="s">
        <v>125</v>
      </c>
      <c r="B128" s="7"/>
      <c r="C128" s="17">
        <v>1</v>
      </c>
      <c r="D128" s="10"/>
      <c r="E128" s="4"/>
      <c r="F128" s="4"/>
      <c r="G128" s="2"/>
      <c r="H128" s="4"/>
      <c r="I128" s="4"/>
      <c r="J128" s="4"/>
      <c r="K128" s="15"/>
      <c r="L128" s="4"/>
      <c r="M128" s="4"/>
    </row>
    <row r="129" spans="1:13" x14ac:dyDescent="0.25">
      <c r="A129" s="28" t="s">
        <v>125</v>
      </c>
      <c r="B129" s="7"/>
      <c r="C129" s="17">
        <v>1</v>
      </c>
      <c r="D129" s="10"/>
      <c r="E129" s="4"/>
      <c r="F129" s="4"/>
      <c r="G129" s="2"/>
      <c r="H129" s="4"/>
      <c r="I129" s="4"/>
      <c r="J129" s="4"/>
      <c r="K129" s="15"/>
      <c r="L129" s="4"/>
      <c r="M129" s="4"/>
    </row>
    <row r="130" spans="1:13" x14ac:dyDescent="0.25">
      <c r="A130" s="28" t="s">
        <v>125</v>
      </c>
      <c r="B130" s="7"/>
      <c r="C130" s="17">
        <v>1</v>
      </c>
      <c r="D130" s="10"/>
      <c r="E130" s="4"/>
      <c r="F130" s="4"/>
      <c r="G130" s="2"/>
      <c r="H130" s="4"/>
      <c r="I130" s="4"/>
      <c r="J130" s="4"/>
      <c r="K130" s="15"/>
      <c r="L130" s="4"/>
      <c r="M130" s="4"/>
    </row>
    <row r="131" spans="1:13" x14ac:dyDescent="0.25">
      <c r="A131" s="28" t="s">
        <v>125</v>
      </c>
      <c r="B131" s="7"/>
      <c r="C131" s="17">
        <v>1</v>
      </c>
      <c r="D131" s="10"/>
      <c r="E131" s="4"/>
      <c r="F131" s="4"/>
      <c r="G131" s="2"/>
      <c r="H131" s="4"/>
      <c r="I131" s="4"/>
      <c r="J131" s="4"/>
      <c r="K131" s="15"/>
      <c r="L131" s="4"/>
      <c r="M131" s="4"/>
    </row>
    <row r="132" spans="1:13" x14ac:dyDescent="0.25">
      <c r="A132" s="28" t="s">
        <v>125</v>
      </c>
      <c r="B132" s="7"/>
      <c r="C132" s="17">
        <v>1</v>
      </c>
      <c r="D132" s="10"/>
      <c r="E132" s="4"/>
      <c r="F132" s="4"/>
      <c r="G132" s="2"/>
      <c r="H132" s="4"/>
      <c r="I132" s="4"/>
      <c r="J132" s="4"/>
      <c r="K132" s="15"/>
      <c r="L132" s="4"/>
      <c r="M132" s="4"/>
    </row>
    <row r="133" spans="1:13" x14ac:dyDescent="0.25">
      <c r="A133" s="28" t="s">
        <v>125</v>
      </c>
      <c r="B133" s="7"/>
      <c r="C133" s="17">
        <v>1</v>
      </c>
      <c r="D133" s="10"/>
      <c r="E133" s="4"/>
      <c r="F133" s="4"/>
      <c r="G133" s="2"/>
      <c r="H133" s="4"/>
      <c r="I133" s="4"/>
      <c r="J133" s="4"/>
      <c r="K133" s="15"/>
      <c r="L133" s="4"/>
      <c r="M133" s="4"/>
    </row>
    <row r="134" spans="1:13" x14ac:dyDescent="0.25">
      <c r="A134" s="28" t="s">
        <v>125</v>
      </c>
      <c r="B134" s="7"/>
      <c r="C134" s="17">
        <v>1</v>
      </c>
      <c r="D134" s="10"/>
      <c r="E134" s="4"/>
      <c r="F134" s="4"/>
      <c r="G134" s="2"/>
      <c r="H134" s="4"/>
      <c r="I134" s="4"/>
      <c r="J134" s="4"/>
      <c r="K134" s="15"/>
      <c r="L134" s="4"/>
      <c r="M134" s="4"/>
    </row>
    <row r="135" spans="1:13" x14ac:dyDescent="0.25">
      <c r="A135" s="28" t="s">
        <v>125</v>
      </c>
      <c r="B135" s="7"/>
      <c r="C135" s="17">
        <v>1</v>
      </c>
      <c r="D135" s="10"/>
      <c r="E135" s="4"/>
      <c r="F135" s="4"/>
      <c r="G135" s="2"/>
      <c r="H135" s="4"/>
      <c r="I135" s="4"/>
      <c r="J135" s="4"/>
      <c r="K135" s="15"/>
      <c r="L135" s="4"/>
      <c r="M135" s="4"/>
    </row>
    <row r="136" spans="1:13" x14ac:dyDescent="0.25">
      <c r="A136" s="28" t="s">
        <v>125</v>
      </c>
      <c r="B136" s="7"/>
      <c r="C136" s="17">
        <v>1</v>
      </c>
      <c r="D136" s="10"/>
      <c r="E136" s="4"/>
      <c r="F136" s="4"/>
      <c r="G136" s="2"/>
      <c r="H136" s="4"/>
      <c r="I136" s="4"/>
      <c r="J136" s="4"/>
      <c r="K136" s="15"/>
      <c r="L136" s="4"/>
      <c r="M136" s="4"/>
    </row>
    <row r="137" spans="1:13" x14ac:dyDescent="0.25">
      <c r="A137" s="28" t="s">
        <v>125</v>
      </c>
      <c r="B137" s="7"/>
      <c r="C137" s="17">
        <v>1</v>
      </c>
      <c r="D137" s="10"/>
      <c r="E137" s="4"/>
      <c r="F137" s="4"/>
      <c r="G137" s="2"/>
      <c r="H137" s="4"/>
      <c r="I137" s="4"/>
      <c r="J137" s="4"/>
      <c r="K137" s="15"/>
      <c r="L137" s="4"/>
      <c r="M137" s="4"/>
    </row>
    <row r="138" spans="1:13" x14ac:dyDescent="0.25">
      <c r="A138" s="28" t="s">
        <v>125</v>
      </c>
      <c r="B138" s="7"/>
      <c r="C138" s="17">
        <v>1</v>
      </c>
      <c r="D138" s="10"/>
      <c r="E138" s="4"/>
      <c r="F138" s="4"/>
      <c r="G138" s="2"/>
      <c r="H138" s="4"/>
      <c r="I138" s="4"/>
      <c r="J138" s="4"/>
      <c r="K138" s="15"/>
      <c r="L138" s="4"/>
      <c r="M138" s="4"/>
    </row>
    <row r="139" spans="1:13" x14ac:dyDescent="0.25">
      <c r="A139" s="28" t="s">
        <v>125</v>
      </c>
      <c r="B139" s="7"/>
      <c r="C139" s="17">
        <v>1</v>
      </c>
      <c r="D139" s="10"/>
      <c r="E139" s="4"/>
      <c r="F139" s="4"/>
      <c r="G139" s="2"/>
      <c r="H139" s="4"/>
      <c r="I139" s="4"/>
      <c r="J139" s="4"/>
      <c r="K139" s="15"/>
      <c r="L139" s="4"/>
      <c r="M139" s="4"/>
    </row>
    <row r="140" spans="1:13" x14ac:dyDescent="0.25">
      <c r="A140" s="28" t="s">
        <v>125</v>
      </c>
      <c r="B140" s="7"/>
      <c r="C140" s="17">
        <v>1</v>
      </c>
      <c r="D140" s="10"/>
      <c r="E140" s="4"/>
      <c r="F140" s="4"/>
      <c r="G140" s="2"/>
      <c r="H140" s="4"/>
      <c r="I140" s="4"/>
      <c r="J140" s="4"/>
      <c r="K140" s="15"/>
      <c r="L140" s="4"/>
      <c r="M140" s="4"/>
    </row>
    <row r="141" spans="1:13" x14ac:dyDescent="0.25">
      <c r="A141" s="28" t="s">
        <v>125</v>
      </c>
      <c r="B141" s="7"/>
      <c r="C141" s="17">
        <v>1</v>
      </c>
      <c r="D141" s="10"/>
      <c r="E141" s="4"/>
      <c r="F141" s="4"/>
      <c r="G141" s="2"/>
      <c r="H141" s="4"/>
      <c r="I141" s="4"/>
      <c r="J141" s="4"/>
      <c r="K141" s="15"/>
      <c r="L141" s="4"/>
      <c r="M141" s="4"/>
    </row>
    <row r="142" spans="1:13" x14ac:dyDescent="0.25">
      <c r="A142" s="28" t="s">
        <v>125</v>
      </c>
      <c r="B142" s="7"/>
      <c r="C142" s="17">
        <v>1</v>
      </c>
      <c r="D142" s="10"/>
      <c r="E142" s="4"/>
      <c r="F142" s="4"/>
      <c r="G142" s="2"/>
      <c r="H142" s="4"/>
      <c r="I142" s="4"/>
      <c r="J142" s="4"/>
      <c r="K142" s="15"/>
      <c r="L142" s="4"/>
      <c r="M142" s="4"/>
    </row>
    <row r="143" spans="1:13" x14ac:dyDescent="0.25">
      <c r="A143" s="28" t="s">
        <v>125</v>
      </c>
      <c r="B143" s="7"/>
      <c r="C143" s="17">
        <v>1</v>
      </c>
      <c r="D143" s="10"/>
      <c r="E143" s="4"/>
      <c r="F143" s="4"/>
      <c r="G143" s="2"/>
      <c r="H143" s="4"/>
      <c r="I143" s="4"/>
      <c r="J143" s="4"/>
      <c r="K143" s="15"/>
      <c r="L143" s="4"/>
      <c r="M143" s="4"/>
    </row>
    <row r="144" spans="1:13" x14ac:dyDescent="0.25">
      <c r="A144" s="28" t="s">
        <v>125</v>
      </c>
      <c r="B144" s="7"/>
      <c r="C144" s="17">
        <v>1</v>
      </c>
      <c r="D144" s="10"/>
      <c r="E144" s="4"/>
      <c r="F144" s="4"/>
      <c r="G144" s="2"/>
      <c r="H144" s="4"/>
      <c r="I144" s="4"/>
      <c r="J144" s="4"/>
      <c r="K144" s="15"/>
      <c r="L144" s="4"/>
      <c r="M144" s="4"/>
    </row>
    <row r="145" spans="1:13" x14ac:dyDescent="0.25">
      <c r="A145" s="28" t="s">
        <v>125</v>
      </c>
      <c r="B145" s="7"/>
      <c r="C145" s="17">
        <v>1</v>
      </c>
      <c r="D145" s="10"/>
      <c r="E145" s="4"/>
      <c r="F145" s="4"/>
      <c r="G145" s="2"/>
      <c r="H145" s="4"/>
      <c r="I145" s="4"/>
      <c r="J145" s="4"/>
      <c r="K145" s="15"/>
      <c r="L145" s="4"/>
      <c r="M145" s="4"/>
    </row>
    <row r="146" spans="1:13" x14ac:dyDescent="0.25">
      <c r="A146" s="28" t="s">
        <v>125</v>
      </c>
      <c r="B146" s="7"/>
      <c r="C146" s="17">
        <v>1</v>
      </c>
      <c r="D146" s="10"/>
      <c r="E146" s="4"/>
      <c r="F146" s="4"/>
      <c r="G146" s="2"/>
      <c r="H146" s="4"/>
      <c r="I146" s="4"/>
      <c r="J146" s="4"/>
      <c r="K146" s="15"/>
      <c r="L146" s="4"/>
      <c r="M146" s="4"/>
    </row>
    <row r="147" spans="1:13" x14ac:dyDescent="0.25">
      <c r="A147" s="28" t="s">
        <v>125</v>
      </c>
      <c r="B147" s="7"/>
      <c r="C147" s="17">
        <v>1</v>
      </c>
      <c r="D147" s="10"/>
      <c r="E147" s="4"/>
      <c r="F147" s="4"/>
      <c r="G147" s="2"/>
      <c r="H147" s="4"/>
      <c r="I147" s="4"/>
      <c r="J147" s="4"/>
      <c r="K147" s="15"/>
      <c r="L147" s="4"/>
      <c r="M147" s="4"/>
    </row>
    <row r="148" spans="1:13" x14ac:dyDescent="0.25">
      <c r="A148" s="28" t="s">
        <v>125</v>
      </c>
      <c r="B148" s="7"/>
      <c r="C148" s="17">
        <v>1</v>
      </c>
      <c r="D148" s="10"/>
      <c r="E148" s="4"/>
      <c r="F148" s="4"/>
      <c r="G148" s="2"/>
      <c r="H148" s="4"/>
      <c r="I148" s="4"/>
      <c r="J148" s="4"/>
      <c r="K148" s="15"/>
      <c r="L148" s="4"/>
      <c r="M148" s="4"/>
    </row>
    <row r="149" spans="1:13" x14ac:dyDescent="0.25">
      <c r="A149" s="28" t="s">
        <v>125</v>
      </c>
      <c r="B149" s="7"/>
      <c r="C149" s="17">
        <v>1</v>
      </c>
      <c r="D149" s="10"/>
      <c r="E149" s="4"/>
      <c r="F149" s="4"/>
      <c r="G149" s="2"/>
      <c r="H149" s="4"/>
      <c r="I149" s="4"/>
      <c r="J149" s="4"/>
      <c r="K149" s="15"/>
      <c r="L149" s="4"/>
      <c r="M149" s="4"/>
    </row>
    <row r="150" spans="1:13" x14ac:dyDescent="0.25">
      <c r="A150" s="28" t="s">
        <v>125</v>
      </c>
      <c r="B150" s="7"/>
      <c r="C150" s="17">
        <v>1</v>
      </c>
      <c r="D150" s="10"/>
      <c r="E150" s="4"/>
      <c r="F150" s="4"/>
      <c r="G150" s="2"/>
      <c r="H150" s="4"/>
      <c r="I150" s="4"/>
      <c r="J150" s="4"/>
      <c r="K150" s="15"/>
      <c r="L150" s="4"/>
      <c r="M150" s="4"/>
    </row>
    <row r="151" spans="1:13" x14ac:dyDescent="0.25">
      <c r="A151" s="28" t="s">
        <v>125</v>
      </c>
      <c r="B151" s="7"/>
      <c r="C151" s="17">
        <v>1</v>
      </c>
      <c r="D151" s="10"/>
      <c r="E151" s="4"/>
      <c r="F151" s="4"/>
      <c r="G151" s="2"/>
      <c r="H151" s="4"/>
      <c r="I151" s="4"/>
      <c r="J151" s="4"/>
      <c r="K151" s="15"/>
      <c r="L151" s="4"/>
      <c r="M151" s="4"/>
    </row>
    <row r="152" spans="1:13" x14ac:dyDescent="0.25">
      <c r="A152" s="28" t="s">
        <v>125</v>
      </c>
      <c r="B152" s="7"/>
      <c r="C152" s="17">
        <v>1</v>
      </c>
      <c r="D152" s="10"/>
      <c r="E152" s="4"/>
      <c r="F152" s="4"/>
      <c r="G152" s="2"/>
      <c r="H152" s="4"/>
      <c r="I152" s="4"/>
      <c r="J152" s="4"/>
      <c r="K152" s="15"/>
      <c r="L152" s="4"/>
      <c r="M152" s="4"/>
    </row>
    <row r="153" spans="1:13" x14ac:dyDescent="0.25">
      <c r="A153" s="28" t="s">
        <v>125</v>
      </c>
      <c r="B153" s="7"/>
      <c r="C153" s="17">
        <v>1</v>
      </c>
      <c r="D153" s="10"/>
      <c r="E153" s="4"/>
      <c r="F153" s="4"/>
      <c r="G153" s="2"/>
      <c r="H153" s="4"/>
      <c r="I153" s="4"/>
      <c r="J153" s="4"/>
      <c r="K153" s="15"/>
      <c r="L153" s="4"/>
      <c r="M153" s="4"/>
    </row>
    <row r="154" spans="1:13" x14ac:dyDescent="0.25">
      <c r="A154" s="28" t="s">
        <v>125</v>
      </c>
      <c r="B154" s="7"/>
      <c r="C154" s="17">
        <v>1</v>
      </c>
      <c r="D154" s="10"/>
      <c r="E154" s="4"/>
      <c r="F154" s="4"/>
      <c r="G154" s="2"/>
      <c r="H154" s="4"/>
      <c r="I154" s="4"/>
      <c r="J154" s="4"/>
      <c r="K154" s="15"/>
      <c r="L154" s="4"/>
      <c r="M154" s="4"/>
    </row>
    <row r="155" spans="1:13" x14ac:dyDescent="0.25">
      <c r="A155" s="28" t="s">
        <v>125</v>
      </c>
      <c r="B155" s="7"/>
      <c r="C155" s="17">
        <v>1</v>
      </c>
      <c r="D155" s="10"/>
      <c r="E155" s="4"/>
      <c r="F155" s="4"/>
      <c r="G155" s="2"/>
      <c r="H155" s="4"/>
      <c r="I155" s="4"/>
      <c r="J155" s="4"/>
      <c r="K155" s="15"/>
      <c r="L155" s="4"/>
      <c r="M155" s="4"/>
    </row>
    <row r="156" spans="1:13" x14ac:dyDescent="0.25">
      <c r="A156" s="28" t="s">
        <v>125</v>
      </c>
      <c r="B156" s="7"/>
      <c r="C156" s="17">
        <v>1</v>
      </c>
      <c r="D156" s="10"/>
      <c r="E156" s="4"/>
      <c r="F156" s="4"/>
      <c r="G156" s="2"/>
      <c r="H156" s="4"/>
      <c r="I156" s="4"/>
      <c r="J156" s="4"/>
      <c r="K156" s="15"/>
      <c r="L156" s="4"/>
      <c r="M156" s="4"/>
    </row>
    <row r="157" spans="1:13" x14ac:dyDescent="0.25">
      <c r="A157" s="28" t="s">
        <v>125</v>
      </c>
      <c r="B157" s="7"/>
      <c r="C157" s="17">
        <v>1</v>
      </c>
      <c r="D157" s="10"/>
      <c r="E157" s="4"/>
      <c r="F157" s="4"/>
      <c r="G157" s="2"/>
      <c r="H157" s="4"/>
      <c r="I157" s="4"/>
      <c r="J157" s="4"/>
      <c r="K157" s="15"/>
      <c r="L157" s="4"/>
      <c r="M157" s="4"/>
    </row>
    <row r="158" spans="1:13" x14ac:dyDescent="0.25">
      <c r="A158" s="28" t="s">
        <v>125</v>
      </c>
      <c r="B158" s="7"/>
      <c r="C158" s="17">
        <v>1</v>
      </c>
      <c r="D158" s="10"/>
      <c r="E158" s="4"/>
      <c r="F158" s="4"/>
      <c r="G158" s="2"/>
      <c r="H158" s="4"/>
      <c r="I158" s="4"/>
      <c r="J158" s="4"/>
      <c r="K158" s="15"/>
      <c r="L158" s="4"/>
      <c r="M158" s="4"/>
    </row>
    <row r="159" spans="1:13" x14ac:dyDescent="0.25">
      <c r="A159" s="28" t="s">
        <v>125</v>
      </c>
      <c r="B159" s="7"/>
      <c r="C159" s="17">
        <v>1</v>
      </c>
      <c r="D159" s="10"/>
      <c r="E159" s="4"/>
      <c r="F159" s="4"/>
      <c r="G159" s="2"/>
      <c r="H159" s="4"/>
      <c r="I159" s="4"/>
      <c r="J159" s="4"/>
      <c r="K159" s="15"/>
      <c r="L159" s="4"/>
      <c r="M159" s="4"/>
    </row>
    <row r="160" spans="1:13" x14ac:dyDescent="0.25">
      <c r="A160" s="28" t="s">
        <v>125</v>
      </c>
      <c r="B160" s="7"/>
      <c r="C160" s="17">
        <v>1</v>
      </c>
      <c r="D160" s="10"/>
      <c r="E160" s="4"/>
      <c r="F160" s="4"/>
      <c r="G160" s="2"/>
      <c r="H160" s="4"/>
      <c r="I160" s="4"/>
      <c r="J160" s="4"/>
      <c r="K160" s="15"/>
      <c r="L160" s="4"/>
      <c r="M160" s="4"/>
    </row>
    <row r="161" spans="1:13" x14ac:dyDescent="0.25">
      <c r="A161" s="28" t="s">
        <v>125</v>
      </c>
      <c r="B161" s="7"/>
      <c r="C161" s="17">
        <v>1</v>
      </c>
      <c r="D161" s="10"/>
      <c r="E161" s="4"/>
      <c r="F161" s="4"/>
      <c r="G161" s="2"/>
      <c r="H161" s="4"/>
      <c r="I161" s="4"/>
      <c r="J161" s="4"/>
      <c r="K161" s="15"/>
      <c r="L161" s="4"/>
      <c r="M161" s="4"/>
    </row>
    <row r="162" spans="1:13" x14ac:dyDescent="0.25">
      <c r="A162" s="28" t="s">
        <v>125</v>
      </c>
      <c r="B162" s="7"/>
      <c r="C162" s="17">
        <v>1</v>
      </c>
      <c r="D162" s="10"/>
      <c r="E162" s="4"/>
      <c r="F162" s="4"/>
      <c r="G162" s="2"/>
      <c r="H162" s="4"/>
      <c r="I162" s="4"/>
      <c r="J162" s="4"/>
      <c r="K162" s="15"/>
      <c r="L162" s="4"/>
      <c r="M162" s="4"/>
    </row>
    <row r="163" spans="1:13" x14ac:dyDescent="0.25">
      <c r="A163" s="28" t="s">
        <v>125</v>
      </c>
      <c r="B163" s="7"/>
      <c r="C163" s="17">
        <v>1</v>
      </c>
      <c r="D163" s="10"/>
      <c r="E163" s="4"/>
      <c r="F163" s="4"/>
      <c r="G163" s="2"/>
      <c r="H163" s="4"/>
      <c r="I163" s="4"/>
      <c r="J163" s="4"/>
      <c r="K163" s="15"/>
      <c r="L163" s="4"/>
      <c r="M163" s="4"/>
    </row>
    <row r="164" spans="1:13" x14ac:dyDescent="0.25">
      <c r="A164" s="28" t="s">
        <v>125</v>
      </c>
      <c r="B164" s="7"/>
      <c r="C164" s="17">
        <v>1</v>
      </c>
      <c r="D164" s="10"/>
      <c r="E164" s="4"/>
      <c r="F164" s="4"/>
      <c r="G164" s="2"/>
      <c r="H164" s="4"/>
      <c r="I164" s="4"/>
      <c r="J164" s="4"/>
      <c r="K164" s="15"/>
      <c r="L164" s="4"/>
      <c r="M164" s="4"/>
    </row>
    <row r="165" spans="1:13" x14ac:dyDescent="0.25">
      <c r="A165" s="28" t="s">
        <v>125</v>
      </c>
      <c r="B165" s="7"/>
      <c r="C165" s="17">
        <v>1</v>
      </c>
      <c r="D165" s="10"/>
      <c r="E165" s="4"/>
      <c r="F165" s="4"/>
      <c r="G165" s="2"/>
      <c r="H165" s="4"/>
      <c r="I165" s="4"/>
      <c r="J165" s="4"/>
      <c r="K165" s="15"/>
      <c r="L165" s="4"/>
      <c r="M165" s="4"/>
    </row>
    <row r="166" spans="1:13" x14ac:dyDescent="0.25">
      <c r="A166" s="28" t="s">
        <v>125</v>
      </c>
      <c r="B166" s="7"/>
      <c r="C166" s="17">
        <v>1</v>
      </c>
      <c r="D166" s="10"/>
      <c r="E166" s="4"/>
      <c r="F166" s="4"/>
      <c r="G166" s="2"/>
      <c r="H166" s="4"/>
      <c r="I166" s="4"/>
      <c r="J166" s="4"/>
      <c r="K166" s="15"/>
      <c r="L166" s="4"/>
      <c r="M166" s="4"/>
    </row>
    <row r="167" spans="1:13" x14ac:dyDescent="0.25">
      <c r="A167" s="4"/>
      <c r="B167" s="4"/>
      <c r="C167" s="4"/>
      <c r="D167" s="2"/>
      <c r="E167" s="4"/>
      <c r="F167" s="4"/>
      <c r="G167" s="2"/>
      <c r="H167" s="4"/>
      <c r="I167" s="4"/>
      <c r="J167" s="4"/>
      <c r="K167" s="15"/>
      <c r="L167" s="4"/>
      <c r="M167" s="4"/>
    </row>
    <row r="168" spans="1:13" x14ac:dyDescent="0.25">
      <c r="A168" s="4"/>
      <c r="B168" s="4"/>
      <c r="C168" s="4"/>
      <c r="D168" s="2"/>
      <c r="E168" s="4"/>
      <c r="F168" s="4"/>
      <c r="G168" s="2"/>
      <c r="H168" s="4"/>
      <c r="I168" s="4"/>
      <c r="J168" s="4"/>
      <c r="K168" s="15"/>
      <c r="L168" s="4"/>
      <c r="M168" s="4"/>
    </row>
    <row r="169" spans="1:13" x14ac:dyDescent="0.25">
      <c r="A169" s="4"/>
      <c r="B169" s="4"/>
      <c r="C169" s="4"/>
      <c r="D169" s="2"/>
      <c r="E169" s="4"/>
      <c r="F169" s="4"/>
      <c r="G169" s="2"/>
      <c r="H169" s="4"/>
      <c r="I169" s="4"/>
      <c r="J169" s="4"/>
      <c r="K169" s="15"/>
      <c r="L169" s="4"/>
      <c r="M169" s="4"/>
    </row>
    <row r="170" spans="1:13" x14ac:dyDescent="0.25">
      <c r="A170" s="4"/>
      <c r="B170" s="4"/>
      <c r="C170" s="4"/>
      <c r="D170" s="2"/>
      <c r="E170" s="4"/>
      <c r="F170" s="4"/>
      <c r="G170" s="2"/>
      <c r="H170" s="4"/>
      <c r="I170" s="4"/>
      <c r="J170" s="4"/>
      <c r="K170" s="15"/>
      <c r="L170" s="4"/>
      <c r="M170" s="4"/>
    </row>
    <row r="171" spans="1:13" x14ac:dyDescent="0.25">
      <c r="A171" s="4"/>
      <c r="B171" s="4"/>
      <c r="C171" s="4"/>
      <c r="D171" s="2"/>
      <c r="E171" s="4"/>
      <c r="F171" s="4"/>
      <c r="G171" s="2"/>
      <c r="H171" s="4"/>
      <c r="I171" s="4"/>
      <c r="J171" s="4"/>
      <c r="K171" s="15"/>
      <c r="L171" s="4"/>
      <c r="M171" s="4"/>
    </row>
    <row r="172" spans="1:13" x14ac:dyDescent="0.25">
      <c r="A172" s="4"/>
      <c r="B172" s="4"/>
      <c r="C172" s="4"/>
      <c r="D172" s="2"/>
      <c r="E172" s="4"/>
      <c r="F172" s="4"/>
      <c r="G172" s="2"/>
      <c r="H172" s="4"/>
      <c r="I172" s="4"/>
      <c r="J172" s="4"/>
      <c r="K172" s="15"/>
      <c r="L172" s="4"/>
      <c r="M172" s="4"/>
    </row>
    <row r="173" spans="1:13" x14ac:dyDescent="0.25">
      <c r="A173" s="4"/>
      <c r="B173" s="4"/>
      <c r="C173" s="4"/>
      <c r="D173" s="2"/>
      <c r="E173" s="4"/>
      <c r="F173" s="4"/>
      <c r="G173" s="2"/>
      <c r="H173" s="4"/>
      <c r="I173" s="4"/>
      <c r="J173" s="4"/>
      <c r="K173" s="15"/>
      <c r="L173" s="4"/>
      <c r="M173" s="4"/>
    </row>
    <row r="174" spans="1:13" x14ac:dyDescent="0.25">
      <c r="A174" s="4"/>
      <c r="B174" s="4"/>
      <c r="C174" s="4"/>
      <c r="D174" s="2"/>
      <c r="E174" s="4"/>
      <c r="F174" s="4"/>
      <c r="G174" s="2"/>
      <c r="H174" s="4"/>
      <c r="I174" s="4"/>
      <c r="J174" s="4"/>
      <c r="K174" s="15"/>
      <c r="L174" s="4"/>
      <c r="M174" s="4"/>
    </row>
    <row r="175" spans="1:13" x14ac:dyDescent="0.25">
      <c r="A175" s="4"/>
      <c r="B175" s="4"/>
      <c r="C175" s="4"/>
      <c r="D175" s="2"/>
      <c r="E175" s="4"/>
      <c r="F175" s="4"/>
      <c r="G175" s="2"/>
      <c r="H175" s="4"/>
      <c r="I175" s="4"/>
      <c r="J175" s="4"/>
      <c r="K175" s="15"/>
      <c r="L175" s="4"/>
      <c r="M175" s="4"/>
    </row>
    <row r="176" spans="1:13" x14ac:dyDescent="0.25">
      <c r="A176" s="4"/>
      <c r="B176" s="4"/>
      <c r="C176" s="4"/>
      <c r="D176" s="2"/>
      <c r="E176" s="4"/>
      <c r="F176" s="4"/>
      <c r="G176" s="2"/>
      <c r="H176" s="4"/>
      <c r="I176" s="4"/>
      <c r="J176" s="4"/>
      <c r="K176" s="15"/>
      <c r="L176" s="4"/>
      <c r="M176" s="4"/>
    </row>
    <row r="177" spans="1:13" x14ac:dyDescent="0.25">
      <c r="A177" s="4"/>
      <c r="B177" s="4"/>
      <c r="C177" s="4"/>
      <c r="D177" s="2"/>
      <c r="E177" s="4"/>
      <c r="F177" s="4"/>
      <c r="G177" s="2"/>
      <c r="H177" s="4"/>
      <c r="I177" s="4"/>
      <c r="J177" s="4"/>
      <c r="K177" s="15"/>
      <c r="L177" s="4"/>
      <c r="M177" s="4"/>
    </row>
    <row r="178" spans="1:13" x14ac:dyDescent="0.25">
      <c r="A178" s="4"/>
      <c r="B178" s="4"/>
      <c r="C178" s="4"/>
      <c r="D178" s="2"/>
      <c r="E178" s="4"/>
      <c r="F178" s="4"/>
      <c r="G178" s="2"/>
      <c r="H178" s="4"/>
      <c r="I178" s="4"/>
      <c r="J178" s="4"/>
      <c r="K178" s="15"/>
      <c r="L178" s="4"/>
      <c r="M178" s="4"/>
    </row>
    <row r="179" spans="1:13" x14ac:dyDescent="0.25">
      <c r="A179" s="4"/>
      <c r="B179" s="4"/>
      <c r="C179" s="4"/>
      <c r="D179" s="2"/>
      <c r="E179" s="4"/>
      <c r="F179" s="4"/>
      <c r="G179" s="2"/>
      <c r="H179" s="4"/>
      <c r="I179" s="4"/>
      <c r="J179" s="4"/>
      <c r="K179" s="15"/>
      <c r="L179" s="4"/>
      <c r="M179" s="4"/>
    </row>
    <row r="180" spans="1:13" x14ac:dyDescent="0.25">
      <c r="A180" s="4"/>
      <c r="B180" s="4"/>
      <c r="C180" s="4"/>
      <c r="D180" s="2"/>
      <c r="E180" s="4"/>
      <c r="F180" s="4"/>
      <c r="G180" s="2"/>
      <c r="H180" s="4"/>
      <c r="I180" s="4"/>
      <c r="J180" s="4"/>
      <c r="K180" s="15"/>
      <c r="L180" s="4"/>
      <c r="M180" s="4"/>
    </row>
    <row r="181" spans="1:13" x14ac:dyDescent="0.25">
      <c r="A181" s="4"/>
      <c r="B181" s="4"/>
      <c r="C181" s="4"/>
      <c r="D181" s="2"/>
      <c r="E181" s="4"/>
      <c r="F181" s="4"/>
      <c r="G181" s="2"/>
      <c r="H181" s="4"/>
      <c r="I181" s="4"/>
      <c r="J181" s="4"/>
      <c r="K181" s="15"/>
      <c r="L181" s="4"/>
      <c r="M181" s="4"/>
    </row>
    <row r="182" spans="1:13" x14ac:dyDescent="0.25">
      <c r="A182" s="4"/>
      <c r="B182" s="4"/>
      <c r="C182" s="4"/>
      <c r="D182" s="2"/>
      <c r="E182" s="4"/>
      <c r="F182" s="4"/>
      <c r="G182" s="2"/>
      <c r="H182" s="4"/>
      <c r="I182" s="4"/>
      <c r="J182" s="4"/>
      <c r="K182" s="15"/>
      <c r="L182" s="4"/>
      <c r="M182" s="4"/>
    </row>
    <row r="183" spans="1:13" x14ac:dyDescent="0.25">
      <c r="A183" s="4"/>
      <c r="B183" s="4"/>
      <c r="C183" s="4"/>
      <c r="D183" s="2"/>
      <c r="E183" s="4"/>
      <c r="F183" s="4"/>
      <c r="G183" s="2"/>
      <c r="H183" s="4"/>
      <c r="I183" s="4"/>
      <c r="J183" s="4"/>
      <c r="K183" s="15"/>
      <c r="L183" s="4"/>
      <c r="M183" s="4"/>
    </row>
    <row r="184" spans="1:13" x14ac:dyDescent="0.25">
      <c r="A184" s="4"/>
      <c r="B184" s="4"/>
      <c r="C184" s="4"/>
      <c r="D184" s="2"/>
      <c r="E184" s="4"/>
      <c r="F184" s="4"/>
      <c r="G184" s="2"/>
      <c r="H184" s="4"/>
      <c r="I184" s="4"/>
      <c r="J184" s="4"/>
      <c r="K184" s="15"/>
      <c r="L184" s="4"/>
      <c r="M184" s="4"/>
    </row>
    <row r="185" spans="1:13" x14ac:dyDescent="0.25">
      <c r="A185" s="4"/>
      <c r="B185" s="4"/>
      <c r="C185" s="4"/>
      <c r="D185" s="2"/>
      <c r="E185" s="4"/>
      <c r="F185" s="4"/>
      <c r="G185" s="2"/>
      <c r="H185" s="4"/>
      <c r="I185" s="4"/>
      <c r="J185" s="4"/>
      <c r="K185" s="15"/>
      <c r="L185" s="4"/>
      <c r="M185" s="4"/>
    </row>
    <row r="186" spans="1:13" x14ac:dyDescent="0.25">
      <c r="A186" s="4"/>
      <c r="B186" s="4"/>
      <c r="C186" s="4"/>
      <c r="D186" s="2"/>
      <c r="E186" s="4"/>
      <c r="F186" s="4"/>
      <c r="G186" s="2"/>
      <c r="H186" s="4"/>
      <c r="I186" s="4"/>
      <c r="J186" s="4"/>
      <c r="K186" s="15"/>
      <c r="L186" s="4"/>
      <c r="M186" s="4"/>
    </row>
    <row r="187" spans="1:13" x14ac:dyDescent="0.25">
      <c r="A187" s="4"/>
      <c r="B187" s="4"/>
      <c r="C187" s="4"/>
      <c r="D187" s="2"/>
      <c r="E187" s="4"/>
      <c r="F187" s="4"/>
      <c r="G187" s="2"/>
      <c r="H187" s="4"/>
      <c r="I187" s="4"/>
      <c r="J187" s="4"/>
      <c r="K187" s="15"/>
      <c r="L187" s="4"/>
      <c r="M187" s="4"/>
    </row>
    <row r="188" spans="1:13" x14ac:dyDescent="0.25">
      <c r="A188" s="4"/>
      <c r="B188" s="4"/>
      <c r="C188" s="4"/>
      <c r="D188" s="2"/>
      <c r="E188" s="4"/>
      <c r="F188" s="4"/>
      <c r="G188" s="2"/>
      <c r="H188" s="4"/>
      <c r="I188" s="4"/>
      <c r="J188" s="4"/>
      <c r="K188" s="15"/>
      <c r="L188" s="4"/>
      <c r="M188" s="4"/>
    </row>
    <row r="189" spans="1:13" x14ac:dyDescent="0.25">
      <c r="A189" s="4"/>
      <c r="B189" s="4"/>
      <c r="C189" s="4"/>
      <c r="D189" s="2"/>
      <c r="E189" s="4"/>
      <c r="F189" s="4"/>
      <c r="G189" s="2"/>
      <c r="H189" s="4"/>
      <c r="I189" s="4"/>
      <c r="J189" s="4"/>
      <c r="K189" s="15"/>
      <c r="L189" s="4"/>
      <c r="M189" s="4"/>
    </row>
    <row r="190" spans="1:13" x14ac:dyDescent="0.25">
      <c r="A190" s="4"/>
      <c r="B190" s="4"/>
      <c r="C190" s="4"/>
      <c r="D190" s="2"/>
      <c r="E190" s="4"/>
      <c r="F190" s="4"/>
      <c r="G190" s="2"/>
      <c r="H190" s="4"/>
      <c r="I190" s="4"/>
      <c r="J190" s="4"/>
      <c r="K190" s="15"/>
      <c r="L190" s="4"/>
      <c r="M190" s="4"/>
    </row>
    <row r="191" spans="1:13" x14ac:dyDescent="0.25">
      <c r="A191" s="4"/>
      <c r="B191" s="4"/>
      <c r="C191" s="4"/>
      <c r="D191" s="2"/>
      <c r="E191" s="4"/>
      <c r="F191" s="4"/>
      <c r="G191" s="2"/>
      <c r="H191" s="4"/>
      <c r="I191" s="4"/>
      <c r="J191" s="4"/>
      <c r="K191" s="15"/>
      <c r="L191" s="4"/>
      <c r="M191" s="4"/>
    </row>
    <row r="192" spans="1:13" x14ac:dyDescent="0.25">
      <c r="A192" s="4"/>
      <c r="B192" s="4"/>
      <c r="C192" s="4"/>
      <c r="D192" s="2"/>
      <c r="E192" s="4"/>
      <c r="F192" s="4"/>
      <c r="G192" s="2"/>
      <c r="H192" s="4"/>
      <c r="I192" s="4"/>
      <c r="J192" s="4"/>
      <c r="K192" s="15"/>
      <c r="L192" s="4"/>
      <c r="M192" s="4"/>
    </row>
    <row r="193" spans="1:13" x14ac:dyDescent="0.25">
      <c r="A193" s="4"/>
      <c r="B193" s="4"/>
      <c r="C193" s="4"/>
      <c r="D193" s="2"/>
      <c r="E193" s="4"/>
      <c r="F193" s="4"/>
      <c r="G193" s="2"/>
      <c r="H193" s="4"/>
      <c r="I193" s="4"/>
      <c r="J193" s="4"/>
      <c r="K193" s="15"/>
      <c r="L193" s="4"/>
      <c r="M193" s="4"/>
    </row>
    <row r="194" spans="1:13" x14ac:dyDescent="0.25">
      <c r="A194" s="4"/>
      <c r="B194" s="4"/>
      <c r="C194" s="4"/>
      <c r="D194" s="2"/>
      <c r="E194" s="4"/>
      <c r="F194" s="4"/>
      <c r="G194" s="2"/>
      <c r="H194" s="4"/>
      <c r="I194" s="4"/>
      <c r="J194" s="4"/>
      <c r="K194" s="15"/>
      <c r="L194" s="4"/>
      <c r="M194" s="4"/>
    </row>
    <row r="195" spans="1:13" x14ac:dyDescent="0.25">
      <c r="A195" s="4"/>
      <c r="B195" s="4"/>
      <c r="C195" s="4"/>
      <c r="D195" s="2"/>
      <c r="E195" s="4"/>
      <c r="F195" s="4"/>
      <c r="G195" s="2"/>
      <c r="H195" s="4"/>
      <c r="I195" s="4"/>
      <c r="J195" s="4"/>
      <c r="K195" s="15"/>
      <c r="L195" s="4"/>
      <c r="M195" s="4"/>
    </row>
    <row r="196" spans="1:13" x14ac:dyDescent="0.25">
      <c r="A196" s="4"/>
      <c r="B196" s="4"/>
      <c r="C196" s="4"/>
      <c r="D196" s="2"/>
      <c r="E196" s="4"/>
      <c r="F196" s="4"/>
      <c r="G196" s="2"/>
      <c r="H196" s="4"/>
      <c r="I196" s="4"/>
      <c r="J196" s="4"/>
      <c r="K196" s="15"/>
      <c r="L196" s="4"/>
      <c r="M196" s="4"/>
    </row>
    <row r="197" spans="1:13" x14ac:dyDescent="0.25">
      <c r="A197" s="4"/>
      <c r="B197" s="4"/>
      <c r="C197" s="4"/>
      <c r="D197" s="2"/>
      <c r="E197" s="4"/>
      <c r="F197" s="4"/>
      <c r="G197" s="2"/>
      <c r="H197" s="4"/>
      <c r="I197" s="4"/>
      <c r="J197" s="4"/>
      <c r="K197" s="15"/>
      <c r="L197" s="4"/>
      <c r="M197" s="4"/>
    </row>
    <row r="198" spans="1:13" x14ac:dyDescent="0.25">
      <c r="A198" s="4"/>
      <c r="B198" s="4"/>
      <c r="C198" s="4"/>
      <c r="D198" s="2"/>
      <c r="E198" s="4"/>
      <c r="F198" s="4"/>
      <c r="G198" s="2"/>
      <c r="H198" s="4"/>
      <c r="I198" s="4"/>
      <c r="J198" s="4"/>
      <c r="K198" s="15"/>
      <c r="L198" s="4"/>
      <c r="M198" s="4"/>
    </row>
    <row r="199" spans="1:13" x14ac:dyDescent="0.25">
      <c r="A199" s="4"/>
      <c r="B199" s="4"/>
      <c r="C199" s="4"/>
      <c r="D199" s="2"/>
      <c r="E199" s="4"/>
      <c r="F199" s="4"/>
      <c r="G199" s="2"/>
      <c r="H199" s="4"/>
      <c r="I199" s="4"/>
      <c r="J199" s="4"/>
      <c r="K199" s="15"/>
      <c r="L199" s="4"/>
      <c r="M199" s="4"/>
    </row>
    <row r="200" spans="1:13" x14ac:dyDescent="0.25">
      <c r="A200" s="4"/>
      <c r="B200" s="4"/>
      <c r="C200" s="4"/>
      <c r="D200" s="2"/>
      <c r="E200" s="4"/>
      <c r="F200" s="4"/>
      <c r="G200" s="2"/>
      <c r="H200" s="4"/>
      <c r="I200" s="4"/>
      <c r="J200" s="4"/>
      <c r="K200" s="15"/>
      <c r="L200" s="4"/>
      <c r="M200" s="4"/>
    </row>
    <row r="201" spans="1:13" x14ac:dyDescent="0.25">
      <c r="A201" s="4"/>
      <c r="B201" s="4"/>
      <c r="C201" s="4"/>
      <c r="D201" s="2"/>
      <c r="E201" s="4"/>
      <c r="F201" s="4"/>
      <c r="G201" s="2"/>
      <c r="H201" s="4"/>
      <c r="I201" s="4"/>
      <c r="J201" s="4"/>
      <c r="K201" s="15"/>
      <c r="L201" s="4"/>
      <c r="M201" s="4"/>
    </row>
    <row r="202" spans="1:13" x14ac:dyDescent="0.25">
      <c r="A202" s="4"/>
      <c r="B202" s="4"/>
      <c r="C202" s="4"/>
      <c r="D202" s="2"/>
      <c r="E202" s="4"/>
      <c r="F202" s="4"/>
      <c r="G202" s="2"/>
      <c r="H202" s="4"/>
      <c r="I202" s="4"/>
      <c r="J202" s="4"/>
      <c r="K202" s="15"/>
      <c r="L202" s="4"/>
      <c r="M202" s="4"/>
    </row>
    <row r="203" spans="1:13" x14ac:dyDescent="0.25">
      <c r="A203" s="4"/>
      <c r="B203" s="4"/>
      <c r="C203" s="4"/>
      <c r="D203" s="2"/>
      <c r="E203" s="4"/>
      <c r="F203" s="4"/>
      <c r="G203" s="2"/>
      <c r="H203" s="4"/>
      <c r="I203" s="4"/>
      <c r="J203" s="4"/>
      <c r="K203" s="15"/>
      <c r="L203" s="4"/>
      <c r="M203" s="4"/>
    </row>
    <row r="204" spans="1:13" x14ac:dyDescent="0.25">
      <c r="A204" s="4"/>
      <c r="B204" s="4"/>
      <c r="C204" s="4"/>
      <c r="D204" s="2"/>
      <c r="E204" s="4"/>
      <c r="F204" s="4"/>
      <c r="G204" s="2"/>
      <c r="H204" s="4"/>
      <c r="I204" s="4"/>
      <c r="J204" s="4"/>
      <c r="K204" s="15"/>
      <c r="L204" s="4"/>
      <c r="M204" s="4"/>
    </row>
    <row r="205" spans="1:13" x14ac:dyDescent="0.25">
      <c r="A205" s="4"/>
      <c r="B205" s="4"/>
      <c r="C205" s="4"/>
      <c r="D205" s="2"/>
      <c r="E205" s="4"/>
      <c r="F205" s="4"/>
      <c r="G205" s="2"/>
      <c r="H205" s="4"/>
      <c r="I205" s="4"/>
      <c r="J205" s="4"/>
      <c r="K205" s="15"/>
      <c r="L205" s="4"/>
      <c r="M205" s="4"/>
    </row>
    <row r="206" spans="1:13" x14ac:dyDescent="0.25">
      <c r="A206" s="4"/>
      <c r="B206" s="4"/>
      <c r="C206" s="4"/>
      <c r="D206" s="2"/>
      <c r="E206" s="4"/>
      <c r="F206" s="4"/>
      <c r="G206" s="2"/>
      <c r="H206" s="4"/>
      <c r="I206" s="4"/>
      <c r="J206" s="4"/>
      <c r="K206" s="15"/>
      <c r="L206" s="4"/>
      <c r="M206" s="4"/>
    </row>
    <row r="207" spans="1:13" x14ac:dyDescent="0.25">
      <c r="A207" s="4"/>
      <c r="B207" s="4"/>
      <c r="C207" s="4"/>
      <c r="D207" s="2"/>
      <c r="E207" s="4"/>
      <c r="F207" s="4"/>
      <c r="G207" s="2"/>
      <c r="H207" s="4"/>
      <c r="I207" s="4"/>
      <c r="J207" s="4"/>
      <c r="K207" s="15"/>
      <c r="L207" s="4"/>
      <c r="M207" s="4"/>
    </row>
    <row r="208" spans="1:13" x14ac:dyDescent="0.25">
      <c r="A208" s="4"/>
      <c r="B208" s="4"/>
      <c r="C208" s="4"/>
      <c r="D208" s="2"/>
      <c r="E208" s="4"/>
      <c r="F208" s="4"/>
      <c r="G208" s="2"/>
      <c r="H208" s="4"/>
      <c r="I208" s="4"/>
      <c r="J208" s="4"/>
      <c r="K208" s="15"/>
      <c r="L208" s="4"/>
      <c r="M208" s="4"/>
    </row>
    <row r="209" spans="1:13" x14ac:dyDescent="0.25">
      <c r="A209" s="4"/>
      <c r="B209" s="4"/>
      <c r="C209" s="4"/>
      <c r="D209" s="2"/>
      <c r="E209" s="4"/>
      <c r="F209" s="4"/>
      <c r="G209" s="2"/>
      <c r="H209" s="4"/>
      <c r="I209" s="4"/>
      <c r="J209" s="4"/>
      <c r="K209" s="15"/>
      <c r="L209" s="4"/>
      <c r="M209" s="4"/>
    </row>
    <row r="210" spans="1:13" x14ac:dyDescent="0.25">
      <c r="A210" s="4"/>
      <c r="B210" s="4"/>
      <c r="C210" s="4"/>
      <c r="D210" s="2"/>
      <c r="E210" s="4"/>
      <c r="F210" s="4"/>
      <c r="G210" s="2"/>
      <c r="H210" s="4"/>
      <c r="I210" s="4"/>
      <c r="J210" s="4"/>
      <c r="K210" s="15"/>
      <c r="L210" s="4"/>
      <c r="M210" s="4"/>
    </row>
    <row r="211" spans="1:13" x14ac:dyDescent="0.25">
      <c r="A211" s="4"/>
      <c r="B211" s="4"/>
      <c r="C211" s="4"/>
      <c r="D211" s="2"/>
      <c r="E211" s="4"/>
      <c r="F211" s="4"/>
      <c r="G211" s="2"/>
      <c r="H211" s="4"/>
      <c r="I211" s="4"/>
      <c r="J211" s="4"/>
      <c r="K211" s="15"/>
      <c r="L211" s="4"/>
      <c r="M211" s="4"/>
    </row>
    <row r="212" spans="1:13" x14ac:dyDescent="0.25">
      <c r="A212" s="4"/>
      <c r="B212" s="4"/>
      <c r="C212" s="4"/>
      <c r="D212" s="2"/>
      <c r="E212" s="4"/>
      <c r="F212" s="4"/>
      <c r="G212" s="2"/>
      <c r="H212" s="4"/>
      <c r="I212" s="4"/>
      <c r="J212" s="4"/>
      <c r="K212" s="15"/>
      <c r="L212" s="4"/>
      <c r="M212" s="4"/>
    </row>
    <row r="213" spans="1:13" x14ac:dyDescent="0.25">
      <c r="A213" s="4"/>
      <c r="B213" s="4"/>
      <c r="C213" s="4"/>
      <c r="D213" s="2"/>
      <c r="E213" s="4"/>
      <c r="F213" s="4"/>
      <c r="G213" s="2"/>
      <c r="H213" s="4"/>
      <c r="I213" s="4"/>
      <c r="J213" s="4"/>
      <c r="K213" s="15"/>
      <c r="L213" s="4"/>
      <c r="M213" s="4"/>
    </row>
    <row r="214" spans="1:13" x14ac:dyDescent="0.25">
      <c r="A214" s="4"/>
      <c r="B214" s="4"/>
      <c r="C214" s="4"/>
      <c r="D214" s="2"/>
      <c r="E214" s="4"/>
      <c r="F214" s="4"/>
      <c r="G214" s="2"/>
      <c r="H214" s="4"/>
      <c r="I214" s="4"/>
      <c r="J214" s="4"/>
      <c r="K214" s="15"/>
      <c r="L214" s="4"/>
      <c r="M214" s="4"/>
    </row>
    <row r="215" spans="1:13" x14ac:dyDescent="0.25">
      <c r="A215" s="4"/>
      <c r="B215" s="4"/>
      <c r="C215" s="4"/>
      <c r="D215" s="2"/>
      <c r="E215" s="4"/>
      <c r="F215" s="4"/>
      <c r="G215" s="2"/>
      <c r="H215" s="4"/>
      <c r="I215" s="4"/>
      <c r="J215" s="4"/>
      <c r="K215" s="15"/>
      <c r="L215" s="4"/>
      <c r="M215" s="4"/>
    </row>
    <row r="216" spans="1:13" x14ac:dyDescent="0.25">
      <c r="A216" s="4"/>
      <c r="B216" s="4"/>
      <c r="C216" s="4"/>
      <c r="D216" s="2"/>
      <c r="E216" s="4"/>
      <c r="F216" s="4"/>
      <c r="G216" s="2"/>
      <c r="H216" s="4"/>
      <c r="I216" s="4"/>
      <c r="J216" s="4"/>
      <c r="K216" s="15"/>
      <c r="L216" s="4"/>
      <c r="M216" s="4"/>
    </row>
    <row r="217" spans="1:13" x14ac:dyDescent="0.25">
      <c r="A217" s="4"/>
      <c r="B217" s="4"/>
      <c r="C217" s="4"/>
      <c r="D217" s="2"/>
      <c r="E217" s="4"/>
      <c r="F217" s="4"/>
      <c r="G217" s="2"/>
      <c r="H217" s="4"/>
      <c r="I217" s="4"/>
      <c r="J217" s="4"/>
      <c r="K217" s="15"/>
      <c r="L217" s="4"/>
      <c r="M217" s="4"/>
    </row>
    <row r="218" spans="1:13" x14ac:dyDescent="0.25">
      <c r="A218" s="4"/>
      <c r="B218" s="4"/>
      <c r="C218" s="4"/>
      <c r="D218" s="2"/>
      <c r="E218" s="4"/>
      <c r="F218" s="4"/>
      <c r="G218" s="2"/>
      <c r="H218" s="4"/>
      <c r="I218" s="4"/>
      <c r="J218" s="4"/>
      <c r="K218" s="15"/>
      <c r="L218" s="4"/>
      <c r="M218" s="4"/>
    </row>
    <row r="219" spans="1:13" x14ac:dyDescent="0.25">
      <c r="A219" s="4"/>
      <c r="B219" s="4"/>
      <c r="C219" s="4"/>
      <c r="D219" s="2"/>
      <c r="E219" s="4"/>
      <c r="F219" s="4"/>
      <c r="G219" s="2"/>
      <c r="H219" s="4"/>
      <c r="I219" s="4"/>
      <c r="J219" s="4"/>
      <c r="K219" s="15"/>
      <c r="L219" s="4"/>
      <c r="M219" s="4"/>
    </row>
    <row r="220" spans="1:13" x14ac:dyDescent="0.25">
      <c r="A220" s="4"/>
      <c r="B220" s="4"/>
      <c r="C220" s="4"/>
      <c r="D220" s="2"/>
      <c r="E220" s="4"/>
      <c r="F220" s="4"/>
      <c r="G220" s="2"/>
      <c r="H220" s="4"/>
      <c r="I220" s="4"/>
      <c r="J220" s="4"/>
      <c r="K220" s="15"/>
      <c r="L220" s="4"/>
      <c r="M220" s="4"/>
    </row>
    <row r="221" spans="1:13" x14ac:dyDescent="0.25">
      <c r="A221" s="4"/>
      <c r="B221" s="4"/>
      <c r="C221" s="4"/>
      <c r="D221" s="2"/>
      <c r="E221" s="4"/>
      <c r="F221" s="4"/>
      <c r="G221" s="2"/>
      <c r="H221" s="4"/>
      <c r="I221" s="4"/>
      <c r="J221" s="4"/>
      <c r="K221" s="15"/>
      <c r="L221" s="4"/>
      <c r="M221" s="4"/>
    </row>
    <row r="222" spans="1:13" x14ac:dyDescent="0.25">
      <c r="A222" s="4"/>
      <c r="B222" s="4"/>
      <c r="C222" s="4"/>
      <c r="D222" s="2"/>
      <c r="E222" s="4"/>
      <c r="F222" s="4"/>
      <c r="G222" s="2"/>
      <c r="H222" s="4"/>
      <c r="I222" s="4"/>
      <c r="J222" s="4"/>
      <c r="K222" s="15"/>
      <c r="L222" s="4"/>
      <c r="M222" s="4"/>
    </row>
    <row r="223" spans="1:13" x14ac:dyDescent="0.25">
      <c r="A223" s="4"/>
      <c r="B223" s="4"/>
      <c r="C223" s="4"/>
      <c r="D223" s="2"/>
      <c r="E223" s="4"/>
      <c r="F223" s="4"/>
      <c r="G223" s="2"/>
      <c r="H223" s="4"/>
      <c r="I223" s="4"/>
      <c r="J223" s="4"/>
      <c r="K223" s="15"/>
      <c r="L223" s="4"/>
      <c r="M223" s="4"/>
    </row>
    <row r="224" spans="1:13" x14ac:dyDescent="0.25">
      <c r="A224" s="4"/>
      <c r="B224" s="4"/>
      <c r="C224" s="4"/>
      <c r="D224" s="2"/>
      <c r="E224" s="4"/>
      <c r="F224" s="4"/>
      <c r="G224" s="2"/>
      <c r="H224" s="4"/>
      <c r="I224" s="4"/>
      <c r="J224" s="4"/>
      <c r="K224" s="15"/>
      <c r="L224" s="4"/>
      <c r="M224" s="4"/>
    </row>
    <row r="225" spans="1:13" x14ac:dyDescent="0.25">
      <c r="A225" s="4"/>
      <c r="B225" s="4"/>
      <c r="C225" s="4"/>
      <c r="D225" s="2"/>
      <c r="E225" s="4"/>
      <c r="F225" s="4"/>
      <c r="G225" s="2"/>
      <c r="H225" s="4"/>
      <c r="I225" s="4"/>
      <c r="J225" s="4"/>
      <c r="K225" s="15"/>
      <c r="L225" s="4"/>
      <c r="M225" s="4"/>
    </row>
    <row r="226" spans="1:13" x14ac:dyDescent="0.25">
      <c r="A226" s="4"/>
      <c r="B226" s="4"/>
      <c r="C226" s="4"/>
      <c r="D226" s="2"/>
      <c r="E226" s="4"/>
      <c r="F226" s="4"/>
      <c r="G226" s="2"/>
      <c r="H226" s="4"/>
      <c r="I226" s="4"/>
      <c r="J226" s="4"/>
      <c r="K226" s="15"/>
      <c r="L226" s="4"/>
      <c r="M226" s="4"/>
    </row>
    <row r="227" spans="1:13" x14ac:dyDescent="0.25">
      <c r="A227" s="4"/>
      <c r="B227" s="4"/>
      <c r="C227" s="4"/>
      <c r="D227" s="2"/>
      <c r="E227" s="4"/>
      <c r="F227" s="4"/>
      <c r="G227" s="2"/>
      <c r="H227" s="4"/>
      <c r="I227" s="4"/>
      <c r="J227" s="4"/>
      <c r="K227" s="15"/>
      <c r="L227" s="4"/>
      <c r="M227" s="4"/>
    </row>
    <row r="228" spans="1:13" x14ac:dyDescent="0.25">
      <c r="A228" s="4"/>
      <c r="B228" s="4"/>
      <c r="C228" s="4"/>
      <c r="D228" s="2"/>
      <c r="E228" s="4"/>
      <c r="F228" s="4"/>
      <c r="G228" s="2"/>
      <c r="H228" s="4"/>
      <c r="I228" s="4"/>
      <c r="J228" s="4"/>
      <c r="K228" s="15"/>
      <c r="L228" s="4"/>
      <c r="M228" s="4"/>
    </row>
    <row r="229" spans="1:13" x14ac:dyDescent="0.25">
      <c r="A229" s="4"/>
      <c r="B229" s="4"/>
      <c r="C229" s="4"/>
      <c r="D229" s="2"/>
      <c r="E229" s="4"/>
      <c r="F229" s="4"/>
      <c r="G229" s="2"/>
      <c r="H229" s="4"/>
      <c r="I229" s="4"/>
      <c r="J229" s="4"/>
      <c r="K229" s="15"/>
      <c r="L229" s="4"/>
      <c r="M229" s="4"/>
    </row>
    <row r="230" spans="1:13" x14ac:dyDescent="0.25">
      <c r="A230" s="4"/>
      <c r="B230" s="4"/>
      <c r="C230" s="4"/>
      <c r="D230" s="2"/>
      <c r="E230" s="4"/>
      <c r="F230" s="4"/>
      <c r="G230" s="2"/>
      <c r="H230" s="4"/>
      <c r="I230" s="4"/>
      <c r="J230" s="4"/>
      <c r="K230" s="15"/>
      <c r="L230" s="4"/>
      <c r="M230" s="4"/>
    </row>
    <row r="231" spans="1:13" x14ac:dyDescent="0.25">
      <c r="A231" s="4"/>
      <c r="B231" s="4"/>
      <c r="C231" s="4"/>
      <c r="D231" s="2"/>
      <c r="E231" s="4"/>
      <c r="F231" s="4"/>
      <c r="G231" s="2"/>
      <c r="H231" s="4"/>
      <c r="I231" s="4"/>
      <c r="J231" s="4"/>
      <c r="K231" s="15"/>
      <c r="L231" s="4"/>
      <c r="M231" s="4"/>
    </row>
    <row r="232" spans="1:13" x14ac:dyDescent="0.25">
      <c r="A232" s="4"/>
      <c r="B232" s="4"/>
      <c r="C232" s="4"/>
      <c r="D232" s="2"/>
      <c r="E232" s="4"/>
      <c r="F232" s="4"/>
      <c r="G232" s="2"/>
      <c r="H232" s="4"/>
      <c r="I232" s="4"/>
      <c r="J232" s="4"/>
      <c r="K232" s="15"/>
      <c r="L232" s="4"/>
      <c r="M232" s="4"/>
    </row>
    <row r="233" spans="1:13" x14ac:dyDescent="0.25">
      <c r="A233" s="4"/>
      <c r="B233" s="4"/>
      <c r="C233" s="4"/>
      <c r="D233" s="2"/>
      <c r="E233" s="4"/>
      <c r="F233" s="4"/>
      <c r="G233" s="2"/>
      <c r="H233" s="4"/>
      <c r="I233" s="4"/>
      <c r="J233" s="4"/>
      <c r="K233" s="15"/>
      <c r="L233" s="4"/>
      <c r="M233" s="4"/>
    </row>
    <row r="234" spans="1:13" x14ac:dyDescent="0.25">
      <c r="A234" s="4"/>
      <c r="B234" s="4"/>
      <c r="C234" s="4"/>
      <c r="D234" s="2"/>
      <c r="E234" s="4"/>
      <c r="F234" s="4"/>
      <c r="G234" s="2"/>
      <c r="H234" s="4"/>
      <c r="I234" s="4"/>
      <c r="J234" s="4"/>
      <c r="K234" s="15"/>
      <c r="L234" s="4"/>
      <c r="M234" s="4"/>
    </row>
    <row r="235" spans="1:13" x14ac:dyDescent="0.25">
      <c r="A235" s="4"/>
      <c r="B235" s="4"/>
      <c r="C235" s="4"/>
      <c r="D235" s="2"/>
      <c r="E235" s="4"/>
      <c r="F235" s="4"/>
      <c r="G235" s="2"/>
      <c r="H235" s="4"/>
      <c r="I235" s="4"/>
      <c r="J235" s="4"/>
      <c r="K235" s="15"/>
      <c r="L235" s="4"/>
      <c r="M235" s="4"/>
    </row>
    <row r="236" spans="1:13" x14ac:dyDescent="0.25">
      <c r="A236" s="4"/>
      <c r="B236" s="4"/>
      <c r="C236" s="4"/>
      <c r="D236" s="2"/>
      <c r="E236" s="4"/>
      <c r="F236" s="4"/>
      <c r="G236" s="2"/>
      <c r="H236" s="4"/>
      <c r="I236" s="4"/>
      <c r="J236" s="4"/>
      <c r="K236" s="15"/>
      <c r="L236" s="4"/>
      <c r="M236" s="4"/>
    </row>
    <row r="237" spans="1:13" x14ac:dyDescent="0.25">
      <c r="A237" s="4"/>
      <c r="B237" s="4"/>
      <c r="C237" s="4"/>
      <c r="D237" s="2"/>
      <c r="E237" s="4"/>
      <c r="F237" s="4"/>
      <c r="G237" s="2"/>
      <c r="H237" s="4"/>
      <c r="I237" s="4"/>
      <c r="J237" s="4"/>
      <c r="K237" s="15"/>
      <c r="L237" s="4"/>
      <c r="M237" s="4"/>
    </row>
    <row r="238" spans="1:13" x14ac:dyDescent="0.25">
      <c r="A238" s="4"/>
      <c r="B238" s="4"/>
      <c r="C238" s="4"/>
      <c r="D238" s="2"/>
      <c r="E238" s="4"/>
      <c r="F238" s="4"/>
      <c r="G238" s="2"/>
      <c r="H238" s="4"/>
      <c r="I238" s="4"/>
      <c r="J238" s="4"/>
      <c r="K238" s="15"/>
      <c r="L238" s="4"/>
      <c r="M238" s="4"/>
    </row>
    <row r="239" spans="1:13" x14ac:dyDescent="0.25">
      <c r="A239" s="4"/>
      <c r="B239" s="4"/>
      <c r="C239" s="4"/>
      <c r="D239" s="2"/>
      <c r="E239" s="4"/>
      <c r="F239" s="4"/>
      <c r="G239" s="2"/>
      <c r="H239" s="4"/>
      <c r="I239" s="4"/>
      <c r="J239" s="4"/>
      <c r="K239" s="15"/>
      <c r="L239" s="4"/>
      <c r="M239" s="4"/>
    </row>
    <row r="240" spans="1:13" x14ac:dyDescent="0.25">
      <c r="A240" s="4"/>
      <c r="B240" s="4"/>
      <c r="C240" s="4"/>
      <c r="D240" s="2"/>
      <c r="E240" s="4"/>
      <c r="F240" s="4"/>
      <c r="G240" s="2"/>
      <c r="H240" s="4"/>
      <c r="I240" s="4"/>
      <c r="J240" s="4"/>
      <c r="K240" s="15"/>
      <c r="L240" s="4"/>
      <c r="M240" s="4"/>
    </row>
    <row r="241" spans="1:13" x14ac:dyDescent="0.25">
      <c r="A241" s="4"/>
      <c r="B241" s="4"/>
      <c r="C241" s="4"/>
      <c r="D241" s="2"/>
      <c r="E241" s="4"/>
      <c r="F241" s="4"/>
      <c r="G241" s="2"/>
      <c r="H241" s="4"/>
      <c r="I241" s="4"/>
      <c r="J241" s="4"/>
      <c r="K241" s="15"/>
      <c r="L241" s="4"/>
      <c r="M241" s="4"/>
    </row>
    <row r="242" spans="1:13" x14ac:dyDescent="0.25">
      <c r="A242" s="4"/>
      <c r="B242" s="4"/>
      <c r="C242" s="4"/>
      <c r="D242" s="2"/>
      <c r="E242" s="4"/>
      <c r="F242" s="4"/>
      <c r="G242" s="2"/>
      <c r="H242" s="4"/>
      <c r="I242" s="4"/>
      <c r="J242" s="4"/>
      <c r="K242" s="15"/>
      <c r="L242" s="4"/>
      <c r="M242" s="4"/>
    </row>
    <row r="243" spans="1:13" x14ac:dyDescent="0.25">
      <c r="A243"/>
      <c r="B243"/>
      <c r="C243"/>
      <c r="D243" s="1"/>
      <c r="E243"/>
      <c r="F243"/>
      <c r="G243" s="1"/>
      <c r="H243"/>
      <c r="I243"/>
      <c r="J243"/>
      <c r="K243" s="12"/>
    </row>
    <row r="244" spans="1:13" x14ac:dyDescent="0.25">
      <c r="A244"/>
      <c r="B244"/>
      <c r="C244"/>
      <c r="D244" s="1"/>
      <c r="E244"/>
      <c r="F244"/>
      <c r="G244" s="1"/>
      <c r="H244"/>
      <c r="I244"/>
      <c r="J244"/>
      <c r="K244" s="12"/>
    </row>
    <row r="245" spans="1:13" x14ac:dyDescent="0.25">
      <c r="A245"/>
      <c r="B245"/>
      <c r="C245"/>
      <c r="D245" s="1"/>
      <c r="E245"/>
      <c r="F245"/>
      <c r="G245" s="1"/>
      <c r="H245"/>
      <c r="I245"/>
      <c r="J245"/>
      <c r="K245" s="12"/>
    </row>
    <row r="246" spans="1:13" x14ac:dyDescent="0.25">
      <c r="A246"/>
      <c r="B246"/>
      <c r="C246"/>
      <c r="D246" s="1"/>
      <c r="E246"/>
      <c r="F246"/>
      <c r="G246" s="1"/>
      <c r="H246"/>
      <c r="I246"/>
      <c r="J246"/>
      <c r="K246" s="12"/>
    </row>
    <row r="247" spans="1:13" x14ac:dyDescent="0.25">
      <c r="A247"/>
      <c r="B247"/>
      <c r="C247"/>
      <c r="D247" s="1"/>
      <c r="E247"/>
      <c r="F247"/>
      <c r="G247" s="1"/>
      <c r="H247"/>
      <c r="I247"/>
      <c r="J247"/>
      <c r="K247" s="12"/>
    </row>
    <row r="248" spans="1:13" x14ac:dyDescent="0.25">
      <c r="A248"/>
      <c r="B248"/>
      <c r="C248"/>
      <c r="D248" s="1"/>
      <c r="E248"/>
      <c r="F248"/>
      <c r="G248" s="1"/>
      <c r="H248"/>
      <c r="I248"/>
      <c r="J248"/>
      <c r="K248" s="12"/>
    </row>
    <row r="249" spans="1:13" x14ac:dyDescent="0.25">
      <c r="A249"/>
      <c r="B249"/>
      <c r="C249"/>
      <c r="D249" s="1"/>
      <c r="E249"/>
      <c r="F249"/>
      <c r="G249" s="1"/>
      <c r="H249"/>
      <c r="I249"/>
      <c r="J249"/>
      <c r="K249" s="12"/>
    </row>
    <row r="250" spans="1:13" x14ac:dyDescent="0.25">
      <c r="A250"/>
      <c r="B250"/>
      <c r="C250"/>
      <c r="D250" s="1"/>
      <c r="E250"/>
      <c r="F250"/>
      <c r="G250" s="1"/>
      <c r="H250"/>
      <c r="I250"/>
      <c r="J250"/>
      <c r="K250" s="12"/>
    </row>
    <row r="251" spans="1:13" x14ac:dyDescent="0.25">
      <c r="A251"/>
      <c r="B251"/>
      <c r="C251"/>
      <c r="D251" s="1"/>
      <c r="E251"/>
      <c r="F251"/>
      <c r="G251" s="1"/>
      <c r="H251"/>
      <c r="I251"/>
      <c r="J251"/>
      <c r="K251" s="12"/>
    </row>
    <row r="252" spans="1:13" x14ac:dyDescent="0.25">
      <c r="A252"/>
      <c r="B252"/>
      <c r="C252"/>
      <c r="D252" s="1"/>
      <c r="E252"/>
      <c r="F252"/>
      <c r="G252" s="1"/>
      <c r="H252"/>
      <c r="I252"/>
      <c r="J252"/>
      <c r="K252" s="12"/>
    </row>
    <row r="253" spans="1:13" x14ac:dyDescent="0.25">
      <c r="A253"/>
      <c r="B253"/>
      <c r="C253"/>
      <c r="D253" s="1"/>
      <c r="E253"/>
      <c r="F253"/>
      <c r="G253" s="1"/>
      <c r="H253"/>
      <c r="I253"/>
      <c r="J253"/>
      <c r="K253" s="12"/>
    </row>
    <row r="254" spans="1:13" x14ac:dyDescent="0.25">
      <c r="A254"/>
      <c r="B254"/>
      <c r="C254"/>
      <c r="D254" s="1"/>
      <c r="E254"/>
      <c r="F254"/>
      <c r="G254" s="1"/>
      <c r="H254"/>
      <c r="I254"/>
      <c r="J254"/>
      <c r="K254" s="12"/>
    </row>
    <row r="255" spans="1:13" x14ac:dyDescent="0.25">
      <c r="A255"/>
      <c r="B255"/>
      <c r="C255"/>
      <c r="D255" s="1"/>
      <c r="E255"/>
      <c r="F255"/>
      <c r="G255" s="1"/>
      <c r="H255"/>
      <c r="I255"/>
      <c r="J255"/>
      <c r="K255" s="12"/>
    </row>
    <row r="256" spans="1:13" x14ac:dyDescent="0.25">
      <c r="A256"/>
      <c r="B256"/>
      <c r="C256"/>
      <c r="D256" s="1"/>
      <c r="E256"/>
      <c r="F256"/>
      <c r="G256" s="1"/>
      <c r="H256"/>
      <c r="I256"/>
      <c r="J256"/>
      <c r="K256" s="12"/>
    </row>
    <row r="257" spans="1:11" x14ac:dyDescent="0.25">
      <c r="A257"/>
      <c r="B257"/>
      <c r="C257"/>
      <c r="D257" s="1"/>
      <c r="E257"/>
      <c r="F257"/>
      <c r="G257" s="1"/>
      <c r="H257"/>
      <c r="I257"/>
      <c r="J257"/>
      <c r="K257" s="12"/>
    </row>
    <row r="258" spans="1:11" x14ac:dyDescent="0.25">
      <c r="A258"/>
      <c r="B258"/>
      <c r="C258"/>
      <c r="D258" s="1"/>
      <c r="E258"/>
      <c r="F258"/>
      <c r="G258" s="1"/>
      <c r="H258"/>
      <c r="I258"/>
      <c r="J258"/>
      <c r="K258" s="12"/>
    </row>
    <row r="259" spans="1:11" x14ac:dyDescent="0.25">
      <c r="A259"/>
      <c r="B259"/>
      <c r="C259"/>
      <c r="D259" s="1"/>
      <c r="E259"/>
      <c r="F259"/>
      <c r="G259" s="1"/>
      <c r="H259"/>
      <c r="I259"/>
      <c r="J259"/>
      <c r="K259" s="12"/>
    </row>
    <row r="260" spans="1:11" x14ac:dyDescent="0.25">
      <c r="A260"/>
      <c r="B260"/>
      <c r="C260"/>
      <c r="D260" s="1"/>
      <c r="E260"/>
      <c r="F260"/>
      <c r="G260" s="1"/>
      <c r="H260"/>
      <c r="I260"/>
      <c r="J260"/>
      <c r="K260" s="12"/>
    </row>
    <row r="261" spans="1:11" x14ac:dyDescent="0.25">
      <c r="A261"/>
      <c r="B261"/>
      <c r="C261"/>
      <c r="D261" s="1"/>
      <c r="E261"/>
      <c r="F261"/>
      <c r="G261" s="1"/>
      <c r="H261"/>
      <c r="I261"/>
      <c r="J261"/>
      <c r="K261" s="12"/>
    </row>
    <row r="262" spans="1:11" x14ac:dyDescent="0.25">
      <c r="A262"/>
      <c r="B262"/>
      <c r="C262"/>
      <c r="D262" s="1"/>
      <c r="E262"/>
      <c r="F262"/>
      <c r="G262" s="1"/>
      <c r="H262"/>
      <c r="I262"/>
      <c r="J262"/>
      <c r="K262" s="12"/>
    </row>
    <row r="263" spans="1:11" x14ac:dyDescent="0.25">
      <c r="A263"/>
      <c r="B263"/>
      <c r="C263"/>
      <c r="D263" s="1"/>
      <c r="E263"/>
      <c r="F263"/>
      <c r="G263" s="1"/>
      <c r="H263"/>
      <c r="I263"/>
      <c r="J263"/>
      <c r="K263" s="12"/>
    </row>
    <row r="264" spans="1:11" x14ac:dyDescent="0.25">
      <c r="A264"/>
      <c r="B264"/>
      <c r="C264"/>
      <c r="D264" s="1"/>
      <c r="E264"/>
      <c r="F264"/>
      <c r="G264" s="1"/>
      <c r="H264"/>
      <c r="I264"/>
      <c r="J264"/>
      <c r="K264" s="12"/>
    </row>
    <row r="265" spans="1:11" x14ac:dyDescent="0.25">
      <c r="A265"/>
      <c r="B265"/>
      <c r="C265"/>
      <c r="D265" s="1"/>
      <c r="E265"/>
      <c r="F265"/>
      <c r="G265" s="1"/>
      <c r="H265"/>
      <c r="I265"/>
      <c r="J265"/>
      <c r="K265" s="12"/>
    </row>
    <row r="266" spans="1:11" x14ac:dyDescent="0.25">
      <c r="A266"/>
      <c r="B266"/>
      <c r="C266"/>
      <c r="D266" s="1"/>
      <c r="E266"/>
      <c r="F266"/>
      <c r="G266" s="1"/>
      <c r="H266"/>
      <c r="I266"/>
      <c r="J266"/>
      <c r="K266" s="12"/>
    </row>
    <row r="267" spans="1:11" x14ac:dyDescent="0.25">
      <c r="A267"/>
      <c r="B267"/>
      <c r="C267"/>
      <c r="D267" s="1"/>
      <c r="E267"/>
      <c r="F267"/>
      <c r="G267" s="1"/>
      <c r="H267"/>
      <c r="I267"/>
      <c r="J267"/>
      <c r="K267" s="12"/>
    </row>
    <row r="268" spans="1:11" x14ac:dyDescent="0.25">
      <c r="A268"/>
      <c r="B268"/>
      <c r="C268"/>
      <c r="D268" s="1"/>
      <c r="E268"/>
      <c r="F268"/>
      <c r="G268" s="1"/>
      <c r="H268"/>
      <c r="I268"/>
      <c r="J268"/>
      <c r="K268" s="12"/>
    </row>
    <row r="269" spans="1:11" x14ac:dyDescent="0.25">
      <c r="A269"/>
      <c r="B269"/>
      <c r="C269"/>
      <c r="D269" s="1"/>
      <c r="E269"/>
      <c r="F269"/>
      <c r="G269" s="1"/>
      <c r="H269"/>
      <c r="I269"/>
      <c r="J269"/>
      <c r="K269" s="12"/>
    </row>
    <row r="270" spans="1:11" x14ac:dyDescent="0.25">
      <c r="A270"/>
      <c r="B270"/>
      <c r="C270"/>
      <c r="D270" s="1"/>
      <c r="E270"/>
      <c r="F270"/>
      <c r="G270" s="1"/>
      <c r="H270"/>
      <c r="I270"/>
      <c r="J270"/>
      <c r="K270" s="12"/>
    </row>
    <row r="271" spans="1:11" x14ac:dyDescent="0.25">
      <c r="A271"/>
      <c r="B271"/>
      <c r="C271"/>
      <c r="D271" s="1"/>
      <c r="E271"/>
      <c r="F271"/>
      <c r="G271" s="1"/>
      <c r="H271"/>
      <c r="I271"/>
      <c r="J271"/>
      <c r="K271" s="12"/>
    </row>
    <row r="272" spans="1:11" x14ac:dyDescent="0.25">
      <c r="A272"/>
      <c r="B272"/>
      <c r="C272"/>
      <c r="D272" s="1"/>
      <c r="E272"/>
      <c r="F272"/>
      <c r="G272" s="1"/>
      <c r="H272"/>
      <c r="I272"/>
      <c r="J272"/>
      <c r="K272" s="12"/>
    </row>
    <row r="273" spans="1:11" x14ac:dyDescent="0.25">
      <c r="A273"/>
      <c r="B273"/>
      <c r="C273"/>
      <c r="D273" s="1"/>
      <c r="E273"/>
      <c r="F273"/>
      <c r="G273" s="1"/>
      <c r="H273"/>
      <c r="I273"/>
      <c r="J273"/>
      <c r="K273" s="12"/>
    </row>
    <row r="274" spans="1:11" x14ac:dyDescent="0.25">
      <c r="A274"/>
      <c r="B274"/>
      <c r="C274"/>
      <c r="D274" s="1"/>
      <c r="E274"/>
      <c r="F274"/>
      <c r="G274" s="1"/>
      <c r="H274"/>
      <c r="I274"/>
      <c r="J274"/>
      <c r="K274" s="12"/>
    </row>
    <row r="275" spans="1:11" x14ac:dyDescent="0.25">
      <c r="A275"/>
      <c r="B275"/>
      <c r="C275"/>
      <c r="D275" s="1"/>
      <c r="E275"/>
      <c r="F275"/>
      <c r="G275" s="1"/>
      <c r="H275"/>
      <c r="I275"/>
      <c r="J275"/>
      <c r="K275" s="12"/>
    </row>
    <row r="276" spans="1:11" x14ac:dyDescent="0.25">
      <c r="A276"/>
      <c r="B276"/>
      <c r="C276"/>
      <c r="D276" s="1"/>
      <c r="E276"/>
      <c r="F276"/>
      <c r="G276" s="1"/>
      <c r="H276"/>
      <c r="I276"/>
      <c r="J276"/>
      <c r="K276" s="12"/>
    </row>
    <row r="277" spans="1:11" x14ac:dyDescent="0.25">
      <c r="A277"/>
      <c r="B277"/>
      <c r="C277"/>
      <c r="D277" s="1"/>
      <c r="E277"/>
      <c r="F277"/>
      <c r="G277" s="1"/>
      <c r="H277"/>
      <c r="I277"/>
      <c r="J277"/>
      <c r="K277" s="12"/>
    </row>
    <row r="278" spans="1:11" x14ac:dyDescent="0.25">
      <c r="A278"/>
      <c r="B278"/>
      <c r="C278"/>
      <c r="D278" s="1"/>
      <c r="E278"/>
      <c r="F278"/>
      <c r="G278" s="1"/>
      <c r="H278"/>
      <c r="I278"/>
      <c r="J278"/>
      <c r="K278" s="12"/>
    </row>
    <row r="279" spans="1:11" x14ac:dyDescent="0.25">
      <c r="A279"/>
      <c r="B279"/>
      <c r="C279"/>
      <c r="D279" s="1"/>
      <c r="E279"/>
      <c r="F279"/>
      <c r="G279" s="1"/>
      <c r="H279"/>
      <c r="I279"/>
      <c r="J279"/>
      <c r="K279" s="12"/>
    </row>
    <row r="280" spans="1:11" x14ac:dyDescent="0.25">
      <c r="A280"/>
      <c r="B280"/>
      <c r="C280"/>
      <c r="D280" s="1"/>
      <c r="E280"/>
      <c r="F280"/>
      <c r="G280" s="1"/>
      <c r="H280"/>
      <c r="I280"/>
      <c r="J280"/>
      <c r="K280" s="12"/>
    </row>
    <row r="281" spans="1:11" x14ac:dyDescent="0.25">
      <c r="A281"/>
      <c r="B281"/>
      <c r="C281"/>
      <c r="D281" s="1"/>
      <c r="E281"/>
      <c r="F281"/>
      <c r="G281" s="1"/>
      <c r="H281"/>
      <c r="I281"/>
      <c r="J281"/>
      <c r="K281" s="12"/>
    </row>
    <row r="282" spans="1:11" x14ac:dyDescent="0.25">
      <c r="A282"/>
      <c r="B282"/>
      <c r="C282"/>
      <c r="D282" s="1"/>
      <c r="E282"/>
      <c r="F282"/>
      <c r="G282" s="1"/>
      <c r="H282"/>
      <c r="I282"/>
      <c r="J282"/>
      <c r="K282" s="12"/>
    </row>
    <row r="283" spans="1:11" x14ac:dyDescent="0.25">
      <c r="A283"/>
      <c r="B283"/>
      <c r="C283"/>
      <c r="D283" s="1"/>
      <c r="E283"/>
      <c r="F283"/>
      <c r="G283" s="1"/>
      <c r="H283"/>
      <c r="I283"/>
      <c r="J283"/>
      <c r="K283" s="12"/>
    </row>
    <row r="284" spans="1:11" x14ac:dyDescent="0.25">
      <c r="A284"/>
      <c r="B284"/>
      <c r="C284"/>
      <c r="D284" s="1"/>
      <c r="E284"/>
      <c r="F284"/>
      <c r="G284" s="1"/>
      <c r="H284"/>
      <c r="I284"/>
      <c r="J284"/>
      <c r="K284" s="12"/>
    </row>
    <row r="285" spans="1:11" x14ac:dyDescent="0.25">
      <c r="A285"/>
      <c r="B285"/>
      <c r="C285"/>
      <c r="D285" s="1"/>
      <c r="E285"/>
      <c r="F285"/>
      <c r="G285" s="1"/>
      <c r="H285"/>
      <c r="I285"/>
      <c r="J285"/>
      <c r="K285" s="12"/>
    </row>
    <row r="286" spans="1:11" x14ac:dyDescent="0.25">
      <c r="A286"/>
      <c r="B286"/>
      <c r="C286"/>
      <c r="D286" s="1"/>
      <c r="E286"/>
      <c r="F286"/>
      <c r="G286" s="1"/>
      <c r="H286"/>
      <c r="I286"/>
      <c r="J286"/>
      <c r="K286" s="12"/>
    </row>
    <row r="287" spans="1:11" x14ac:dyDescent="0.25">
      <c r="A287"/>
      <c r="B287"/>
      <c r="C287"/>
      <c r="D287" s="1"/>
      <c r="E287"/>
      <c r="F287"/>
      <c r="G287" s="1"/>
      <c r="H287"/>
      <c r="I287"/>
      <c r="J287"/>
      <c r="K287" s="12"/>
    </row>
    <row r="288" spans="1:11" x14ac:dyDescent="0.25">
      <c r="A288"/>
      <c r="B288"/>
      <c r="C288"/>
      <c r="D288" s="1"/>
      <c r="E288"/>
      <c r="F288"/>
      <c r="G288" s="1"/>
      <c r="H288"/>
      <c r="I288"/>
      <c r="J288"/>
      <c r="K288" s="12"/>
    </row>
    <row r="289" spans="1:11" x14ac:dyDescent="0.25">
      <c r="A289"/>
      <c r="B289"/>
      <c r="C289"/>
      <c r="D289" s="1"/>
      <c r="E289"/>
      <c r="F289"/>
      <c r="G289" s="1"/>
      <c r="H289"/>
      <c r="I289"/>
      <c r="J289"/>
      <c r="K289" s="12"/>
    </row>
    <row r="290" spans="1:11" x14ac:dyDescent="0.25">
      <c r="A290"/>
      <c r="B290"/>
      <c r="C290"/>
      <c r="D290" s="1"/>
      <c r="E290"/>
      <c r="F290"/>
      <c r="G290" s="1"/>
      <c r="H290"/>
      <c r="I290"/>
      <c r="J290"/>
      <c r="K290" s="12"/>
    </row>
    <row r="291" spans="1:11" x14ac:dyDescent="0.25">
      <c r="A291"/>
      <c r="B291"/>
      <c r="C291"/>
      <c r="D291" s="1"/>
      <c r="E291"/>
      <c r="F291"/>
      <c r="G291" s="1"/>
      <c r="H291"/>
      <c r="I291"/>
      <c r="J291"/>
      <c r="K291" s="12"/>
    </row>
    <row r="292" spans="1:11" x14ac:dyDescent="0.25">
      <c r="A292"/>
      <c r="B292"/>
      <c r="C292"/>
      <c r="D292" s="1"/>
      <c r="E292"/>
      <c r="F292"/>
      <c r="G292" s="1"/>
      <c r="H292"/>
      <c r="I292"/>
      <c r="J292"/>
      <c r="K292" s="12"/>
    </row>
    <row r="293" spans="1:11" x14ac:dyDescent="0.25">
      <c r="A293"/>
      <c r="B293"/>
      <c r="C293"/>
      <c r="D293" s="1"/>
      <c r="E293"/>
      <c r="F293"/>
      <c r="G293" s="1"/>
      <c r="H293"/>
      <c r="I293"/>
      <c r="J293"/>
      <c r="K293" s="12"/>
    </row>
    <row r="294" spans="1:11" x14ac:dyDescent="0.25">
      <c r="A294"/>
      <c r="B294"/>
      <c r="C294"/>
      <c r="D294" s="1"/>
      <c r="E294"/>
      <c r="F294"/>
      <c r="G294" s="1"/>
      <c r="H294"/>
      <c r="I294"/>
      <c r="J294"/>
      <c r="K294" s="12"/>
    </row>
    <row r="295" spans="1:11" x14ac:dyDescent="0.25">
      <c r="A295"/>
      <c r="B295"/>
      <c r="C295"/>
      <c r="D295" s="1"/>
      <c r="E295"/>
      <c r="F295"/>
      <c r="G295" s="1"/>
      <c r="H295"/>
      <c r="I295"/>
      <c r="J295"/>
      <c r="K295" s="12"/>
    </row>
    <row r="296" spans="1:11" x14ac:dyDescent="0.25">
      <c r="A296"/>
      <c r="B296"/>
      <c r="C296"/>
      <c r="D296" s="1"/>
      <c r="E296"/>
      <c r="F296"/>
      <c r="G296" s="1"/>
      <c r="H296"/>
      <c r="I296"/>
      <c r="J296"/>
      <c r="K296" s="12"/>
    </row>
    <row r="297" spans="1:11" x14ac:dyDescent="0.25">
      <c r="A297"/>
      <c r="B297"/>
      <c r="C297"/>
      <c r="D297" s="1"/>
      <c r="E297"/>
      <c r="F297"/>
      <c r="G297" s="1"/>
      <c r="H297"/>
      <c r="I297"/>
      <c r="J297"/>
      <c r="K297" s="12"/>
    </row>
    <row r="298" spans="1:11" x14ac:dyDescent="0.25">
      <c r="A298"/>
      <c r="B298"/>
      <c r="C298"/>
      <c r="D298" s="1"/>
      <c r="E298"/>
      <c r="F298"/>
      <c r="G298" s="1"/>
      <c r="H298"/>
      <c r="I298"/>
      <c r="J298"/>
      <c r="K298" s="12"/>
    </row>
    <row r="299" spans="1:11" x14ac:dyDescent="0.25">
      <c r="A299"/>
      <c r="B299"/>
      <c r="C299"/>
      <c r="D299" s="1"/>
      <c r="E299"/>
      <c r="F299"/>
      <c r="G299" s="1"/>
      <c r="H299"/>
      <c r="I299"/>
      <c r="J299"/>
      <c r="K299" s="12"/>
    </row>
    <row r="300" spans="1:11" x14ac:dyDescent="0.25">
      <c r="A300"/>
      <c r="B300"/>
      <c r="C300"/>
      <c r="D300" s="1"/>
      <c r="E300"/>
      <c r="F300"/>
      <c r="G300" s="1"/>
      <c r="H300"/>
      <c r="I300"/>
      <c r="J300"/>
      <c r="K300" s="12"/>
    </row>
    <row r="301" spans="1:11" x14ac:dyDescent="0.25">
      <c r="A301"/>
      <c r="B301"/>
      <c r="C301"/>
      <c r="D301" s="1"/>
      <c r="E301"/>
      <c r="F301"/>
      <c r="G301" s="1"/>
      <c r="H301"/>
      <c r="I301"/>
      <c r="J301"/>
      <c r="K301" s="12"/>
    </row>
    <row r="302" spans="1:11" x14ac:dyDescent="0.25">
      <c r="A302"/>
      <c r="B302"/>
      <c r="C302"/>
      <c r="D302" s="1"/>
      <c r="E302"/>
      <c r="F302"/>
      <c r="G302" s="1"/>
      <c r="H302"/>
      <c r="I302"/>
      <c r="J302"/>
      <c r="K302" s="12"/>
    </row>
    <row r="303" spans="1:11" x14ac:dyDescent="0.25">
      <c r="A303"/>
      <c r="B303"/>
      <c r="C303"/>
      <c r="D303" s="1"/>
      <c r="E303"/>
      <c r="F303"/>
      <c r="G303" s="1"/>
      <c r="H303"/>
      <c r="I303"/>
      <c r="J303"/>
      <c r="K303" s="12"/>
    </row>
    <row r="304" spans="1:11" x14ac:dyDescent="0.25">
      <c r="A304"/>
      <c r="B304"/>
      <c r="C304"/>
      <c r="D304" s="1"/>
      <c r="E304"/>
      <c r="F304"/>
      <c r="G304" s="1"/>
      <c r="H304"/>
      <c r="I304"/>
      <c r="J304"/>
      <c r="K304" s="12"/>
    </row>
    <row r="305" spans="1:11" x14ac:dyDescent="0.25">
      <c r="A305"/>
      <c r="B305"/>
      <c r="C305"/>
      <c r="D305" s="1"/>
      <c r="E305"/>
      <c r="F305"/>
      <c r="G305" s="1"/>
      <c r="H305"/>
      <c r="I305"/>
      <c r="J305"/>
      <c r="K305" s="12"/>
    </row>
    <row r="306" spans="1:11" x14ac:dyDescent="0.25">
      <c r="A306"/>
      <c r="B306"/>
      <c r="C306"/>
      <c r="D306" s="1"/>
      <c r="E306"/>
      <c r="F306"/>
      <c r="G306" s="1"/>
      <c r="H306"/>
      <c r="I306"/>
      <c r="J306"/>
      <c r="K306" s="12"/>
    </row>
    <row r="307" spans="1:11" x14ac:dyDescent="0.25">
      <c r="A307"/>
      <c r="B307"/>
      <c r="C307"/>
      <c r="D307" s="1"/>
      <c r="E307"/>
      <c r="F307"/>
      <c r="G307" s="1"/>
      <c r="H307"/>
      <c r="I307"/>
      <c r="J307"/>
      <c r="K307" s="12"/>
    </row>
    <row r="308" spans="1:11" x14ac:dyDescent="0.25">
      <c r="A308"/>
      <c r="B308"/>
      <c r="C308"/>
      <c r="D308" s="1"/>
      <c r="E308"/>
      <c r="F308"/>
      <c r="G308" s="1"/>
      <c r="H308"/>
      <c r="I308"/>
      <c r="J308"/>
      <c r="K308" s="12"/>
    </row>
    <row r="309" spans="1:11" x14ac:dyDescent="0.25">
      <c r="A309"/>
      <c r="B309"/>
      <c r="C309"/>
      <c r="D309" s="1"/>
      <c r="E309"/>
      <c r="F309"/>
      <c r="G309" s="1"/>
      <c r="H309"/>
      <c r="I309"/>
      <c r="J309"/>
      <c r="K309" s="12"/>
    </row>
    <row r="310" spans="1:11" x14ac:dyDescent="0.25">
      <c r="A310"/>
      <c r="B310"/>
      <c r="C310"/>
      <c r="D310" s="1"/>
      <c r="E310"/>
      <c r="F310"/>
      <c r="G310" s="1"/>
      <c r="H310"/>
      <c r="I310"/>
      <c r="J310"/>
      <c r="K310" s="12"/>
    </row>
    <row r="311" spans="1:11" x14ac:dyDescent="0.25">
      <c r="A311"/>
      <c r="B311"/>
      <c r="C311"/>
      <c r="D311" s="1"/>
      <c r="E311"/>
      <c r="F311"/>
      <c r="G311" s="1"/>
      <c r="H311"/>
      <c r="I311"/>
      <c r="J311"/>
      <c r="K311" s="12"/>
    </row>
    <row r="312" spans="1:11" x14ac:dyDescent="0.25">
      <c r="A312"/>
      <c r="B312"/>
      <c r="C312"/>
      <c r="D312" s="1"/>
      <c r="E312"/>
      <c r="F312"/>
      <c r="G312" s="1"/>
      <c r="H312"/>
      <c r="I312"/>
      <c r="J312"/>
      <c r="K312" s="12"/>
    </row>
    <row r="313" spans="1:11" x14ac:dyDescent="0.25">
      <c r="A313"/>
      <c r="B313"/>
      <c r="C313"/>
      <c r="D313" s="1"/>
      <c r="E313"/>
      <c r="F313"/>
      <c r="G313" s="1"/>
      <c r="H313"/>
      <c r="I313"/>
      <c r="J313"/>
      <c r="K313" s="12"/>
    </row>
    <row r="314" spans="1:11" x14ac:dyDescent="0.25">
      <c r="A314"/>
      <c r="B314"/>
      <c r="C314"/>
      <c r="D314" s="1"/>
      <c r="E314"/>
      <c r="F314"/>
      <c r="G314" s="1"/>
      <c r="H314"/>
      <c r="I314"/>
      <c r="J314"/>
      <c r="K314" s="12"/>
    </row>
    <row r="315" spans="1:11" x14ac:dyDescent="0.25">
      <c r="A315"/>
      <c r="B315"/>
      <c r="C315"/>
      <c r="D315" s="1"/>
      <c r="E315"/>
      <c r="F315"/>
      <c r="G315" s="1"/>
      <c r="H315"/>
      <c r="I315"/>
      <c r="J315"/>
      <c r="K315" s="12"/>
    </row>
    <row r="316" spans="1:11" x14ac:dyDescent="0.25">
      <c r="A316"/>
      <c r="B316"/>
      <c r="C316"/>
      <c r="D316" s="1"/>
      <c r="E316"/>
      <c r="F316"/>
      <c r="G316" s="1"/>
      <c r="H316"/>
      <c r="I316"/>
      <c r="J316"/>
      <c r="K316" s="12"/>
    </row>
    <row r="317" spans="1:11" x14ac:dyDescent="0.25">
      <c r="A317"/>
      <c r="B317"/>
      <c r="C317"/>
      <c r="D317" s="1"/>
      <c r="E317"/>
      <c r="F317"/>
      <c r="G317" s="1"/>
      <c r="H317"/>
      <c r="I317"/>
      <c r="J317"/>
      <c r="K317" s="12"/>
    </row>
    <row r="318" spans="1:11" x14ac:dyDescent="0.25">
      <c r="A318"/>
      <c r="B318"/>
      <c r="C318"/>
      <c r="D318" s="1"/>
      <c r="E318"/>
      <c r="F318"/>
      <c r="G318" s="1"/>
      <c r="H318"/>
      <c r="I318"/>
      <c r="J318"/>
      <c r="K318" s="12"/>
    </row>
    <row r="319" spans="1:11" x14ac:dyDescent="0.25">
      <c r="A319"/>
      <c r="B319"/>
      <c r="C319"/>
      <c r="D319" s="1"/>
      <c r="E319"/>
      <c r="F319"/>
      <c r="G319" s="1"/>
      <c r="H319"/>
      <c r="I319"/>
      <c r="J319"/>
      <c r="K319" s="12"/>
    </row>
    <row r="320" spans="1:11" x14ac:dyDescent="0.25">
      <c r="A320"/>
      <c r="B320"/>
      <c r="C320"/>
      <c r="D320" s="1"/>
      <c r="E320"/>
      <c r="F320"/>
      <c r="G320" s="1"/>
      <c r="H320"/>
      <c r="I320"/>
      <c r="J320"/>
      <c r="K320" s="12"/>
    </row>
    <row r="321" spans="1:11" x14ac:dyDescent="0.25">
      <c r="A321"/>
      <c r="B321"/>
      <c r="C321"/>
      <c r="D321" s="1"/>
      <c r="E321"/>
      <c r="F321"/>
      <c r="G321" s="1"/>
      <c r="H321"/>
      <c r="I321"/>
      <c r="J321"/>
      <c r="K321" s="12"/>
    </row>
    <row r="322" spans="1:11" x14ac:dyDescent="0.25">
      <c r="A322"/>
      <c r="B322"/>
      <c r="C322"/>
      <c r="D322" s="1"/>
      <c r="E322"/>
      <c r="F322"/>
      <c r="G322" s="1"/>
      <c r="H322"/>
      <c r="I322"/>
      <c r="J322"/>
      <c r="K322" s="12"/>
    </row>
    <row r="323" spans="1:11" x14ac:dyDescent="0.25">
      <c r="A323"/>
      <c r="B323"/>
      <c r="C323"/>
      <c r="D323" s="1"/>
      <c r="E323"/>
      <c r="F323"/>
      <c r="G323" s="1"/>
      <c r="H323"/>
      <c r="I323"/>
      <c r="J323"/>
      <c r="K323" s="12"/>
    </row>
    <row r="324" spans="1:11" x14ac:dyDescent="0.25">
      <c r="A324"/>
      <c r="B324"/>
      <c r="C324"/>
      <c r="D324" s="1"/>
      <c r="E324"/>
      <c r="F324"/>
      <c r="G324" s="1"/>
      <c r="H324"/>
      <c r="I324"/>
      <c r="J324"/>
      <c r="K324" s="12"/>
    </row>
    <row r="325" spans="1:11" x14ac:dyDescent="0.25">
      <c r="A325"/>
      <c r="B325"/>
      <c r="C325"/>
      <c r="D325" s="1"/>
      <c r="E325"/>
      <c r="F325"/>
      <c r="G325" s="1"/>
      <c r="H325"/>
      <c r="I325"/>
      <c r="J325"/>
      <c r="K325" s="12"/>
    </row>
    <row r="326" spans="1:11" x14ac:dyDescent="0.25">
      <c r="A326"/>
      <c r="B326"/>
      <c r="C326"/>
      <c r="D326" s="1"/>
      <c r="E326"/>
      <c r="F326"/>
      <c r="G326" s="1"/>
      <c r="H326"/>
      <c r="I326"/>
      <c r="J326"/>
      <c r="K326" s="12"/>
    </row>
    <row r="327" spans="1:11" x14ac:dyDescent="0.25">
      <c r="A327"/>
      <c r="B327"/>
      <c r="C327"/>
      <c r="D327" s="1"/>
      <c r="E327"/>
      <c r="F327"/>
      <c r="G327" s="1"/>
      <c r="H327"/>
      <c r="I327"/>
      <c r="J327"/>
      <c r="K327" s="12"/>
    </row>
    <row r="328" spans="1:11" x14ac:dyDescent="0.25">
      <c r="A328"/>
      <c r="B328"/>
      <c r="C328"/>
      <c r="D328" s="1"/>
      <c r="E328"/>
      <c r="F328"/>
      <c r="G328" s="1"/>
      <c r="H328"/>
      <c r="I328"/>
      <c r="J328"/>
      <c r="K328" s="12"/>
    </row>
    <row r="329" spans="1:11" x14ac:dyDescent="0.25">
      <c r="A329"/>
      <c r="B329"/>
      <c r="C329"/>
      <c r="D329" s="1"/>
      <c r="E329"/>
      <c r="F329"/>
      <c r="G329" s="1"/>
      <c r="H329"/>
      <c r="I329"/>
      <c r="J329"/>
      <c r="K329" s="12"/>
    </row>
    <row r="330" spans="1:11" x14ac:dyDescent="0.25">
      <c r="A330"/>
      <c r="B330"/>
      <c r="C330"/>
      <c r="D330" s="1"/>
      <c r="E330"/>
      <c r="F330"/>
      <c r="G330" s="1"/>
      <c r="H330"/>
      <c r="I330"/>
      <c r="J330"/>
      <c r="K330" s="12"/>
    </row>
    <row r="331" spans="1:11" x14ac:dyDescent="0.25">
      <c r="A331"/>
      <c r="B331"/>
      <c r="C331"/>
      <c r="D331" s="1"/>
      <c r="E331"/>
      <c r="F331"/>
      <c r="G331" s="1"/>
      <c r="H331"/>
      <c r="I331"/>
      <c r="J331"/>
      <c r="K331" s="12"/>
    </row>
    <row r="332" spans="1:11" x14ac:dyDescent="0.25">
      <c r="A332"/>
      <c r="B332"/>
      <c r="C332"/>
      <c r="D332" s="1"/>
      <c r="E332"/>
      <c r="F332"/>
      <c r="G332" s="1"/>
      <c r="H332"/>
      <c r="I332"/>
      <c r="J332"/>
      <c r="K332" s="12"/>
    </row>
    <row r="333" spans="1:11" x14ac:dyDescent="0.25">
      <c r="A333"/>
      <c r="B333"/>
      <c r="C333"/>
      <c r="D333" s="1"/>
      <c r="E333"/>
      <c r="F333"/>
      <c r="G333" s="1"/>
      <c r="H333"/>
      <c r="I333"/>
      <c r="J333"/>
      <c r="K333" s="12"/>
    </row>
    <row r="334" spans="1:11" x14ac:dyDescent="0.25">
      <c r="A334"/>
      <c r="B334"/>
      <c r="C334"/>
      <c r="D334" s="1"/>
      <c r="E334"/>
      <c r="F334"/>
      <c r="G334" s="1"/>
      <c r="H334"/>
      <c r="I334"/>
      <c r="J334"/>
      <c r="K334" s="12"/>
    </row>
    <row r="335" spans="1:11" x14ac:dyDescent="0.25">
      <c r="A335"/>
      <c r="B335"/>
      <c r="C335"/>
      <c r="D335" s="1"/>
      <c r="E335"/>
      <c r="F335"/>
      <c r="G335" s="1"/>
      <c r="H335"/>
      <c r="I335"/>
      <c r="J335"/>
      <c r="K335" s="12"/>
    </row>
    <row r="336" spans="1:11" x14ac:dyDescent="0.25">
      <c r="A336"/>
      <c r="B336"/>
      <c r="C336"/>
      <c r="D336" s="1"/>
      <c r="E336"/>
      <c r="F336"/>
      <c r="G336" s="1"/>
      <c r="H336"/>
      <c r="I336"/>
      <c r="J336"/>
      <c r="K336" s="12"/>
    </row>
    <row r="337" spans="1:11" x14ac:dyDescent="0.25">
      <c r="A337"/>
      <c r="B337"/>
      <c r="C337"/>
      <c r="D337" s="1"/>
      <c r="E337"/>
      <c r="F337"/>
      <c r="G337" s="1"/>
      <c r="H337"/>
      <c r="I337"/>
      <c r="J337"/>
      <c r="K337" s="12"/>
    </row>
    <row r="338" spans="1:11" x14ac:dyDescent="0.25">
      <c r="A338"/>
      <c r="B338"/>
      <c r="C338"/>
      <c r="D338" s="1"/>
      <c r="E338"/>
      <c r="F338"/>
      <c r="G338" s="1"/>
      <c r="H338"/>
      <c r="I338"/>
      <c r="J338"/>
      <c r="K338" s="12"/>
    </row>
    <row r="339" spans="1:11" x14ac:dyDescent="0.25">
      <c r="A339"/>
      <c r="B339"/>
      <c r="C339"/>
      <c r="D339" s="1"/>
      <c r="E339"/>
      <c r="F339"/>
      <c r="G339" s="1"/>
      <c r="H339"/>
      <c r="I339"/>
      <c r="J339"/>
      <c r="K339" s="12"/>
    </row>
    <row r="340" spans="1:11" x14ac:dyDescent="0.25">
      <c r="A340"/>
      <c r="B340"/>
      <c r="C340"/>
      <c r="D340" s="1"/>
      <c r="E340"/>
      <c r="F340"/>
      <c r="G340" s="1"/>
      <c r="H340"/>
    </row>
    <row r="341" spans="1:11" x14ac:dyDescent="0.25">
      <c r="A341"/>
      <c r="B341"/>
      <c r="C341"/>
      <c r="D341" s="1"/>
      <c r="E341"/>
      <c r="F341"/>
      <c r="G341" s="1"/>
      <c r="H341"/>
    </row>
    <row r="342" spans="1:11" x14ac:dyDescent="0.25">
      <c r="A342"/>
      <c r="B342"/>
      <c r="C342"/>
      <c r="D342" s="1"/>
      <c r="E342"/>
      <c r="F342"/>
      <c r="G342" s="1"/>
      <c r="H342"/>
    </row>
    <row r="343" spans="1:11" x14ac:dyDescent="0.25">
      <c r="A343"/>
      <c r="B343"/>
      <c r="C343"/>
      <c r="D343" s="1"/>
      <c r="E343"/>
      <c r="F343"/>
      <c r="G343" s="1"/>
      <c r="H343"/>
    </row>
    <row r="344" spans="1:11" x14ac:dyDescent="0.25">
      <c r="A344"/>
      <c r="B344"/>
      <c r="C344"/>
      <c r="D344" s="1"/>
      <c r="E344"/>
      <c r="F344"/>
      <c r="G344" s="1"/>
      <c r="H344"/>
    </row>
    <row r="345" spans="1:11" x14ac:dyDescent="0.25">
      <c r="A345"/>
      <c r="B345"/>
      <c r="C345"/>
      <c r="D345" s="1"/>
      <c r="E345"/>
      <c r="F345"/>
      <c r="G345" s="1"/>
      <c r="H345"/>
    </row>
    <row r="346" spans="1:11" x14ac:dyDescent="0.25">
      <c r="A346"/>
      <c r="B346"/>
      <c r="C346"/>
      <c r="D346" s="1"/>
      <c r="E346"/>
      <c r="F346"/>
      <c r="G346" s="1"/>
      <c r="H346"/>
    </row>
    <row r="347" spans="1:11" x14ac:dyDescent="0.25">
      <c r="A347"/>
      <c r="B347"/>
      <c r="C347"/>
      <c r="D347" s="1"/>
      <c r="E347"/>
      <c r="F347"/>
      <c r="G347" s="1"/>
      <c r="H347"/>
    </row>
    <row r="348" spans="1:11" x14ac:dyDescent="0.25">
      <c r="A348"/>
      <c r="B348"/>
      <c r="C348"/>
      <c r="D348" s="1"/>
      <c r="E348"/>
      <c r="F348"/>
      <c r="G348" s="1"/>
      <c r="H348"/>
    </row>
    <row r="349" spans="1:11" x14ac:dyDescent="0.25">
      <c r="A349"/>
      <c r="B349"/>
      <c r="C349"/>
      <c r="D349" s="1"/>
      <c r="E349"/>
      <c r="F349"/>
      <c r="G349" s="1"/>
      <c r="H349"/>
    </row>
    <row r="350" spans="1:11" x14ac:dyDescent="0.25">
      <c r="A350"/>
      <c r="B350"/>
      <c r="C350"/>
      <c r="D350" s="1"/>
      <c r="E350"/>
      <c r="F350"/>
      <c r="G350" s="1"/>
      <c r="H350"/>
    </row>
    <row r="351" spans="1:11" x14ac:dyDescent="0.25">
      <c r="A351"/>
      <c r="B351"/>
      <c r="C351"/>
      <c r="D351" s="1"/>
      <c r="E351"/>
      <c r="F351"/>
      <c r="G351" s="1"/>
      <c r="H351"/>
    </row>
    <row r="352" spans="1:11" x14ac:dyDescent="0.25">
      <c r="A352"/>
      <c r="B352"/>
      <c r="C352"/>
      <c r="D352" s="1"/>
      <c r="E352"/>
      <c r="F352"/>
      <c r="G352" s="1"/>
      <c r="H352"/>
    </row>
    <row r="353" spans="1:8" x14ac:dyDescent="0.25">
      <c r="A353"/>
      <c r="B353"/>
      <c r="C353"/>
      <c r="D353" s="1"/>
      <c r="E353"/>
      <c r="F353"/>
      <c r="G353" s="1"/>
      <c r="H353"/>
    </row>
    <row r="354" spans="1:8" x14ac:dyDescent="0.25">
      <c r="A354"/>
      <c r="B354"/>
      <c r="C354"/>
      <c r="D354" s="1"/>
      <c r="E354"/>
      <c r="F354"/>
      <c r="G354" s="1"/>
      <c r="H354"/>
    </row>
    <row r="355" spans="1:8" x14ac:dyDescent="0.25">
      <c r="A355"/>
      <c r="B355"/>
      <c r="C355"/>
      <c r="D355" s="1"/>
      <c r="E355"/>
      <c r="F355"/>
      <c r="G355" s="1"/>
      <c r="H355"/>
    </row>
    <row r="356" spans="1:8" x14ac:dyDescent="0.25">
      <c r="A356"/>
      <c r="B356"/>
      <c r="C356"/>
      <c r="D356" s="1"/>
      <c r="E356"/>
      <c r="F356"/>
      <c r="G356" s="1"/>
      <c r="H356"/>
    </row>
    <row r="357" spans="1:8" x14ac:dyDescent="0.25">
      <c r="A357"/>
      <c r="B357"/>
      <c r="C357"/>
      <c r="D357" s="1"/>
      <c r="E357"/>
      <c r="F357"/>
      <c r="G357" s="1"/>
      <c r="H357"/>
    </row>
    <row r="358" spans="1:8" x14ac:dyDescent="0.25">
      <c r="A358"/>
      <c r="B358"/>
      <c r="C358"/>
      <c r="D358" s="1"/>
      <c r="E358"/>
      <c r="F358"/>
      <c r="G358" s="1"/>
      <c r="H358"/>
    </row>
    <row r="359" spans="1:8" x14ac:dyDescent="0.25">
      <c r="A359"/>
      <c r="B359"/>
      <c r="C359"/>
      <c r="D359" s="1"/>
      <c r="E359"/>
      <c r="F359"/>
      <c r="G359" s="1"/>
      <c r="H359"/>
    </row>
    <row r="360" spans="1:8" x14ac:dyDescent="0.25">
      <c r="A360"/>
      <c r="B360"/>
      <c r="C360"/>
      <c r="D360" s="1"/>
      <c r="E360"/>
      <c r="F360"/>
      <c r="G360" s="1"/>
      <c r="H360"/>
    </row>
    <row r="361" spans="1:8" x14ac:dyDescent="0.25">
      <c r="A361"/>
      <c r="B361"/>
      <c r="C361"/>
      <c r="D361" s="1"/>
      <c r="E361"/>
      <c r="F361"/>
      <c r="G361" s="1"/>
      <c r="H361"/>
    </row>
    <row r="362" spans="1:8" x14ac:dyDescent="0.25">
      <c r="A362"/>
      <c r="B362"/>
      <c r="C362"/>
      <c r="D362" s="1"/>
      <c r="E362"/>
      <c r="F362"/>
      <c r="G362" s="1"/>
      <c r="H362"/>
    </row>
    <row r="363" spans="1:8" x14ac:dyDescent="0.25">
      <c r="A363"/>
      <c r="B363"/>
      <c r="C363"/>
      <c r="D363" s="1"/>
      <c r="E363"/>
      <c r="F363"/>
      <c r="G363" s="1"/>
      <c r="H363"/>
    </row>
    <row r="364" spans="1:8" x14ac:dyDescent="0.25">
      <c r="A364"/>
      <c r="B364"/>
      <c r="C364"/>
      <c r="D364" s="1"/>
      <c r="E364"/>
      <c r="F364"/>
      <c r="G364" s="1"/>
      <c r="H364"/>
    </row>
    <row r="365" spans="1:8" x14ac:dyDescent="0.25">
      <c r="A365"/>
      <c r="B365"/>
      <c r="C365"/>
      <c r="D365" s="1"/>
      <c r="E365"/>
      <c r="F365"/>
      <c r="G365" s="1"/>
      <c r="H365"/>
    </row>
    <row r="366" spans="1:8" x14ac:dyDescent="0.25">
      <c r="A366"/>
      <c r="B366"/>
      <c r="C366"/>
      <c r="D366" s="1"/>
      <c r="E366"/>
      <c r="F366"/>
      <c r="G366" s="1"/>
      <c r="H366"/>
    </row>
    <row r="367" spans="1:8" x14ac:dyDescent="0.25">
      <c r="A367"/>
      <c r="B367"/>
      <c r="C367"/>
      <c r="D367" s="1"/>
      <c r="E367"/>
      <c r="F367"/>
      <c r="G367" s="1"/>
      <c r="H367"/>
    </row>
    <row r="368" spans="1:8" x14ac:dyDescent="0.25">
      <c r="A368"/>
      <c r="B368"/>
      <c r="C368"/>
      <c r="D368" s="1"/>
      <c r="E368"/>
      <c r="F368"/>
      <c r="G368" s="1"/>
      <c r="H368"/>
    </row>
    <row r="369" spans="1:8" x14ac:dyDescent="0.25">
      <c r="A369"/>
      <c r="B369"/>
      <c r="C369"/>
      <c r="D369" s="1"/>
      <c r="E369"/>
      <c r="F369"/>
      <c r="G369" s="1"/>
      <c r="H369"/>
    </row>
    <row r="370" spans="1:8" x14ac:dyDescent="0.25">
      <c r="A370"/>
      <c r="B370"/>
      <c r="C370"/>
      <c r="D370" s="1"/>
      <c r="E370"/>
      <c r="F370"/>
      <c r="G370" s="1"/>
      <c r="H370"/>
    </row>
    <row r="371" spans="1:8" x14ac:dyDescent="0.25">
      <c r="A371"/>
      <c r="B371"/>
      <c r="C371"/>
      <c r="D371" s="1"/>
      <c r="E371"/>
      <c r="F371"/>
      <c r="G371" s="1"/>
      <c r="H371"/>
    </row>
    <row r="372" spans="1:8" x14ac:dyDescent="0.25">
      <c r="A372"/>
      <c r="B372"/>
      <c r="C372"/>
      <c r="D372" s="1"/>
      <c r="E372"/>
      <c r="F372"/>
      <c r="G372" s="1"/>
      <c r="H372"/>
    </row>
    <row r="373" spans="1:8" x14ac:dyDescent="0.25">
      <c r="A373"/>
      <c r="B373"/>
      <c r="C373"/>
      <c r="D373" s="1"/>
      <c r="E373"/>
      <c r="F373"/>
      <c r="G373" s="1"/>
      <c r="H373"/>
    </row>
    <row r="374" spans="1:8" x14ac:dyDescent="0.25">
      <c r="A374"/>
      <c r="B374"/>
      <c r="C374"/>
      <c r="D374" s="1"/>
      <c r="E374"/>
      <c r="F374"/>
      <c r="G374" s="1"/>
      <c r="H374"/>
    </row>
    <row r="375" spans="1:8" x14ac:dyDescent="0.25">
      <c r="A375"/>
      <c r="B375"/>
      <c r="C375"/>
      <c r="D375" s="1"/>
      <c r="E375"/>
      <c r="F375"/>
      <c r="G375" s="1"/>
      <c r="H375"/>
    </row>
    <row r="376" spans="1:8" x14ac:dyDescent="0.25">
      <c r="A376"/>
      <c r="B376"/>
      <c r="C376"/>
      <c r="D376" s="1"/>
      <c r="E376"/>
      <c r="F376"/>
      <c r="G376" s="1"/>
      <c r="H376"/>
    </row>
    <row r="377" spans="1:8" x14ac:dyDescent="0.25">
      <c r="A377"/>
      <c r="B377"/>
      <c r="C377"/>
      <c r="D377" s="1"/>
      <c r="E377"/>
      <c r="F377"/>
      <c r="G377" s="1"/>
      <c r="H377"/>
    </row>
    <row r="378" spans="1:8" x14ac:dyDescent="0.25">
      <c r="A378"/>
      <c r="B378"/>
      <c r="C378"/>
      <c r="D378" s="1"/>
      <c r="E378"/>
      <c r="F378"/>
      <c r="G378" s="1"/>
      <c r="H378"/>
    </row>
    <row r="379" spans="1:8" x14ac:dyDescent="0.25">
      <c r="A379"/>
      <c r="B379"/>
      <c r="C379"/>
      <c r="D379" s="1"/>
      <c r="E379"/>
      <c r="F379"/>
      <c r="G379" s="1"/>
      <c r="H379"/>
    </row>
    <row r="380" spans="1:8" x14ac:dyDescent="0.25">
      <c r="A380"/>
      <c r="B380"/>
      <c r="C380"/>
      <c r="D380" s="1"/>
      <c r="E380"/>
      <c r="F380"/>
      <c r="G380" s="1"/>
      <c r="H380"/>
    </row>
    <row r="381" spans="1:8" x14ac:dyDescent="0.25">
      <c r="A381"/>
      <c r="B381"/>
      <c r="C381"/>
      <c r="D381" s="1"/>
      <c r="E381"/>
      <c r="F381"/>
      <c r="G381" s="1"/>
      <c r="H381"/>
    </row>
    <row r="382" spans="1:8" x14ac:dyDescent="0.25">
      <c r="A382"/>
      <c r="B382"/>
      <c r="C382"/>
      <c r="D382" s="1"/>
      <c r="E382"/>
      <c r="F382"/>
      <c r="G382" s="1"/>
      <c r="H382"/>
    </row>
    <row r="383" spans="1:8" x14ac:dyDescent="0.25">
      <c r="A383"/>
      <c r="B383"/>
      <c r="C383"/>
      <c r="D383" s="1"/>
      <c r="E383"/>
      <c r="F383"/>
      <c r="G383" s="1"/>
      <c r="H383"/>
    </row>
    <row r="384" spans="1:8" x14ac:dyDescent="0.25">
      <c r="A384"/>
      <c r="B384"/>
      <c r="C384"/>
      <c r="D384" s="1"/>
      <c r="E384"/>
      <c r="F384"/>
      <c r="G384" s="1"/>
      <c r="H384"/>
    </row>
    <row r="385" spans="1:8" x14ac:dyDescent="0.25">
      <c r="A385"/>
      <c r="B385"/>
      <c r="C385"/>
      <c r="D385" s="1"/>
      <c r="E385"/>
      <c r="F385"/>
      <c r="G385" s="1"/>
      <c r="H385"/>
    </row>
    <row r="386" spans="1:8" x14ac:dyDescent="0.25">
      <c r="A386"/>
      <c r="B386"/>
      <c r="C386"/>
      <c r="D386" s="1"/>
      <c r="E386"/>
      <c r="F386"/>
      <c r="G386" s="1"/>
      <c r="H386"/>
    </row>
    <row r="387" spans="1:8" x14ac:dyDescent="0.25">
      <c r="A387"/>
      <c r="B387"/>
      <c r="C387"/>
      <c r="D387" s="1"/>
      <c r="E387"/>
      <c r="F387"/>
      <c r="G387" s="1"/>
      <c r="H387"/>
    </row>
    <row r="388" spans="1:8" x14ac:dyDescent="0.25">
      <c r="A388"/>
      <c r="B388"/>
      <c r="C388"/>
      <c r="D388" s="1"/>
      <c r="E388"/>
      <c r="F388"/>
      <c r="G388" s="1"/>
      <c r="H388"/>
    </row>
    <row r="389" spans="1:8" x14ac:dyDescent="0.25">
      <c r="A389"/>
      <c r="B389"/>
      <c r="C389"/>
      <c r="D389" s="1"/>
      <c r="E389"/>
      <c r="F389"/>
      <c r="G389" s="1"/>
      <c r="H389"/>
    </row>
    <row r="390" spans="1:8" x14ac:dyDescent="0.25">
      <c r="A390"/>
      <c r="B390"/>
      <c r="C390"/>
      <c r="D390" s="1"/>
      <c r="E390"/>
      <c r="F390"/>
      <c r="G390" s="1"/>
      <c r="H390"/>
    </row>
    <row r="391" spans="1:8" x14ac:dyDescent="0.25">
      <c r="A391"/>
      <c r="B391"/>
      <c r="C391"/>
      <c r="D391" s="1"/>
      <c r="E391"/>
      <c r="F391"/>
      <c r="G391" s="1"/>
      <c r="H391"/>
    </row>
    <row r="392" spans="1:8" x14ac:dyDescent="0.25">
      <c r="A392"/>
      <c r="B392"/>
      <c r="C392"/>
      <c r="D392" s="1"/>
      <c r="E392"/>
      <c r="F392"/>
      <c r="G392" s="1"/>
      <c r="H392"/>
    </row>
    <row r="393" spans="1:8" x14ac:dyDescent="0.25">
      <c r="A393"/>
      <c r="B393"/>
      <c r="C393"/>
      <c r="D393" s="1"/>
      <c r="E393"/>
      <c r="F393"/>
      <c r="G393" s="1"/>
      <c r="H393"/>
    </row>
    <row r="394" spans="1:8" x14ac:dyDescent="0.25">
      <c r="A394"/>
      <c r="B394"/>
      <c r="C394"/>
      <c r="D394" s="1"/>
      <c r="E394"/>
      <c r="F394"/>
      <c r="G394" s="1"/>
      <c r="H394"/>
    </row>
    <row r="395" spans="1:8" x14ac:dyDescent="0.25">
      <c r="A395"/>
      <c r="B395"/>
      <c r="C395"/>
      <c r="D395" s="1"/>
      <c r="E395"/>
      <c r="F395"/>
      <c r="G395" s="1"/>
      <c r="H395"/>
    </row>
    <row r="396" spans="1:8" x14ac:dyDescent="0.25">
      <c r="A396"/>
      <c r="B396"/>
      <c r="C396"/>
      <c r="D396" s="1"/>
      <c r="E396"/>
      <c r="F396"/>
      <c r="G396" s="1"/>
      <c r="H396"/>
    </row>
    <row r="397" spans="1:8" x14ac:dyDescent="0.25">
      <c r="A397"/>
      <c r="B397"/>
      <c r="C397"/>
      <c r="D397" s="1"/>
      <c r="E397"/>
      <c r="F397"/>
      <c r="G397" s="1"/>
      <c r="H397"/>
    </row>
    <row r="398" spans="1:8" x14ac:dyDescent="0.25">
      <c r="A398"/>
      <c r="B398"/>
      <c r="C398"/>
      <c r="D398" s="1"/>
      <c r="E398"/>
      <c r="F398"/>
      <c r="G398" s="1"/>
      <c r="H398"/>
    </row>
    <row r="399" spans="1:8" x14ac:dyDescent="0.25">
      <c r="A399"/>
      <c r="B399"/>
      <c r="C399"/>
      <c r="D399" s="1"/>
      <c r="E399"/>
      <c r="F399"/>
      <c r="G399" s="1"/>
      <c r="H399"/>
    </row>
    <row r="400" spans="1:8" x14ac:dyDescent="0.25">
      <c r="A400"/>
      <c r="B400"/>
      <c r="C400"/>
      <c r="D400" s="1"/>
      <c r="E400"/>
      <c r="F400"/>
      <c r="G400" s="1"/>
      <c r="H400"/>
    </row>
    <row r="401" spans="1:8" x14ac:dyDescent="0.25">
      <c r="A401"/>
      <c r="B401"/>
      <c r="C401"/>
      <c r="D401" s="1"/>
      <c r="E401"/>
      <c r="F401"/>
      <c r="G401" s="1"/>
      <c r="H401"/>
    </row>
    <row r="402" spans="1:8" x14ac:dyDescent="0.25">
      <c r="A402"/>
      <c r="B402"/>
      <c r="C402"/>
      <c r="D402" s="1"/>
      <c r="E402"/>
      <c r="F402"/>
      <c r="G402" s="1"/>
      <c r="H402"/>
    </row>
    <row r="403" spans="1:8" x14ac:dyDescent="0.25">
      <c r="A403"/>
      <c r="B403"/>
      <c r="C403"/>
      <c r="D403" s="1"/>
      <c r="E403"/>
      <c r="F403"/>
      <c r="G403" s="1"/>
      <c r="H403"/>
    </row>
    <row r="404" spans="1:8" x14ac:dyDescent="0.25">
      <c r="A404"/>
      <c r="B404"/>
      <c r="C404"/>
      <c r="D404" s="1"/>
      <c r="E404"/>
      <c r="F404"/>
      <c r="G404" s="1"/>
      <c r="H404"/>
    </row>
    <row r="405" spans="1:8" x14ac:dyDescent="0.25">
      <c r="A405"/>
      <c r="B405"/>
      <c r="C405"/>
      <c r="D405" s="1"/>
      <c r="E405"/>
      <c r="F405"/>
      <c r="G405" s="1"/>
      <c r="H405"/>
    </row>
    <row r="406" spans="1:8" x14ac:dyDescent="0.25">
      <c r="A406"/>
      <c r="B406"/>
      <c r="C406"/>
      <c r="D406" s="1"/>
      <c r="E406"/>
      <c r="F406"/>
      <c r="G406" s="1"/>
      <c r="H406"/>
    </row>
    <row r="407" spans="1:8" x14ac:dyDescent="0.25">
      <c r="A407"/>
      <c r="B407"/>
      <c r="C407"/>
      <c r="D407" s="1"/>
      <c r="E407"/>
      <c r="F407"/>
      <c r="G407" s="1"/>
      <c r="H407"/>
    </row>
    <row r="408" spans="1:8" x14ac:dyDescent="0.25">
      <c r="A408"/>
      <c r="B408"/>
      <c r="C408"/>
      <c r="D408" s="1"/>
      <c r="E408"/>
      <c r="F408"/>
      <c r="G408" s="1"/>
      <c r="H408"/>
    </row>
    <row r="409" spans="1:8" x14ac:dyDescent="0.25">
      <c r="A409"/>
      <c r="B409"/>
      <c r="C409"/>
      <c r="D409" s="1"/>
      <c r="E409"/>
      <c r="F409"/>
      <c r="G409" s="1"/>
      <c r="H409"/>
    </row>
    <row r="410" spans="1:8" x14ac:dyDescent="0.25">
      <c r="A410"/>
      <c r="B410"/>
      <c r="C410"/>
      <c r="D410" s="1"/>
      <c r="E410"/>
      <c r="F410"/>
      <c r="G410" s="1"/>
      <c r="H410"/>
    </row>
    <row r="411" spans="1:8" x14ac:dyDescent="0.25">
      <c r="A411"/>
      <c r="B411"/>
      <c r="C411"/>
      <c r="D411" s="1"/>
      <c r="E411"/>
      <c r="F411"/>
      <c r="G411" s="1"/>
      <c r="H411"/>
    </row>
    <row r="412" spans="1:8" x14ac:dyDescent="0.25">
      <c r="A412"/>
      <c r="B412"/>
      <c r="C412"/>
      <c r="D412" s="1"/>
      <c r="E412"/>
      <c r="F412"/>
      <c r="G412" s="1"/>
      <c r="H412"/>
    </row>
    <row r="413" spans="1:8" x14ac:dyDescent="0.25">
      <c r="A413"/>
      <c r="B413"/>
      <c r="C413"/>
      <c r="D413" s="1"/>
      <c r="E413"/>
      <c r="F413"/>
      <c r="G413" s="1"/>
      <c r="H413"/>
    </row>
    <row r="414" spans="1:8" x14ac:dyDescent="0.25">
      <c r="A414"/>
      <c r="B414"/>
      <c r="C414"/>
      <c r="D414" s="1"/>
      <c r="E414"/>
      <c r="F414"/>
      <c r="G414" s="1"/>
      <c r="H414"/>
    </row>
    <row r="415" spans="1:8" x14ac:dyDescent="0.25">
      <c r="A415"/>
      <c r="B415"/>
      <c r="C415"/>
      <c r="D415" s="1"/>
      <c r="E415"/>
      <c r="F415"/>
      <c r="G415" s="1"/>
      <c r="H415"/>
    </row>
    <row r="416" spans="1:8" x14ac:dyDescent="0.25">
      <c r="A416"/>
      <c r="B416"/>
      <c r="C416"/>
      <c r="D416" s="1"/>
      <c r="E416"/>
      <c r="F416"/>
      <c r="G416" s="1"/>
      <c r="H416"/>
    </row>
    <row r="417" spans="1:8" x14ac:dyDescent="0.25">
      <c r="A417"/>
      <c r="B417"/>
      <c r="C417"/>
      <c r="D417" s="1"/>
      <c r="E417"/>
      <c r="F417"/>
      <c r="G417" s="1"/>
      <c r="H417"/>
    </row>
    <row r="418" spans="1:8" x14ac:dyDescent="0.25">
      <c r="A418"/>
      <c r="B418"/>
      <c r="C418"/>
      <c r="D418" s="1"/>
      <c r="E418"/>
      <c r="F418"/>
      <c r="G418" s="1"/>
      <c r="H418"/>
    </row>
    <row r="419" spans="1:8" x14ac:dyDescent="0.25">
      <c r="A419"/>
      <c r="B419"/>
      <c r="C419"/>
      <c r="D419" s="1"/>
      <c r="E419"/>
      <c r="F419"/>
      <c r="G419" s="1"/>
      <c r="H419"/>
    </row>
    <row r="420" spans="1:8" x14ac:dyDescent="0.25">
      <c r="A420"/>
      <c r="B420"/>
      <c r="C420"/>
      <c r="D420" s="1"/>
      <c r="E420"/>
      <c r="F420"/>
      <c r="G420" s="1"/>
      <c r="H420"/>
    </row>
    <row r="421" spans="1:8" x14ac:dyDescent="0.25">
      <c r="A421"/>
      <c r="B421"/>
      <c r="C421"/>
      <c r="D421" s="1"/>
      <c r="E421"/>
      <c r="F421"/>
      <c r="G421" s="1"/>
      <c r="H421"/>
    </row>
    <row r="422" spans="1:8" x14ac:dyDescent="0.25">
      <c r="A422"/>
      <c r="B422"/>
      <c r="C422"/>
      <c r="D422" s="1"/>
      <c r="E422"/>
      <c r="F422"/>
      <c r="G422" s="1"/>
      <c r="H422"/>
    </row>
    <row r="423" spans="1:8" x14ac:dyDescent="0.25">
      <c r="A423"/>
      <c r="B423"/>
      <c r="C423"/>
      <c r="D423" s="1"/>
      <c r="E423"/>
      <c r="F423"/>
      <c r="G423" s="1"/>
      <c r="H423"/>
    </row>
    <row r="424" spans="1:8" x14ac:dyDescent="0.25">
      <c r="A424"/>
      <c r="B424"/>
      <c r="C424"/>
      <c r="D424" s="1"/>
      <c r="E424"/>
      <c r="F424"/>
      <c r="G424" s="1"/>
      <c r="H424"/>
    </row>
    <row r="425" spans="1:8" x14ac:dyDescent="0.25">
      <c r="A425"/>
      <c r="B425"/>
      <c r="C425"/>
      <c r="D425" s="1"/>
      <c r="E425"/>
      <c r="F425"/>
      <c r="G425" s="1"/>
      <c r="H425"/>
    </row>
    <row r="426" spans="1:8" x14ac:dyDescent="0.25">
      <c r="A426"/>
      <c r="B426"/>
      <c r="C426"/>
      <c r="D426" s="1"/>
      <c r="E426"/>
      <c r="F426"/>
      <c r="G426" s="1"/>
      <c r="H426"/>
    </row>
    <row r="427" spans="1:8" x14ac:dyDescent="0.25">
      <c r="A427"/>
      <c r="B427"/>
      <c r="C427"/>
      <c r="D427" s="1"/>
      <c r="E427"/>
      <c r="F427"/>
      <c r="G427" s="1"/>
      <c r="H427"/>
    </row>
    <row r="428" spans="1:8" x14ac:dyDescent="0.25">
      <c r="A428"/>
      <c r="B428"/>
      <c r="C428"/>
      <c r="D428" s="1"/>
      <c r="E428"/>
      <c r="F428"/>
      <c r="G428" s="1"/>
      <c r="H428"/>
    </row>
    <row r="429" spans="1:8" x14ac:dyDescent="0.25">
      <c r="A429"/>
      <c r="B429"/>
      <c r="C429"/>
      <c r="D429" s="1"/>
      <c r="E429"/>
      <c r="F429"/>
      <c r="G429" s="1"/>
      <c r="H429"/>
    </row>
    <row r="430" spans="1:8" x14ac:dyDescent="0.25">
      <c r="A430"/>
      <c r="B430"/>
      <c r="C430"/>
      <c r="D430" s="1"/>
      <c r="E430"/>
      <c r="F430"/>
      <c r="G430" s="1"/>
      <c r="H430"/>
    </row>
    <row r="431" spans="1:8" x14ac:dyDescent="0.25">
      <c r="A431"/>
      <c r="B431"/>
      <c r="C431"/>
      <c r="D431" s="1"/>
      <c r="E431"/>
      <c r="F431"/>
      <c r="G431" s="1"/>
      <c r="H431"/>
    </row>
    <row r="432" spans="1:8" x14ac:dyDescent="0.25">
      <c r="A432"/>
      <c r="B432"/>
      <c r="C432"/>
      <c r="D432" s="1"/>
      <c r="E432"/>
      <c r="F432"/>
      <c r="G432" s="1"/>
      <c r="H432"/>
    </row>
    <row r="433" spans="1:8" x14ac:dyDescent="0.25">
      <c r="A433"/>
      <c r="B433"/>
      <c r="C433"/>
      <c r="D433" s="1"/>
      <c r="E433"/>
      <c r="F433"/>
      <c r="G433" s="1"/>
      <c r="H433"/>
    </row>
    <row r="434" spans="1:8" x14ac:dyDescent="0.25">
      <c r="A434"/>
      <c r="B434"/>
      <c r="C434"/>
      <c r="D434" s="1"/>
      <c r="E434"/>
      <c r="F434"/>
      <c r="G434" s="1"/>
      <c r="H434"/>
    </row>
    <row r="435" spans="1:8" x14ac:dyDescent="0.25">
      <c r="A435"/>
      <c r="B435"/>
      <c r="C435"/>
      <c r="D435" s="1"/>
      <c r="E435"/>
      <c r="F435"/>
      <c r="G435" s="1"/>
      <c r="H435"/>
    </row>
    <row r="436" spans="1:8" x14ac:dyDescent="0.25">
      <c r="A436"/>
      <c r="B436"/>
      <c r="C436"/>
      <c r="D436" s="1"/>
      <c r="E436"/>
      <c r="F436"/>
      <c r="G436" s="1"/>
      <c r="H436"/>
    </row>
    <row r="437" spans="1:8" x14ac:dyDescent="0.25">
      <c r="A437"/>
      <c r="B437"/>
      <c r="C437"/>
      <c r="D437" s="1"/>
      <c r="E437"/>
      <c r="F437"/>
      <c r="G437" s="1"/>
      <c r="H437"/>
    </row>
    <row r="438" spans="1:8" x14ac:dyDescent="0.25">
      <c r="A438"/>
      <c r="B438"/>
      <c r="C438"/>
      <c r="D438" s="1"/>
      <c r="E438"/>
      <c r="F438"/>
      <c r="G438" s="1"/>
      <c r="H438"/>
    </row>
    <row r="439" spans="1:8" x14ac:dyDescent="0.25">
      <c r="A439"/>
      <c r="B439"/>
      <c r="C439"/>
      <c r="D439" s="1"/>
      <c r="E439"/>
      <c r="F439"/>
      <c r="G439" s="1"/>
      <c r="H439"/>
    </row>
    <row r="440" spans="1:8" x14ac:dyDescent="0.25">
      <c r="A440"/>
      <c r="B440"/>
      <c r="C440"/>
      <c r="D440" s="1"/>
      <c r="E440"/>
      <c r="F440"/>
      <c r="G440" s="1"/>
      <c r="H440"/>
    </row>
    <row r="441" spans="1:8" x14ac:dyDescent="0.25">
      <c r="A441"/>
      <c r="B441"/>
      <c r="C441"/>
      <c r="D441" s="1"/>
      <c r="E441"/>
      <c r="F441"/>
      <c r="G441" s="1"/>
      <c r="H441"/>
    </row>
    <row r="442" spans="1:8" x14ac:dyDescent="0.25">
      <c r="A442"/>
      <c r="B442"/>
      <c r="C442"/>
      <c r="D442" s="1"/>
      <c r="E442"/>
      <c r="F442"/>
      <c r="G442" s="1"/>
      <c r="H442"/>
    </row>
    <row r="443" spans="1:8" x14ac:dyDescent="0.25">
      <c r="A443"/>
      <c r="B443"/>
      <c r="C443"/>
      <c r="D443" s="1"/>
      <c r="E443"/>
      <c r="F443"/>
      <c r="G443" s="1"/>
      <c r="H443"/>
    </row>
    <row r="444" spans="1:8" x14ac:dyDescent="0.25">
      <c r="A444"/>
      <c r="B444"/>
      <c r="C444"/>
      <c r="D444" s="1"/>
      <c r="E444"/>
      <c r="F444"/>
      <c r="G444" s="1"/>
      <c r="H444"/>
    </row>
    <row r="445" spans="1:8" x14ac:dyDescent="0.25">
      <c r="A445"/>
      <c r="B445"/>
      <c r="C445"/>
      <c r="D445" s="1"/>
      <c r="E445"/>
      <c r="F445"/>
      <c r="G445" s="1"/>
      <c r="H445"/>
    </row>
    <row r="446" spans="1:8" x14ac:dyDescent="0.25">
      <c r="A446"/>
      <c r="B446"/>
      <c r="C446"/>
      <c r="D446" s="1"/>
      <c r="E446"/>
      <c r="F446"/>
      <c r="G446" s="1"/>
      <c r="H446"/>
    </row>
    <row r="447" spans="1:8" x14ac:dyDescent="0.25">
      <c r="A447"/>
      <c r="B447"/>
      <c r="C447"/>
      <c r="D447" s="1"/>
      <c r="E447"/>
      <c r="F447"/>
      <c r="G447" s="1"/>
      <c r="H447"/>
    </row>
    <row r="448" spans="1:8" x14ac:dyDescent="0.25">
      <c r="A448"/>
      <c r="B448"/>
      <c r="C448"/>
      <c r="D448" s="1"/>
      <c r="E448"/>
      <c r="F448"/>
      <c r="G448" s="1"/>
      <c r="H448"/>
    </row>
    <row r="449" spans="1:8" x14ac:dyDescent="0.25">
      <c r="A449"/>
      <c r="B449"/>
      <c r="C449"/>
      <c r="D449" s="1"/>
      <c r="E449"/>
      <c r="F449"/>
      <c r="G449" s="1"/>
      <c r="H449"/>
    </row>
    <row r="450" spans="1:8" x14ac:dyDescent="0.25">
      <c r="A450"/>
      <c r="B450"/>
      <c r="C450"/>
      <c r="D450" s="1"/>
      <c r="E450"/>
      <c r="F450"/>
      <c r="G450" s="1"/>
      <c r="H450"/>
    </row>
    <row r="451" spans="1:8" x14ac:dyDescent="0.25">
      <c r="A451"/>
      <c r="B451"/>
      <c r="C451"/>
      <c r="D451" s="1"/>
      <c r="E451"/>
      <c r="F451"/>
      <c r="G451" s="1"/>
      <c r="H451"/>
    </row>
    <row r="452" spans="1:8" x14ac:dyDescent="0.25">
      <c r="A452"/>
      <c r="B452"/>
      <c r="C452"/>
      <c r="D452" s="1"/>
      <c r="E452"/>
      <c r="F452"/>
      <c r="G452" s="1"/>
      <c r="H452"/>
    </row>
    <row r="453" spans="1:8" x14ac:dyDescent="0.25">
      <c r="A453"/>
      <c r="B453"/>
      <c r="C453"/>
      <c r="D453" s="1"/>
      <c r="E453"/>
      <c r="F453"/>
      <c r="G453" s="1"/>
      <c r="H453"/>
    </row>
    <row r="454" spans="1:8" x14ac:dyDescent="0.25">
      <c r="A454"/>
      <c r="B454"/>
      <c r="C454"/>
      <c r="D454" s="1"/>
      <c r="E454"/>
      <c r="F454"/>
      <c r="G454" s="1"/>
      <c r="H454"/>
    </row>
    <row r="455" spans="1:8" x14ac:dyDescent="0.25">
      <c r="A455"/>
      <c r="B455"/>
      <c r="C455"/>
      <c r="D455" s="1"/>
      <c r="E455"/>
      <c r="F455"/>
      <c r="G455" s="1"/>
      <c r="H455"/>
    </row>
    <row r="456" spans="1:8" x14ac:dyDescent="0.25">
      <c r="A456"/>
      <c r="B456"/>
      <c r="C456"/>
      <c r="D456" s="1"/>
      <c r="E456"/>
      <c r="F456"/>
      <c r="G456" s="1"/>
      <c r="H456"/>
    </row>
    <row r="457" spans="1:8" x14ac:dyDescent="0.25">
      <c r="A457"/>
      <c r="B457"/>
      <c r="C457"/>
      <c r="D457" s="1"/>
      <c r="E457"/>
      <c r="F457"/>
      <c r="G457" s="1"/>
      <c r="H457"/>
    </row>
    <row r="458" spans="1:8" x14ac:dyDescent="0.25">
      <c r="A458"/>
      <c r="B458"/>
      <c r="C458"/>
      <c r="D458" s="1"/>
      <c r="E458"/>
      <c r="F458"/>
      <c r="G458" s="1"/>
      <c r="H458"/>
    </row>
    <row r="459" spans="1:8" x14ac:dyDescent="0.25">
      <c r="A459"/>
      <c r="B459"/>
      <c r="C459"/>
      <c r="D459" s="1"/>
      <c r="E459"/>
      <c r="F459"/>
      <c r="G459" s="1"/>
      <c r="H459"/>
    </row>
    <row r="460" spans="1:8" x14ac:dyDescent="0.25">
      <c r="A460"/>
      <c r="B460"/>
      <c r="C460"/>
      <c r="D460" s="1"/>
      <c r="E460"/>
      <c r="F460"/>
      <c r="G460" s="1"/>
      <c r="H460"/>
    </row>
    <row r="461" spans="1:8" x14ac:dyDescent="0.25">
      <c r="A461"/>
      <c r="B461"/>
      <c r="C461"/>
      <c r="D461" s="1"/>
      <c r="E461"/>
      <c r="F461"/>
      <c r="G461" s="1"/>
      <c r="H461"/>
    </row>
    <row r="462" spans="1:8" x14ac:dyDescent="0.25">
      <c r="A462"/>
      <c r="B462"/>
      <c r="C462"/>
      <c r="D462" s="1"/>
      <c r="E462"/>
      <c r="F462"/>
      <c r="G462" s="1"/>
      <c r="H462"/>
    </row>
    <row r="463" spans="1:8" x14ac:dyDescent="0.25">
      <c r="A463"/>
      <c r="B463"/>
      <c r="C463"/>
      <c r="D463" s="1"/>
      <c r="E463"/>
      <c r="F463"/>
      <c r="G463" s="1"/>
      <c r="H463"/>
    </row>
    <row r="464" spans="1:8" x14ac:dyDescent="0.25">
      <c r="A464"/>
      <c r="B464"/>
      <c r="C464"/>
      <c r="D464" s="1"/>
      <c r="E464"/>
      <c r="F464"/>
      <c r="G464" s="1"/>
      <c r="H464"/>
    </row>
    <row r="465" spans="1:8" x14ac:dyDescent="0.25">
      <c r="A465"/>
      <c r="B465"/>
      <c r="C465"/>
      <c r="D465" s="1"/>
      <c r="E465"/>
      <c r="F465"/>
      <c r="G465" s="1"/>
      <c r="H465"/>
    </row>
    <row r="466" spans="1:8" x14ac:dyDescent="0.25">
      <c r="A466"/>
      <c r="B466"/>
      <c r="C466"/>
      <c r="D466" s="1"/>
      <c r="E466"/>
      <c r="F466"/>
      <c r="G466" s="1"/>
      <c r="H466"/>
    </row>
    <row r="467" spans="1:8" x14ac:dyDescent="0.25">
      <c r="A467"/>
      <c r="B467"/>
      <c r="C467"/>
      <c r="D467" s="1"/>
      <c r="E467"/>
      <c r="F467"/>
      <c r="G467" s="1"/>
      <c r="H467"/>
    </row>
    <row r="468" spans="1:8" x14ac:dyDescent="0.25">
      <c r="A468"/>
      <c r="B468"/>
      <c r="C468"/>
      <c r="D468" s="1"/>
      <c r="E468"/>
      <c r="F468"/>
      <c r="G468" s="1"/>
      <c r="H468"/>
    </row>
    <row r="469" spans="1:8" x14ac:dyDescent="0.25">
      <c r="A469"/>
      <c r="B469"/>
      <c r="C469"/>
      <c r="D469" s="1"/>
      <c r="E469"/>
      <c r="F469"/>
      <c r="G469" s="1"/>
      <c r="H469"/>
    </row>
    <row r="470" spans="1:8" x14ac:dyDescent="0.25">
      <c r="A470"/>
      <c r="B470"/>
      <c r="C470"/>
      <c r="D470" s="1"/>
      <c r="E470"/>
      <c r="F470"/>
      <c r="G470" s="1"/>
      <c r="H470"/>
    </row>
    <row r="471" spans="1:8" x14ac:dyDescent="0.25">
      <c r="A471"/>
      <c r="B471"/>
      <c r="C471"/>
      <c r="D471" s="1"/>
      <c r="E471"/>
      <c r="F471"/>
      <c r="G471" s="1"/>
      <c r="H471"/>
    </row>
    <row r="472" spans="1:8" x14ac:dyDescent="0.25">
      <c r="A472"/>
      <c r="B472"/>
      <c r="C472"/>
      <c r="D472" s="1"/>
      <c r="E472"/>
      <c r="F472"/>
      <c r="G472" s="1"/>
      <c r="H472"/>
    </row>
    <row r="473" spans="1:8" x14ac:dyDescent="0.25">
      <c r="A473"/>
      <c r="B473"/>
      <c r="C473"/>
      <c r="D473" s="1"/>
      <c r="E473"/>
      <c r="F473"/>
      <c r="G473" s="1"/>
      <c r="H473"/>
    </row>
    <row r="474" spans="1:8" x14ac:dyDescent="0.25">
      <c r="A474"/>
      <c r="B474"/>
      <c r="C474"/>
      <c r="D474" s="1"/>
      <c r="E474"/>
      <c r="F474"/>
      <c r="G474" s="1"/>
      <c r="H474"/>
    </row>
    <row r="475" spans="1:8" x14ac:dyDescent="0.25">
      <c r="A475"/>
      <c r="B475"/>
      <c r="C475"/>
      <c r="D475" s="1"/>
      <c r="E475"/>
      <c r="F475"/>
      <c r="G475" s="1"/>
      <c r="H475"/>
    </row>
    <row r="476" spans="1:8" x14ac:dyDescent="0.25">
      <c r="A476"/>
      <c r="B476"/>
      <c r="C476"/>
      <c r="D476" s="1"/>
      <c r="E476"/>
      <c r="F476"/>
      <c r="G476" s="1"/>
      <c r="H476"/>
    </row>
    <row r="477" spans="1:8" x14ac:dyDescent="0.25">
      <c r="A477"/>
      <c r="B477"/>
      <c r="C477"/>
      <c r="D477" s="1"/>
      <c r="E477"/>
      <c r="F477"/>
      <c r="G477" s="1"/>
      <c r="H477"/>
    </row>
    <row r="478" spans="1:8" x14ac:dyDescent="0.25">
      <c r="A478"/>
      <c r="B478"/>
      <c r="C478"/>
      <c r="D478" s="1"/>
      <c r="E478"/>
      <c r="F478"/>
      <c r="G478" s="1"/>
      <c r="H478"/>
    </row>
    <row r="479" spans="1:8" x14ac:dyDescent="0.25">
      <c r="A479"/>
      <c r="B479"/>
      <c r="C479"/>
      <c r="D479" s="1"/>
      <c r="E479"/>
      <c r="F479"/>
      <c r="G479" s="1"/>
      <c r="H479"/>
    </row>
    <row r="480" spans="1:8" x14ac:dyDescent="0.25">
      <c r="A480"/>
      <c r="B480"/>
      <c r="C480"/>
      <c r="D480" s="1"/>
      <c r="E480"/>
      <c r="F480"/>
      <c r="G480" s="1"/>
      <c r="H480"/>
    </row>
    <row r="481" spans="1:8" x14ac:dyDescent="0.25">
      <c r="A481"/>
      <c r="B481"/>
      <c r="C481"/>
      <c r="D481" s="1"/>
      <c r="E481"/>
      <c r="F481"/>
      <c r="G481" s="1"/>
      <c r="H481"/>
    </row>
    <row r="482" spans="1:8" x14ac:dyDescent="0.25">
      <c r="A482"/>
      <c r="B482"/>
      <c r="C482"/>
      <c r="D482" s="1"/>
      <c r="E482"/>
      <c r="F482"/>
      <c r="G482" s="1"/>
      <c r="H482"/>
    </row>
    <row r="483" spans="1:8" x14ac:dyDescent="0.25">
      <c r="A483"/>
      <c r="B483"/>
      <c r="C483"/>
      <c r="D483" s="1"/>
      <c r="E483"/>
      <c r="F483"/>
      <c r="G483" s="1"/>
      <c r="H483"/>
    </row>
    <row r="484" spans="1:8" x14ac:dyDescent="0.25">
      <c r="A484"/>
      <c r="B484"/>
      <c r="C484"/>
      <c r="D484" s="1"/>
      <c r="E484"/>
      <c r="F484"/>
      <c r="G484" s="1"/>
      <c r="H484"/>
    </row>
    <row r="485" spans="1:8" x14ac:dyDescent="0.25">
      <c r="A485"/>
      <c r="B485"/>
      <c r="C485"/>
      <c r="D485" s="1"/>
      <c r="E485"/>
      <c r="F485"/>
      <c r="G485" s="1"/>
      <c r="H485"/>
    </row>
    <row r="486" spans="1:8" x14ac:dyDescent="0.25">
      <c r="A486"/>
      <c r="B486"/>
      <c r="C486"/>
      <c r="D486" s="1"/>
      <c r="E486"/>
      <c r="F486"/>
      <c r="G486" s="1"/>
      <c r="H486"/>
    </row>
    <row r="487" spans="1:8" x14ac:dyDescent="0.25">
      <c r="A487"/>
      <c r="B487"/>
      <c r="C487"/>
      <c r="D487" s="1"/>
      <c r="E487"/>
      <c r="F487"/>
      <c r="G487" s="1"/>
      <c r="H487"/>
    </row>
    <row r="488" spans="1:8" x14ac:dyDescent="0.25">
      <c r="A488"/>
      <c r="B488"/>
      <c r="C488"/>
      <c r="D488" s="1"/>
      <c r="E488"/>
      <c r="F488"/>
      <c r="G488" s="1"/>
      <c r="H488"/>
    </row>
    <row r="489" spans="1:8" x14ac:dyDescent="0.25">
      <c r="A489"/>
      <c r="B489"/>
      <c r="C489"/>
      <c r="D489" s="1"/>
      <c r="E489"/>
      <c r="F489"/>
      <c r="G489" s="1"/>
      <c r="H489"/>
    </row>
    <row r="490" spans="1:8" x14ac:dyDescent="0.25">
      <c r="A490"/>
      <c r="B490"/>
      <c r="C490"/>
      <c r="D490" s="1"/>
      <c r="E490"/>
      <c r="F490"/>
      <c r="G490" s="1"/>
      <c r="H490"/>
    </row>
    <row r="491" spans="1:8" x14ac:dyDescent="0.25">
      <c r="A491"/>
      <c r="B491"/>
      <c r="C491"/>
      <c r="D491" s="1"/>
      <c r="E491"/>
      <c r="F491"/>
      <c r="G491" s="1"/>
      <c r="H491"/>
    </row>
    <row r="492" spans="1:8" x14ac:dyDescent="0.25">
      <c r="A492"/>
      <c r="B492"/>
      <c r="C492"/>
      <c r="D492" s="1"/>
      <c r="E492"/>
      <c r="F492"/>
      <c r="G492" s="1"/>
      <c r="H492"/>
    </row>
    <row r="493" spans="1:8" x14ac:dyDescent="0.25">
      <c r="A493"/>
      <c r="B493"/>
      <c r="C493"/>
      <c r="D493" s="1"/>
      <c r="E493"/>
      <c r="F493"/>
      <c r="G493" s="1"/>
      <c r="H493"/>
    </row>
    <row r="494" spans="1:8" x14ac:dyDescent="0.25">
      <c r="A494"/>
      <c r="B494"/>
      <c r="C494"/>
      <c r="D494" s="1"/>
      <c r="E494"/>
      <c r="F494"/>
      <c r="G494" s="1"/>
      <c r="H494"/>
    </row>
    <row r="495" spans="1:8" x14ac:dyDescent="0.25">
      <c r="A495"/>
      <c r="B495"/>
      <c r="C495"/>
      <c r="D495" s="1"/>
      <c r="E495"/>
      <c r="F495"/>
      <c r="G495" s="1"/>
      <c r="H495"/>
    </row>
    <row r="496" spans="1:8" x14ac:dyDescent="0.25">
      <c r="A496"/>
      <c r="B496"/>
      <c r="C496"/>
      <c r="D496" s="1"/>
      <c r="E496"/>
      <c r="F496"/>
      <c r="G496" s="1"/>
      <c r="H496"/>
    </row>
    <row r="497" spans="1:8" x14ac:dyDescent="0.25">
      <c r="A497"/>
      <c r="B497"/>
      <c r="C497"/>
      <c r="D497" s="1"/>
      <c r="E497"/>
      <c r="F497"/>
      <c r="G497" s="1"/>
      <c r="H497"/>
    </row>
    <row r="498" spans="1:8" x14ac:dyDescent="0.25">
      <c r="A498"/>
      <c r="B498"/>
      <c r="C498"/>
      <c r="D498" s="1"/>
      <c r="E498"/>
      <c r="F498"/>
      <c r="G498" s="1"/>
      <c r="H498"/>
    </row>
    <row r="499" spans="1:8" x14ac:dyDescent="0.25">
      <c r="A499"/>
      <c r="B499"/>
      <c r="C499"/>
      <c r="D499" s="1"/>
      <c r="E499"/>
      <c r="F499"/>
      <c r="G499" s="1"/>
      <c r="H499"/>
    </row>
    <row r="500" spans="1:8" x14ac:dyDescent="0.25">
      <c r="A500"/>
      <c r="B500"/>
      <c r="C500"/>
      <c r="D500" s="1"/>
      <c r="E500"/>
      <c r="F500"/>
      <c r="G500" s="1"/>
      <c r="H500"/>
    </row>
    <row r="501" spans="1:8" x14ac:dyDescent="0.25">
      <c r="A501"/>
      <c r="B501"/>
      <c r="C501"/>
      <c r="D501" s="1"/>
      <c r="E501"/>
      <c r="F501"/>
      <c r="G501" s="1"/>
      <c r="H501"/>
    </row>
    <row r="502" spans="1:8" x14ac:dyDescent="0.25">
      <c r="A502"/>
      <c r="B502"/>
      <c r="C502"/>
      <c r="D502" s="1"/>
      <c r="E502"/>
      <c r="F502"/>
      <c r="G502" s="1"/>
      <c r="H502"/>
    </row>
    <row r="503" spans="1:8" x14ac:dyDescent="0.25">
      <c r="A503"/>
      <c r="B503"/>
      <c r="C503"/>
      <c r="D503" s="1"/>
      <c r="E503"/>
      <c r="F503"/>
      <c r="G503" s="1"/>
      <c r="H503"/>
    </row>
    <row r="504" spans="1:8" x14ac:dyDescent="0.25">
      <c r="A504"/>
      <c r="B504"/>
      <c r="C504"/>
      <c r="D504" s="1"/>
      <c r="E504"/>
      <c r="F504"/>
      <c r="G504" s="1"/>
      <c r="H504"/>
    </row>
    <row r="505" spans="1:8" x14ac:dyDescent="0.25">
      <c r="A505"/>
      <c r="B505"/>
      <c r="C505"/>
      <c r="D505" s="1"/>
      <c r="E505"/>
      <c r="F505"/>
      <c r="G505" s="1"/>
      <c r="H505"/>
    </row>
    <row r="506" spans="1:8" x14ac:dyDescent="0.25">
      <c r="A506"/>
      <c r="B506"/>
      <c r="C506"/>
      <c r="D506" s="1"/>
      <c r="E506"/>
      <c r="F506"/>
      <c r="G506" s="1"/>
      <c r="H506"/>
    </row>
    <row r="507" spans="1:8" x14ac:dyDescent="0.25">
      <c r="A507"/>
      <c r="B507"/>
      <c r="C507"/>
      <c r="D507" s="1"/>
      <c r="E507"/>
      <c r="F507"/>
      <c r="G507" s="1"/>
      <c r="H507"/>
    </row>
    <row r="508" spans="1:8" x14ac:dyDescent="0.25">
      <c r="A508"/>
      <c r="B508"/>
      <c r="C508"/>
      <c r="D508" s="1"/>
      <c r="E508"/>
      <c r="F508"/>
      <c r="G508" s="1"/>
      <c r="H508"/>
    </row>
    <row r="509" spans="1:8" x14ac:dyDescent="0.25">
      <c r="A509"/>
      <c r="B509"/>
      <c r="C509"/>
      <c r="D509" s="1"/>
      <c r="E509"/>
      <c r="F509"/>
      <c r="G509" s="1"/>
      <c r="H509"/>
    </row>
    <row r="510" spans="1:8" x14ac:dyDescent="0.25">
      <c r="A510"/>
      <c r="B510"/>
      <c r="C510"/>
      <c r="D510" s="1"/>
      <c r="E510"/>
      <c r="F510"/>
      <c r="G510" s="1"/>
      <c r="H510"/>
    </row>
    <row r="511" spans="1:8" x14ac:dyDescent="0.25">
      <c r="A511"/>
      <c r="B511"/>
      <c r="C511"/>
      <c r="D511" s="1"/>
      <c r="E511"/>
      <c r="F511"/>
      <c r="G511" s="1"/>
      <c r="H511"/>
    </row>
    <row r="512" spans="1:8" x14ac:dyDescent="0.25">
      <c r="A512"/>
      <c r="B512"/>
      <c r="C512"/>
      <c r="D512" s="1"/>
      <c r="E512"/>
      <c r="F512"/>
      <c r="G512" s="1"/>
      <c r="H512"/>
    </row>
    <row r="513" spans="1:8" x14ac:dyDescent="0.25">
      <c r="A513"/>
      <c r="B513"/>
      <c r="C513"/>
      <c r="D513" s="1"/>
      <c r="E513"/>
      <c r="F513"/>
      <c r="G513" s="1"/>
      <c r="H513"/>
    </row>
    <row r="514" spans="1:8" x14ac:dyDescent="0.25">
      <c r="A514"/>
      <c r="B514"/>
      <c r="C514"/>
      <c r="D514" s="1"/>
      <c r="E514"/>
      <c r="F514"/>
      <c r="G514" s="1"/>
      <c r="H514"/>
    </row>
    <row r="515" spans="1:8" x14ac:dyDescent="0.25">
      <c r="A515"/>
      <c r="B515"/>
      <c r="C515"/>
      <c r="D515" s="1"/>
      <c r="E515"/>
      <c r="F515"/>
      <c r="G515" s="1"/>
      <c r="H515"/>
    </row>
    <row r="516" spans="1:8" x14ac:dyDescent="0.25">
      <c r="A516"/>
      <c r="B516"/>
      <c r="C516"/>
      <c r="D516" s="1"/>
      <c r="E516"/>
      <c r="F516"/>
      <c r="G516" s="1"/>
      <c r="H516"/>
    </row>
    <row r="517" spans="1:8" x14ac:dyDescent="0.25">
      <c r="A517"/>
      <c r="B517"/>
      <c r="C517"/>
      <c r="D517" s="1"/>
      <c r="E517"/>
      <c r="F517"/>
      <c r="G517" s="1"/>
      <c r="H517"/>
    </row>
    <row r="518" spans="1:8" x14ac:dyDescent="0.25">
      <c r="A518"/>
      <c r="B518"/>
      <c r="C518"/>
      <c r="D518" s="1"/>
      <c r="E518"/>
      <c r="F518"/>
      <c r="G518" s="1"/>
      <c r="H518"/>
    </row>
    <row r="519" spans="1:8" x14ac:dyDescent="0.25">
      <c r="A519"/>
      <c r="B519"/>
      <c r="C519"/>
      <c r="D519" s="1"/>
      <c r="E519"/>
      <c r="F519"/>
      <c r="G519" s="1"/>
      <c r="H519"/>
    </row>
    <row r="520" spans="1:8" x14ac:dyDescent="0.25">
      <c r="A520"/>
      <c r="B520"/>
      <c r="C520"/>
      <c r="D520" s="1"/>
      <c r="E520"/>
      <c r="F520"/>
      <c r="G520" s="1"/>
      <c r="H520"/>
    </row>
    <row r="521" spans="1:8" x14ac:dyDescent="0.25">
      <c r="A521"/>
      <c r="B521"/>
      <c r="C521"/>
      <c r="D521" s="1"/>
      <c r="E521"/>
      <c r="F521"/>
      <c r="G521" s="1"/>
      <c r="H521"/>
    </row>
    <row r="522" spans="1:8" x14ac:dyDescent="0.25">
      <c r="A522"/>
      <c r="B522"/>
      <c r="C522"/>
      <c r="D522" s="1"/>
      <c r="E522"/>
      <c r="F522"/>
      <c r="G522" s="1"/>
      <c r="H522"/>
    </row>
    <row r="523" spans="1:8" x14ac:dyDescent="0.25">
      <c r="A523"/>
      <c r="B523"/>
      <c r="C523"/>
      <c r="D523" s="1"/>
      <c r="E523"/>
      <c r="F523"/>
      <c r="G523" s="1"/>
      <c r="H523"/>
    </row>
    <row r="524" spans="1:8" x14ac:dyDescent="0.25">
      <c r="A524"/>
      <c r="B524"/>
      <c r="C524"/>
      <c r="D524" s="1"/>
      <c r="E524"/>
      <c r="F524"/>
      <c r="G524" s="1"/>
      <c r="H524"/>
    </row>
    <row r="525" spans="1:8" x14ac:dyDescent="0.25">
      <c r="A525"/>
      <c r="B525"/>
      <c r="C525"/>
      <c r="D525" s="1"/>
      <c r="E525"/>
      <c r="F525"/>
      <c r="G525" s="1"/>
      <c r="H525"/>
    </row>
    <row r="526" spans="1:8" x14ac:dyDescent="0.25">
      <c r="A526"/>
      <c r="B526"/>
      <c r="C526"/>
      <c r="D526" s="1"/>
      <c r="E526"/>
      <c r="F526"/>
      <c r="G526" s="1"/>
      <c r="H526"/>
    </row>
    <row r="527" spans="1:8" x14ac:dyDescent="0.25">
      <c r="A527"/>
      <c r="B527"/>
      <c r="C527"/>
      <c r="D527" s="1"/>
      <c r="E527"/>
      <c r="F527"/>
      <c r="G527" s="1"/>
      <c r="H527"/>
    </row>
    <row r="528" spans="1:8" x14ac:dyDescent="0.25">
      <c r="A528"/>
      <c r="B528"/>
      <c r="C528"/>
      <c r="D528" s="1"/>
      <c r="E528"/>
      <c r="F528"/>
      <c r="G528" s="1"/>
      <c r="H528"/>
    </row>
    <row r="529" spans="1:8" x14ac:dyDescent="0.25">
      <c r="A529"/>
      <c r="B529"/>
      <c r="C529"/>
      <c r="D529" s="1"/>
      <c r="E529"/>
      <c r="F529"/>
      <c r="G529" s="1"/>
      <c r="H529"/>
    </row>
    <row r="530" spans="1:8" x14ac:dyDescent="0.25">
      <c r="A530"/>
      <c r="B530"/>
      <c r="C530"/>
      <c r="D530" s="1"/>
      <c r="E530"/>
      <c r="F530"/>
      <c r="G530" s="1"/>
      <c r="H530"/>
    </row>
    <row r="531" spans="1:8" x14ac:dyDescent="0.25">
      <c r="A531"/>
      <c r="B531"/>
      <c r="C531"/>
      <c r="D531" s="1"/>
      <c r="E531"/>
      <c r="F531"/>
      <c r="G531" s="1"/>
      <c r="H531"/>
    </row>
    <row r="532" spans="1:8" x14ac:dyDescent="0.25">
      <c r="A532"/>
      <c r="B532"/>
      <c r="C532"/>
      <c r="D532" s="1"/>
      <c r="E532"/>
      <c r="F532"/>
      <c r="G532" s="1"/>
      <c r="H532"/>
    </row>
    <row r="533" spans="1:8" x14ac:dyDescent="0.25">
      <c r="A533"/>
      <c r="B533"/>
      <c r="C533"/>
      <c r="D533" s="1"/>
      <c r="E533"/>
      <c r="F533"/>
      <c r="G533" s="1"/>
      <c r="H533"/>
    </row>
    <row r="534" spans="1:8" x14ac:dyDescent="0.25">
      <c r="A534"/>
      <c r="B534"/>
      <c r="C534"/>
      <c r="D534" s="1"/>
      <c r="E534"/>
      <c r="F534"/>
      <c r="G534" s="1"/>
      <c r="H534"/>
    </row>
    <row r="535" spans="1:8" x14ac:dyDescent="0.25">
      <c r="A535"/>
      <c r="B535"/>
      <c r="C535"/>
      <c r="D535" s="1"/>
      <c r="E535"/>
      <c r="F535"/>
      <c r="G535" s="1"/>
      <c r="H535"/>
    </row>
    <row r="536" spans="1:8" x14ac:dyDescent="0.25">
      <c r="A536"/>
      <c r="B536"/>
      <c r="C536"/>
      <c r="D536" s="1"/>
      <c r="E536"/>
      <c r="F536"/>
      <c r="G536" s="1"/>
      <c r="H536"/>
    </row>
    <row r="537" spans="1:8" x14ac:dyDescent="0.25">
      <c r="A537"/>
      <c r="B537"/>
      <c r="C537"/>
      <c r="D537" s="1"/>
      <c r="E537"/>
      <c r="F537"/>
      <c r="G537" s="1"/>
      <c r="H537"/>
    </row>
    <row r="538" spans="1:8" x14ac:dyDescent="0.25">
      <c r="A538"/>
      <c r="B538"/>
      <c r="C538"/>
      <c r="D538" s="1"/>
      <c r="E538"/>
      <c r="F538"/>
      <c r="G538" s="1"/>
      <c r="H538"/>
    </row>
    <row r="539" spans="1:8" x14ac:dyDescent="0.25">
      <c r="A539"/>
      <c r="B539"/>
      <c r="C539"/>
      <c r="D539" s="1"/>
      <c r="E539"/>
      <c r="F539"/>
      <c r="G539" s="1"/>
      <c r="H539"/>
    </row>
    <row r="540" spans="1:8" x14ac:dyDescent="0.25">
      <c r="A540"/>
      <c r="B540"/>
      <c r="C540"/>
      <c r="D540" s="1"/>
      <c r="E540"/>
      <c r="F540"/>
      <c r="G540" s="1"/>
      <c r="H540"/>
    </row>
    <row r="541" spans="1:8" x14ac:dyDescent="0.25">
      <c r="A541"/>
      <c r="B541"/>
      <c r="C541"/>
      <c r="D541" s="1"/>
      <c r="E541"/>
      <c r="F541"/>
      <c r="G541" s="1"/>
      <c r="H541"/>
    </row>
    <row r="542" spans="1:8" x14ac:dyDescent="0.25">
      <c r="A542"/>
      <c r="B542"/>
      <c r="C542"/>
      <c r="D542" s="1"/>
      <c r="E542"/>
      <c r="F542"/>
      <c r="G542" s="1"/>
      <c r="H542"/>
    </row>
    <row r="543" spans="1:8" x14ac:dyDescent="0.25">
      <c r="A543"/>
      <c r="B543"/>
      <c r="C543"/>
      <c r="D543" s="1"/>
      <c r="E543"/>
      <c r="F543"/>
      <c r="G543" s="1"/>
      <c r="H543"/>
    </row>
    <row r="544" spans="1:8" x14ac:dyDescent="0.25">
      <c r="A544"/>
      <c r="B544"/>
      <c r="C544"/>
      <c r="D544" s="1"/>
      <c r="E544"/>
      <c r="F544"/>
      <c r="G544" s="1"/>
      <c r="H544"/>
    </row>
    <row r="545" spans="1:8" x14ac:dyDescent="0.25">
      <c r="A545"/>
      <c r="B545"/>
      <c r="C545"/>
      <c r="D545" s="1"/>
      <c r="E545"/>
      <c r="F545"/>
      <c r="G545" s="1"/>
      <c r="H545"/>
    </row>
    <row r="546" spans="1:8" x14ac:dyDescent="0.25">
      <c r="A546"/>
      <c r="B546"/>
      <c r="C546"/>
      <c r="D546" s="1"/>
      <c r="E546"/>
      <c r="F546"/>
      <c r="G546" s="1"/>
      <c r="H546"/>
    </row>
    <row r="547" spans="1:8" x14ac:dyDescent="0.25">
      <c r="A547"/>
      <c r="B547"/>
      <c r="C547"/>
      <c r="D547" s="1"/>
      <c r="E547"/>
      <c r="F547"/>
      <c r="G547" s="1"/>
      <c r="H547"/>
    </row>
    <row r="548" spans="1:8" x14ac:dyDescent="0.25">
      <c r="A548"/>
      <c r="B548"/>
      <c r="C548"/>
      <c r="D548" s="1"/>
      <c r="E548"/>
      <c r="F548"/>
      <c r="G548" s="1"/>
      <c r="H548"/>
    </row>
    <row r="549" spans="1:8" x14ac:dyDescent="0.25">
      <c r="A549"/>
      <c r="B549"/>
      <c r="C549"/>
      <c r="D549" s="1"/>
      <c r="E549"/>
      <c r="F549"/>
      <c r="G549" s="1"/>
      <c r="H549"/>
    </row>
    <row r="550" spans="1:8" x14ac:dyDescent="0.25">
      <c r="A550"/>
      <c r="B550"/>
      <c r="C550"/>
      <c r="D550" s="1"/>
      <c r="E550"/>
      <c r="F550"/>
      <c r="G550" s="1"/>
      <c r="H550"/>
    </row>
    <row r="551" spans="1:8" x14ac:dyDescent="0.25">
      <c r="A551"/>
      <c r="B551"/>
      <c r="C551"/>
      <c r="D551" s="1"/>
      <c r="E551"/>
      <c r="F551"/>
      <c r="G551" s="1"/>
      <c r="H551"/>
    </row>
    <row r="552" spans="1:8" x14ac:dyDescent="0.25">
      <c r="A552"/>
      <c r="B552"/>
      <c r="C552"/>
      <c r="D552" s="1"/>
      <c r="E552"/>
      <c r="F552"/>
      <c r="G552" s="1"/>
      <c r="H552"/>
    </row>
    <row r="553" spans="1:8" x14ac:dyDescent="0.25">
      <c r="A553"/>
      <c r="B553"/>
      <c r="C553"/>
      <c r="D553" s="1"/>
      <c r="E553"/>
      <c r="F553"/>
      <c r="G553" s="1"/>
      <c r="H553"/>
    </row>
    <row r="554" spans="1:8" x14ac:dyDescent="0.25">
      <c r="A554"/>
      <c r="B554"/>
      <c r="C554"/>
      <c r="D554" s="1"/>
      <c r="E554"/>
      <c r="F554"/>
      <c r="G554" s="1"/>
      <c r="H554"/>
    </row>
    <row r="555" spans="1:8" x14ac:dyDescent="0.25">
      <c r="A555"/>
      <c r="B555"/>
      <c r="C555"/>
      <c r="D555" s="1"/>
      <c r="E555"/>
      <c r="F555"/>
      <c r="G555" s="1"/>
      <c r="H555"/>
    </row>
    <row r="556" spans="1:8" x14ac:dyDescent="0.25">
      <c r="A556"/>
      <c r="B556"/>
      <c r="C556"/>
      <c r="D556" s="1"/>
      <c r="E556"/>
      <c r="F556"/>
      <c r="G556" s="1"/>
      <c r="H556"/>
    </row>
    <row r="557" spans="1:8" x14ac:dyDescent="0.25">
      <c r="A557"/>
      <c r="B557"/>
      <c r="C557"/>
      <c r="D557" s="1"/>
      <c r="E557"/>
      <c r="F557"/>
      <c r="G557" s="1"/>
      <c r="H557"/>
    </row>
    <row r="558" spans="1:8" x14ac:dyDescent="0.25">
      <c r="A558"/>
      <c r="B558"/>
      <c r="C558"/>
      <c r="D558" s="1"/>
      <c r="E558"/>
      <c r="F558"/>
      <c r="G558" s="1"/>
      <c r="H558"/>
    </row>
    <row r="559" spans="1:8" x14ac:dyDescent="0.25">
      <c r="A559"/>
      <c r="B559"/>
      <c r="C559"/>
      <c r="D559" s="1"/>
      <c r="E559"/>
      <c r="F559"/>
      <c r="G559" s="1"/>
      <c r="H559"/>
    </row>
    <row r="560" spans="1:8" x14ac:dyDescent="0.25">
      <c r="A560"/>
      <c r="B560"/>
      <c r="C560"/>
      <c r="D560" s="1"/>
      <c r="E560"/>
      <c r="F560"/>
      <c r="G560" s="1"/>
      <c r="H560"/>
    </row>
    <row r="561" spans="1:8" x14ac:dyDescent="0.25">
      <c r="A561"/>
      <c r="B561"/>
      <c r="C561"/>
      <c r="D561" s="1"/>
      <c r="E561"/>
      <c r="F561"/>
      <c r="G561" s="1"/>
      <c r="H561"/>
    </row>
    <row r="562" spans="1:8" x14ac:dyDescent="0.25">
      <c r="A562"/>
      <c r="B562"/>
      <c r="C562"/>
      <c r="D562" s="1"/>
      <c r="E562"/>
      <c r="F562"/>
      <c r="G562" s="1"/>
      <c r="H562"/>
    </row>
    <row r="563" spans="1:8" x14ac:dyDescent="0.25">
      <c r="A563"/>
      <c r="B563"/>
      <c r="C563"/>
      <c r="D563" s="1"/>
      <c r="E563"/>
      <c r="F563"/>
      <c r="G563" s="1"/>
      <c r="H563"/>
    </row>
    <row r="564" spans="1:8" x14ac:dyDescent="0.25">
      <c r="A564"/>
      <c r="B564"/>
      <c r="C564"/>
      <c r="D564" s="1"/>
      <c r="E564"/>
      <c r="F564"/>
      <c r="G564" s="1"/>
      <c r="H564"/>
    </row>
    <row r="565" spans="1:8" x14ac:dyDescent="0.25">
      <c r="A565"/>
      <c r="B565"/>
      <c r="C565"/>
      <c r="D565" s="1"/>
      <c r="E565"/>
      <c r="F565"/>
      <c r="G565" s="1"/>
      <c r="H565"/>
    </row>
    <row r="566" spans="1:8" x14ac:dyDescent="0.25">
      <c r="A566"/>
      <c r="B566"/>
      <c r="C566"/>
      <c r="D566" s="1"/>
      <c r="E566"/>
      <c r="F566"/>
      <c r="G566" s="1"/>
      <c r="H566"/>
    </row>
    <row r="567" spans="1:8" x14ac:dyDescent="0.25">
      <c r="A567"/>
      <c r="B567"/>
      <c r="C567"/>
      <c r="D567" s="1"/>
      <c r="E567"/>
      <c r="F567"/>
      <c r="G567" s="1"/>
      <c r="H567"/>
    </row>
    <row r="568" spans="1:8" x14ac:dyDescent="0.25">
      <c r="A568"/>
      <c r="B568"/>
      <c r="C568"/>
      <c r="D568" s="1"/>
      <c r="E568"/>
      <c r="F568"/>
      <c r="G568" s="1"/>
      <c r="H568"/>
    </row>
    <row r="569" spans="1:8" x14ac:dyDescent="0.25">
      <c r="A569"/>
      <c r="B569"/>
      <c r="C569"/>
      <c r="D569" s="1"/>
      <c r="E569"/>
      <c r="F569"/>
      <c r="G569" s="1"/>
      <c r="H569"/>
    </row>
    <row r="570" spans="1:8" x14ac:dyDescent="0.25">
      <c r="A570"/>
      <c r="B570"/>
      <c r="C570"/>
      <c r="D570" s="1"/>
      <c r="E570"/>
      <c r="F570"/>
      <c r="G570" s="1"/>
      <c r="H570"/>
    </row>
    <row r="571" spans="1:8" x14ac:dyDescent="0.25">
      <c r="A571"/>
      <c r="B571"/>
      <c r="C571"/>
      <c r="D571" s="1"/>
      <c r="E571"/>
      <c r="F571"/>
      <c r="G571" s="1"/>
      <c r="H571"/>
    </row>
    <row r="572" spans="1:8" x14ac:dyDescent="0.25">
      <c r="A572"/>
      <c r="B572"/>
      <c r="C572"/>
      <c r="D572" s="1"/>
      <c r="E572"/>
      <c r="F572"/>
      <c r="G572" s="1"/>
      <c r="H572"/>
    </row>
    <row r="573" spans="1:8" x14ac:dyDescent="0.25">
      <c r="A573"/>
      <c r="B573"/>
      <c r="C573"/>
      <c r="D573" s="1"/>
      <c r="E573"/>
      <c r="F573"/>
      <c r="G573" s="1"/>
      <c r="H573"/>
    </row>
    <row r="574" spans="1:8" x14ac:dyDescent="0.25">
      <c r="A574"/>
      <c r="B574"/>
      <c r="C574"/>
      <c r="D574" s="1"/>
      <c r="E574"/>
      <c r="F574"/>
      <c r="G574" s="1"/>
      <c r="H574"/>
    </row>
    <row r="575" spans="1:8" x14ac:dyDescent="0.25">
      <c r="A575"/>
      <c r="B575"/>
      <c r="C575"/>
      <c r="D575" s="1"/>
      <c r="E575"/>
      <c r="F575"/>
      <c r="G575" s="1"/>
      <c r="H575"/>
    </row>
    <row r="576" spans="1:8" x14ac:dyDescent="0.25">
      <c r="A576"/>
      <c r="B576"/>
      <c r="C576"/>
      <c r="D576" s="1"/>
      <c r="E576"/>
      <c r="F576"/>
      <c r="G576" s="1"/>
      <c r="H576"/>
    </row>
    <row r="577" spans="1:8" x14ac:dyDescent="0.25">
      <c r="A577"/>
      <c r="B577"/>
      <c r="C577"/>
      <c r="D577" s="1"/>
      <c r="E577"/>
      <c r="F577"/>
      <c r="G577" s="1"/>
      <c r="H577"/>
    </row>
    <row r="578" spans="1:8" x14ac:dyDescent="0.25">
      <c r="A578"/>
      <c r="B578"/>
      <c r="C578"/>
      <c r="D578" s="1"/>
      <c r="E578"/>
      <c r="F578"/>
      <c r="G578" s="1"/>
      <c r="H578"/>
    </row>
    <row r="579" spans="1:8" x14ac:dyDescent="0.25">
      <c r="A579"/>
      <c r="B579"/>
      <c r="C579"/>
      <c r="D579" s="1"/>
      <c r="E579"/>
      <c r="F579"/>
      <c r="G579" s="1"/>
      <c r="H579"/>
    </row>
    <row r="580" spans="1:8" x14ac:dyDescent="0.25">
      <c r="A580"/>
      <c r="B580"/>
      <c r="C580"/>
      <c r="D580" s="1"/>
      <c r="E580"/>
      <c r="F580"/>
      <c r="G580" s="1"/>
      <c r="H580"/>
    </row>
    <row r="581" spans="1:8" x14ac:dyDescent="0.25">
      <c r="A581"/>
      <c r="B581"/>
      <c r="C581"/>
      <c r="D581" s="1"/>
      <c r="E581"/>
      <c r="F581"/>
      <c r="G581" s="1"/>
      <c r="H581"/>
    </row>
    <row r="582" spans="1:8" x14ac:dyDescent="0.25">
      <c r="A582"/>
      <c r="B582"/>
      <c r="C582"/>
      <c r="D582" s="1"/>
      <c r="E582"/>
      <c r="F582"/>
      <c r="G582" s="1"/>
      <c r="H582"/>
    </row>
    <row r="583" spans="1:8" x14ac:dyDescent="0.25">
      <c r="A583"/>
      <c r="B583"/>
      <c r="C583"/>
      <c r="D583" s="1"/>
      <c r="E583"/>
      <c r="F583"/>
      <c r="G583" s="1"/>
      <c r="H583"/>
    </row>
    <row r="584" spans="1:8" x14ac:dyDescent="0.25">
      <c r="A584"/>
      <c r="B584"/>
      <c r="C584"/>
      <c r="D584" s="1"/>
      <c r="E584"/>
      <c r="F584"/>
      <c r="G584" s="1"/>
      <c r="H584"/>
    </row>
    <row r="585" spans="1:8" x14ac:dyDescent="0.25">
      <c r="A585"/>
      <c r="B585"/>
      <c r="C585"/>
      <c r="D585" s="1"/>
      <c r="E585"/>
      <c r="F585"/>
      <c r="G585" s="1"/>
      <c r="H585"/>
    </row>
    <row r="586" spans="1:8" x14ac:dyDescent="0.25">
      <c r="A586"/>
      <c r="B586"/>
      <c r="C586"/>
      <c r="D586" s="1"/>
      <c r="E586"/>
      <c r="F586"/>
      <c r="G586" s="1"/>
      <c r="H586"/>
    </row>
  </sheetData>
  <sortState ref="A2:H21">
    <sortCondition ref="D2"/>
  </sortState>
  <conditionalFormatting sqref="L3:L47">
    <cfRule type="cellIs" dxfId="10" priority="12" operator="greaterThanOrEqual">
      <formula>90</formula>
    </cfRule>
    <cfRule type="cellIs" dxfId="9" priority="13" operator="between">
      <formula>60</formula>
      <formula>90</formula>
    </cfRule>
    <cfRule type="cellIs" dxfId="8" priority="14" operator="between">
      <formula>30</formula>
      <formula>60</formula>
    </cfRule>
    <cfRule type="cellIs" dxfId="7" priority="15" operator="between">
      <formula>2</formula>
      <formula>30</formula>
    </cfRule>
    <cfRule type="cellIs" dxfId="6" priority="16" operator="equal">
      <formula>1</formula>
    </cfRule>
  </conditionalFormatting>
  <conditionalFormatting sqref="H3:I3 G22:G47 G4:I4 G5:H21 I5:I47 J3:J47 E3:F3 F4:F22 E4:E77">
    <cfRule type="expression" dxfId="5" priority="4">
      <formula>"""=SI(B2=""etching"";""1"""</formula>
    </cfRule>
  </conditionalFormatting>
  <pageMargins left="0.7" right="0.7" top="0.75" bottom="0.75" header="0.3" footer="0.3"/>
  <pageSetup paperSize="9" orientation="portrait" horizontalDpi="300" verticalDpi="300" r:id="rId1"/>
  <ignoredErrors>
    <ignoredError sqref="J3:J4 J11:J15 J25:J27 J22:J24 J29:J31 J34:J36 J38:J41 J37 J28 J42:J43 J32:J33 J19:J21 J16:J17 J9:J10 J5:J8 J44:J47 J18 H3:H4 H5:H6 H7:H19 H24:H26 H27:H41 H21:H23 H20 H43:H45 H42 H46:H47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 macro="[0]!nono">
                <anchor moveWithCells="1">
                  <from>
                    <xdr:col>11</xdr:col>
                    <xdr:colOff>457200</xdr:colOff>
                    <xdr:row>47</xdr:row>
                    <xdr:rowOff>161925</xdr:rowOff>
                  </from>
                  <to>
                    <xdr:col>11</xdr:col>
                    <xdr:colOff>2190750</xdr:colOff>
                    <xdr:row>51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R138"/>
  <sheetViews>
    <sheetView topLeftCell="B1" zoomScale="70" zoomScaleNormal="70" workbookViewId="0">
      <selection activeCell="H49" sqref="H49"/>
    </sheetView>
  </sheetViews>
  <sheetFormatPr defaultRowHeight="15" x14ac:dyDescent="0.25"/>
  <cols>
    <col min="1" max="1" width="39.42578125" style="1" customWidth="1"/>
    <col min="2" max="2" width="46.85546875" customWidth="1"/>
    <col min="3" max="3" width="11.7109375" style="16" customWidth="1"/>
    <col min="4" max="4" width="37.5703125" customWidth="1"/>
    <col min="5" max="5" width="13.85546875" customWidth="1"/>
    <col min="6" max="6" width="7.42578125" customWidth="1"/>
    <col min="7" max="7" width="38" customWidth="1"/>
    <col min="8" max="8" width="22.5703125" customWidth="1"/>
    <col min="9" max="9" width="34" customWidth="1"/>
    <col min="10" max="10" width="35.28515625" customWidth="1"/>
    <col min="11" max="11" width="31.42578125" customWidth="1"/>
    <col min="12" max="12" width="38" customWidth="1"/>
    <col min="14" max="14" width="9.140625" style="1"/>
    <col min="15" max="15" width="37.140625" style="1" customWidth="1"/>
  </cols>
  <sheetData>
    <row r="1" spans="1:18" ht="15.75" thickBot="1" x14ac:dyDescent="0.3">
      <c r="A1" s="29" t="s">
        <v>121</v>
      </c>
      <c r="B1" s="30" t="s">
        <v>0</v>
      </c>
      <c r="C1" s="30" t="s">
        <v>65</v>
      </c>
      <c r="D1" s="30" t="s">
        <v>68</v>
      </c>
      <c r="E1" s="32" t="s">
        <v>69</v>
      </c>
      <c r="G1" s="29" t="s">
        <v>68</v>
      </c>
      <c r="H1" s="30" t="s">
        <v>66</v>
      </c>
      <c r="I1" s="30" t="s">
        <v>70</v>
      </c>
      <c r="J1" s="30" t="s">
        <v>71</v>
      </c>
      <c r="K1" s="30" t="s">
        <v>2</v>
      </c>
      <c r="L1" s="31" t="s">
        <v>3</v>
      </c>
      <c r="N1" s="65" t="s">
        <v>122</v>
      </c>
      <c r="O1" s="66" t="s">
        <v>123</v>
      </c>
    </row>
    <row r="2" spans="1:18" x14ac:dyDescent="0.25">
      <c r="A2" s="59" t="s">
        <v>72</v>
      </c>
      <c r="B2" s="7"/>
      <c r="C2" s="17">
        <f t="shared" ref="C2:C66" si="0" xml:space="preserve"> 1</f>
        <v>1</v>
      </c>
      <c r="D2" s="10"/>
      <c r="E2" s="21" t="e">
        <f>INDEX(N:N,MATCH(B2,O:O,0),1)</f>
        <v>#N/A</v>
      </c>
      <c r="F2" s="4"/>
      <c r="G2" s="33" t="s">
        <v>74</v>
      </c>
      <c r="H2" s="34">
        <f>SUMIF(D:D,"STI - STR",C:C)</f>
        <v>0</v>
      </c>
      <c r="I2" s="35">
        <f>IF(H2&gt;4, 4,H2)+1</f>
        <v>1</v>
      </c>
      <c r="J2" s="36">
        <f t="shared" ref="J2:J46" si="1">IFERROR(AVERAGEIF($D$2:$D$956,G2,$E$2:$E$956),1)</f>
        <v>1</v>
      </c>
      <c r="K2" s="35">
        <v>3</v>
      </c>
      <c r="L2" s="37">
        <f>I2*J2*K2</f>
        <v>3</v>
      </c>
      <c r="M2" s="4"/>
      <c r="N2" s="72">
        <v>1</v>
      </c>
      <c r="O2" s="73" t="s">
        <v>124</v>
      </c>
      <c r="P2" s="4"/>
      <c r="Q2" s="4"/>
      <c r="R2" s="4"/>
    </row>
    <row r="3" spans="1:18" x14ac:dyDescent="0.25">
      <c r="A3" s="60" t="s">
        <v>72</v>
      </c>
      <c r="B3" s="7"/>
      <c r="C3" s="17">
        <f t="shared" si="0"/>
        <v>1</v>
      </c>
      <c r="D3" s="10"/>
      <c r="E3" s="21" t="e">
        <f t="shared" ref="E3:E66" si="2">INDEX(N:N,MATCH(B3,O:O,0),1)</f>
        <v>#N/A</v>
      </c>
      <c r="F3" s="4"/>
      <c r="G3" s="38" t="s">
        <v>76</v>
      </c>
      <c r="H3" s="39">
        <f>SUMIF(D:D,"STR - PDM",C:C)</f>
        <v>0</v>
      </c>
      <c r="I3" s="40">
        <f t="shared" ref="I3:I46" si="3">IF(H3&gt;4, 4,H3)+1</f>
        <v>1</v>
      </c>
      <c r="J3" s="41">
        <f t="shared" si="1"/>
        <v>1</v>
      </c>
      <c r="K3" s="40">
        <v>2</v>
      </c>
      <c r="L3" s="42">
        <f t="shared" ref="L3:L44" si="4">I3*J3*K3</f>
        <v>2</v>
      </c>
      <c r="M3" s="4"/>
      <c r="N3" s="69">
        <v>1</v>
      </c>
      <c r="O3" s="21" t="s">
        <v>17</v>
      </c>
      <c r="P3" s="4"/>
      <c r="Q3" s="4"/>
      <c r="R3" s="4"/>
    </row>
    <row r="4" spans="1:18" x14ac:dyDescent="0.25">
      <c r="A4" s="59" t="s">
        <v>72</v>
      </c>
      <c r="B4" s="7"/>
      <c r="C4" s="17">
        <f t="shared" si="0"/>
        <v>1</v>
      </c>
      <c r="D4" s="10"/>
      <c r="E4" s="21" t="e">
        <f t="shared" si="2"/>
        <v>#N/A</v>
      </c>
      <c r="F4" s="4"/>
      <c r="G4" s="22" t="s">
        <v>78</v>
      </c>
      <c r="H4" s="18">
        <f>SUMIF(D:D,"PDM - BOC",C:C)</f>
        <v>0</v>
      </c>
      <c r="I4" s="19">
        <f t="shared" si="3"/>
        <v>1</v>
      </c>
      <c r="J4" s="20">
        <f t="shared" si="1"/>
        <v>1</v>
      </c>
      <c r="K4" s="19">
        <v>1</v>
      </c>
      <c r="L4" s="23">
        <f t="shared" si="4"/>
        <v>1</v>
      </c>
      <c r="M4" s="4"/>
      <c r="N4" s="69">
        <v>1</v>
      </c>
      <c r="O4" s="21" t="s">
        <v>16</v>
      </c>
      <c r="P4" s="4"/>
      <c r="Q4" s="4"/>
      <c r="R4" s="4"/>
    </row>
    <row r="5" spans="1:18" x14ac:dyDescent="0.25">
      <c r="A5" s="60" t="s">
        <v>72</v>
      </c>
      <c r="B5" s="7"/>
      <c r="C5" s="17">
        <f t="shared" si="0"/>
        <v>1</v>
      </c>
      <c r="D5" s="10"/>
      <c r="E5" s="21" t="e">
        <f t="shared" si="2"/>
        <v>#N/A</v>
      </c>
      <c r="F5" s="4"/>
      <c r="G5" s="38" t="s">
        <v>79</v>
      </c>
      <c r="H5" s="39">
        <f>SUMIF(D:D,"BOC - DER",C:C)</f>
        <v>0</v>
      </c>
      <c r="I5" s="40">
        <f t="shared" si="3"/>
        <v>1</v>
      </c>
      <c r="J5" s="41">
        <f t="shared" si="1"/>
        <v>1</v>
      </c>
      <c r="K5" s="40">
        <v>4</v>
      </c>
      <c r="L5" s="42">
        <f t="shared" si="4"/>
        <v>4</v>
      </c>
      <c r="M5" s="4"/>
      <c r="N5" s="70">
        <v>2</v>
      </c>
      <c r="O5" s="67" t="s">
        <v>20</v>
      </c>
      <c r="P5" s="4"/>
      <c r="Q5" s="4"/>
      <c r="R5" s="4"/>
    </row>
    <row r="6" spans="1:18" x14ac:dyDescent="0.25">
      <c r="A6" s="59" t="s">
        <v>72</v>
      </c>
      <c r="B6" s="7"/>
      <c r="C6" s="17">
        <f t="shared" si="0"/>
        <v>1</v>
      </c>
      <c r="D6" s="10"/>
      <c r="E6" s="21" t="e">
        <f t="shared" si="2"/>
        <v>#N/A</v>
      </c>
      <c r="F6" s="4"/>
      <c r="G6" s="52" t="s">
        <v>81</v>
      </c>
      <c r="H6" s="39">
        <f>SUMIF(D:D,"DER - LAP",C:C)</f>
        <v>0</v>
      </c>
      <c r="I6" s="40">
        <f t="shared" si="3"/>
        <v>1</v>
      </c>
      <c r="J6" s="41">
        <f t="shared" si="1"/>
        <v>1</v>
      </c>
      <c r="K6" s="40">
        <v>1</v>
      </c>
      <c r="L6" s="53">
        <f t="shared" si="4"/>
        <v>1</v>
      </c>
      <c r="M6" s="4"/>
      <c r="N6" s="70">
        <v>2</v>
      </c>
      <c r="O6" s="67" t="s">
        <v>21</v>
      </c>
      <c r="P6" s="4"/>
      <c r="Q6" s="4"/>
      <c r="R6" s="4"/>
    </row>
    <row r="7" spans="1:18" x14ac:dyDescent="0.25">
      <c r="A7" s="60" t="s">
        <v>72</v>
      </c>
      <c r="B7" s="7"/>
      <c r="C7" s="17">
        <f t="shared" si="0"/>
        <v>1</v>
      </c>
      <c r="D7" s="10"/>
      <c r="E7" s="21" t="e">
        <f t="shared" si="2"/>
        <v>#N/A</v>
      </c>
      <c r="F7" s="4"/>
      <c r="G7" s="22" t="s">
        <v>83</v>
      </c>
      <c r="H7" s="18">
        <f>SUMIF(D:D,"LAP - ALS",C:C)</f>
        <v>0</v>
      </c>
      <c r="I7" s="19">
        <f t="shared" si="3"/>
        <v>1</v>
      </c>
      <c r="J7" s="20">
        <f t="shared" si="1"/>
        <v>1</v>
      </c>
      <c r="K7" s="19">
        <v>3</v>
      </c>
      <c r="L7" s="23">
        <f t="shared" si="4"/>
        <v>3</v>
      </c>
      <c r="M7" s="4"/>
      <c r="N7" s="70">
        <v>2</v>
      </c>
      <c r="O7" s="67" t="s">
        <v>14</v>
      </c>
      <c r="P7" s="4"/>
      <c r="Q7" s="4"/>
      <c r="R7" s="4"/>
    </row>
    <row r="8" spans="1:18" x14ac:dyDescent="0.25">
      <c r="A8" s="59" t="s">
        <v>72</v>
      </c>
      <c r="B8" s="7"/>
      <c r="C8" s="17">
        <f t="shared" si="0"/>
        <v>1</v>
      </c>
      <c r="D8" s="10"/>
      <c r="E8" s="21" t="e">
        <f t="shared" si="2"/>
        <v>#N/A</v>
      </c>
      <c r="F8" s="4"/>
      <c r="G8" s="38" t="s">
        <v>85</v>
      </c>
      <c r="H8" s="39">
        <f>SUMIF(D:D,"ALS - POP",C:C)</f>
        <v>0</v>
      </c>
      <c r="I8" s="40">
        <f t="shared" si="3"/>
        <v>1</v>
      </c>
      <c r="J8" s="41">
        <f t="shared" si="1"/>
        <v>1</v>
      </c>
      <c r="K8" s="40">
        <v>1</v>
      </c>
      <c r="L8" s="42">
        <f t="shared" si="4"/>
        <v>1</v>
      </c>
      <c r="M8" s="4"/>
      <c r="N8" s="70">
        <v>2</v>
      </c>
      <c r="O8" s="67" t="s">
        <v>111</v>
      </c>
      <c r="P8" s="4"/>
      <c r="Q8" s="4"/>
      <c r="R8" s="4"/>
    </row>
    <row r="9" spans="1:18" x14ac:dyDescent="0.25">
      <c r="A9" s="60" t="s">
        <v>72</v>
      </c>
      <c r="B9" s="7"/>
      <c r="C9" s="17">
        <f t="shared" si="0"/>
        <v>1</v>
      </c>
      <c r="D9" s="10"/>
      <c r="E9" s="21" t="e">
        <f t="shared" si="2"/>
        <v>#N/A</v>
      </c>
      <c r="F9" s="4"/>
      <c r="G9" s="47" t="s">
        <v>73</v>
      </c>
      <c r="H9" s="48">
        <f>SUMIF(D:D,"POP - WIQ",C:C)</f>
        <v>0</v>
      </c>
      <c r="I9" s="49">
        <f t="shared" si="3"/>
        <v>1</v>
      </c>
      <c r="J9" s="50">
        <f t="shared" si="1"/>
        <v>1</v>
      </c>
      <c r="K9" s="49">
        <v>3</v>
      </c>
      <c r="L9" s="51">
        <f t="shared" si="4"/>
        <v>3</v>
      </c>
      <c r="M9" s="4"/>
      <c r="N9" s="70">
        <v>2</v>
      </c>
      <c r="O9" s="67" t="s">
        <v>58</v>
      </c>
      <c r="P9" s="4"/>
      <c r="Q9" s="4"/>
      <c r="R9" s="4"/>
    </row>
    <row r="10" spans="1:18" x14ac:dyDescent="0.25">
      <c r="A10" s="59" t="s">
        <v>72</v>
      </c>
      <c r="B10" s="7"/>
      <c r="C10" s="17">
        <f t="shared" si="0"/>
        <v>1</v>
      </c>
      <c r="D10" s="10"/>
      <c r="E10" s="21" t="e">
        <f t="shared" si="2"/>
        <v>#N/A</v>
      </c>
      <c r="F10" s="4"/>
      <c r="G10" s="22" t="s">
        <v>86</v>
      </c>
      <c r="H10" s="18">
        <f>SUMIF(D:D,"WIQ - CAW",C:C)</f>
        <v>0</v>
      </c>
      <c r="I10" s="19">
        <f t="shared" si="3"/>
        <v>1</v>
      </c>
      <c r="J10" s="20">
        <f t="shared" si="1"/>
        <v>1</v>
      </c>
      <c r="K10" s="19">
        <v>2</v>
      </c>
      <c r="L10" s="23">
        <f t="shared" si="4"/>
        <v>2</v>
      </c>
      <c r="M10" s="4"/>
      <c r="N10" s="70">
        <v>2</v>
      </c>
      <c r="O10" s="67" t="s">
        <v>67</v>
      </c>
      <c r="P10" s="4"/>
      <c r="Q10" s="4"/>
      <c r="R10" s="4"/>
    </row>
    <row r="11" spans="1:18" x14ac:dyDescent="0.25">
      <c r="A11" s="60" t="s">
        <v>72</v>
      </c>
      <c r="B11" s="7"/>
      <c r="C11" s="17">
        <f t="shared" si="0"/>
        <v>1</v>
      </c>
      <c r="D11" s="10"/>
      <c r="E11" s="21" t="e">
        <f t="shared" si="2"/>
        <v>#N/A</v>
      </c>
      <c r="F11" s="4"/>
      <c r="G11" s="54" t="s">
        <v>87</v>
      </c>
      <c r="H11" s="43">
        <f>SUMIF(D:D,"CAW - HEQ",C:C)</f>
        <v>0</v>
      </c>
      <c r="I11" s="44">
        <f t="shared" si="3"/>
        <v>1</v>
      </c>
      <c r="J11" s="45">
        <f t="shared" si="1"/>
        <v>1</v>
      </c>
      <c r="K11" s="44">
        <v>1</v>
      </c>
      <c r="L11" s="46">
        <f t="shared" si="4"/>
        <v>1</v>
      </c>
      <c r="M11" s="4"/>
      <c r="N11" s="70">
        <v>3</v>
      </c>
      <c r="O11" s="67" t="s">
        <v>57</v>
      </c>
      <c r="P11" s="4"/>
      <c r="Q11" s="4"/>
      <c r="R11" s="4"/>
    </row>
    <row r="12" spans="1:18" x14ac:dyDescent="0.25">
      <c r="A12" s="59" t="s">
        <v>72</v>
      </c>
      <c r="B12" s="7"/>
      <c r="C12" s="17">
        <f t="shared" si="0"/>
        <v>1</v>
      </c>
      <c r="D12" s="10"/>
      <c r="E12" s="21" t="e">
        <f t="shared" si="2"/>
        <v>#N/A</v>
      </c>
      <c r="F12" s="4"/>
      <c r="G12" s="54" t="s">
        <v>88</v>
      </c>
      <c r="H12" s="43">
        <f>SUMIF(D:D,"HEQ - SOQ",C:C)</f>
        <v>0</v>
      </c>
      <c r="I12" s="44">
        <f t="shared" si="3"/>
        <v>1</v>
      </c>
      <c r="J12" s="45">
        <f t="shared" si="1"/>
        <v>1</v>
      </c>
      <c r="K12" s="44">
        <v>2</v>
      </c>
      <c r="L12" s="46">
        <f t="shared" si="4"/>
        <v>2</v>
      </c>
      <c r="M12" s="4"/>
      <c r="N12" s="70">
        <v>3</v>
      </c>
      <c r="O12" s="67" t="s">
        <v>63</v>
      </c>
      <c r="P12" s="4"/>
      <c r="Q12" s="4"/>
      <c r="R12" s="4"/>
    </row>
    <row r="13" spans="1:18" x14ac:dyDescent="0.25">
      <c r="A13" s="60" t="s">
        <v>72</v>
      </c>
      <c r="B13" s="7"/>
      <c r="C13" s="17">
        <f t="shared" si="0"/>
        <v>1</v>
      </c>
      <c r="D13" s="10"/>
      <c r="E13" s="21" t="e">
        <f t="shared" si="2"/>
        <v>#N/A</v>
      </c>
      <c r="F13" s="4"/>
      <c r="G13" s="54" t="s">
        <v>90</v>
      </c>
      <c r="H13" s="43">
        <f>SUMIF(D:D,"SOQ - CRO",C:C)</f>
        <v>0</v>
      </c>
      <c r="I13" s="44">
        <f t="shared" si="3"/>
        <v>1</v>
      </c>
      <c r="J13" s="45">
        <f t="shared" si="1"/>
        <v>1</v>
      </c>
      <c r="K13" s="44">
        <v>1</v>
      </c>
      <c r="L13" s="46">
        <f t="shared" si="4"/>
        <v>1</v>
      </c>
      <c r="M13" s="4"/>
      <c r="N13" s="70">
        <v>3</v>
      </c>
      <c r="O13" s="67" t="s">
        <v>19</v>
      </c>
      <c r="P13" s="4"/>
      <c r="Q13" s="4"/>
      <c r="R13" s="4"/>
    </row>
    <row r="14" spans="1:18" x14ac:dyDescent="0.25">
      <c r="A14" s="61" t="s">
        <v>72</v>
      </c>
      <c r="B14" s="7"/>
      <c r="C14" s="17">
        <f t="shared" si="0"/>
        <v>1</v>
      </c>
      <c r="D14" s="10"/>
      <c r="E14" s="21" t="e">
        <f t="shared" si="2"/>
        <v>#N/A</v>
      </c>
      <c r="F14" s="4"/>
      <c r="G14" s="54" t="s">
        <v>92</v>
      </c>
      <c r="H14" s="43">
        <f>SUMIF(D:D,"CRO - MUD",C:C)</f>
        <v>0</v>
      </c>
      <c r="I14" s="44">
        <f t="shared" si="3"/>
        <v>1</v>
      </c>
      <c r="J14" s="45">
        <f t="shared" si="1"/>
        <v>1</v>
      </c>
      <c r="K14" s="44">
        <v>3</v>
      </c>
      <c r="L14" s="46">
        <f t="shared" si="4"/>
        <v>3</v>
      </c>
      <c r="M14" s="4"/>
      <c r="N14" s="70">
        <v>3</v>
      </c>
      <c r="O14" s="67" t="s">
        <v>64</v>
      </c>
      <c r="P14" s="4"/>
      <c r="Q14" s="4"/>
      <c r="R14" s="4"/>
    </row>
    <row r="15" spans="1:18" x14ac:dyDescent="0.25">
      <c r="A15" s="59" t="s">
        <v>72</v>
      </c>
      <c r="B15" s="7"/>
      <c r="C15" s="17">
        <f t="shared" si="0"/>
        <v>1</v>
      </c>
      <c r="D15" s="10"/>
      <c r="E15" s="21" t="e">
        <f t="shared" si="2"/>
        <v>#N/A</v>
      </c>
      <c r="F15" s="4"/>
      <c r="G15" s="54" t="s">
        <v>94</v>
      </c>
      <c r="H15" s="43">
        <f>SUMIF(D:D,"MUD - ISG",C:C)</f>
        <v>0</v>
      </c>
      <c r="I15" s="44">
        <f t="shared" si="3"/>
        <v>1</v>
      </c>
      <c r="J15" s="45">
        <f t="shared" si="1"/>
        <v>1</v>
      </c>
      <c r="K15" s="44">
        <v>1</v>
      </c>
      <c r="L15" s="46">
        <f t="shared" si="4"/>
        <v>1</v>
      </c>
      <c r="M15" s="4"/>
      <c r="N15" s="70">
        <v>3</v>
      </c>
      <c r="O15" s="67" t="s">
        <v>59</v>
      </c>
      <c r="P15" s="4"/>
      <c r="Q15" s="4"/>
      <c r="R15" s="4"/>
    </row>
    <row r="16" spans="1:18" x14ac:dyDescent="0.25">
      <c r="A16" s="60" t="s">
        <v>72</v>
      </c>
      <c r="B16" s="7"/>
      <c r="C16" s="17">
        <f t="shared" si="0"/>
        <v>1</v>
      </c>
      <c r="D16" s="10"/>
      <c r="E16" s="21" t="e">
        <f t="shared" si="2"/>
        <v>#N/A</v>
      </c>
      <c r="F16" s="4"/>
      <c r="G16" s="38" t="s">
        <v>95</v>
      </c>
      <c r="H16" s="39">
        <f>SUMIF(D:D,"ISG - CUS",C:C)</f>
        <v>0</v>
      </c>
      <c r="I16" s="40">
        <f t="shared" si="3"/>
        <v>1</v>
      </c>
      <c r="J16" s="41">
        <f t="shared" si="1"/>
        <v>1</v>
      </c>
      <c r="K16" s="40">
        <v>1</v>
      </c>
      <c r="L16" s="42">
        <f t="shared" si="4"/>
        <v>1</v>
      </c>
      <c r="M16" s="4"/>
      <c r="N16" s="70">
        <v>4</v>
      </c>
      <c r="O16" s="67" t="s">
        <v>62</v>
      </c>
      <c r="P16" s="4"/>
      <c r="Q16" s="4"/>
      <c r="R16" s="4"/>
    </row>
    <row r="17" spans="1:18" x14ac:dyDescent="0.25">
      <c r="A17" s="59" t="s">
        <v>72</v>
      </c>
      <c r="B17" s="7"/>
      <c r="C17" s="17">
        <f t="shared" si="0"/>
        <v>1</v>
      </c>
      <c r="D17" s="10"/>
      <c r="E17" s="21" t="e">
        <f t="shared" si="2"/>
        <v>#N/A</v>
      </c>
      <c r="F17" s="4"/>
      <c r="G17" s="38" t="s">
        <v>84</v>
      </c>
      <c r="H17" s="39">
        <f>SUMIF(D:D,"CUS - GRE",C:C)</f>
        <v>0</v>
      </c>
      <c r="I17" s="40">
        <f t="shared" si="3"/>
        <v>1</v>
      </c>
      <c r="J17" s="41">
        <f t="shared" si="1"/>
        <v>1</v>
      </c>
      <c r="K17" s="40">
        <v>3</v>
      </c>
      <c r="L17" s="42">
        <f t="shared" si="4"/>
        <v>3</v>
      </c>
      <c r="M17" s="4"/>
      <c r="N17" s="70">
        <v>4</v>
      </c>
      <c r="O17" s="67" t="s">
        <v>18</v>
      </c>
      <c r="P17" s="4"/>
      <c r="Q17" s="4"/>
      <c r="R17" s="4"/>
    </row>
    <row r="18" spans="1:18" x14ac:dyDescent="0.25">
      <c r="A18" s="60" t="s">
        <v>72</v>
      </c>
      <c r="B18" s="7"/>
      <c r="C18" s="17">
        <f t="shared" si="0"/>
        <v>1</v>
      </c>
      <c r="D18" s="10"/>
      <c r="E18" s="21" t="e">
        <f t="shared" si="2"/>
        <v>#N/A</v>
      </c>
      <c r="F18" s="4"/>
      <c r="G18" s="47" t="s">
        <v>98</v>
      </c>
      <c r="H18" s="48">
        <f>SUMIF(D:D,"GRE - DEB",C:C)</f>
        <v>0</v>
      </c>
      <c r="I18" s="49">
        <f t="shared" si="3"/>
        <v>1</v>
      </c>
      <c r="J18" s="50">
        <f t="shared" si="1"/>
        <v>1</v>
      </c>
      <c r="K18" s="49">
        <v>3</v>
      </c>
      <c r="L18" s="51">
        <f t="shared" si="4"/>
        <v>3</v>
      </c>
      <c r="M18" s="4"/>
      <c r="N18" s="70">
        <v>4</v>
      </c>
      <c r="O18" s="67" t="s">
        <v>60</v>
      </c>
      <c r="P18" s="4"/>
      <c r="Q18" s="4"/>
      <c r="R18" s="4"/>
    </row>
    <row r="19" spans="1:18" x14ac:dyDescent="0.25">
      <c r="A19" s="62" t="s">
        <v>72</v>
      </c>
      <c r="B19" s="7"/>
      <c r="C19" s="17">
        <f t="shared" si="0"/>
        <v>1</v>
      </c>
      <c r="D19" s="10"/>
      <c r="E19" s="21" t="e">
        <f t="shared" si="2"/>
        <v>#N/A</v>
      </c>
      <c r="F19" s="4"/>
      <c r="G19" s="55" t="s">
        <v>99</v>
      </c>
      <c r="H19" s="18">
        <f>SUMIF(D:D,"DEB - ELR",C:C)</f>
        <v>0</v>
      </c>
      <c r="I19" s="19">
        <f t="shared" si="3"/>
        <v>1</v>
      </c>
      <c r="J19" s="20">
        <f t="shared" si="1"/>
        <v>1</v>
      </c>
      <c r="K19" s="19">
        <v>1</v>
      </c>
      <c r="L19" s="56">
        <f t="shared" si="4"/>
        <v>1</v>
      </c>
      <c r="M19" s="4"/>
      <c r="N19" s="70">
        <v>4</v>
      </c>
      <c r="O19" s="67" t="s">
        <v>15</v>
      </c>
      <c r="P19" s="4"/>
      <c r="Q19" s="4"/>
      <c r="R19" s="4"/>
    </row>
    <row r="20" spans="1:18" x14ac:dyDescent="0.25">
      <c r="A20" s="59" t="s">
        <v>72</v>
      </c>
      <c r="B20" s="7"/>
      <c r="C20" s="17">
        <f t="shared" si="0"/>
        <v>1</v>
      </c>
      <c r="D20" s="10"/>
      <c r="E20" s="21" t="e">
        <f t="shared" si="2"/>
        <v>#N/A</v>
      </c>
      <c r="F20" s="4"/>
      <c r="G20" s="54" t="s">
        <v>101</v>
      </c>
      <c r="H20" s="43">
        <f>SUMIF(D:D,"ELR - LEW",C:C)</f>
        <v>0</v>
      </c>
      <c r="I20" s="44">
        <f t="shared" si="3"/>
        <v>1</v>
      </c>
      <c r="J20" s="45">
        <f t="shared" si="1"/>
        <v>1</v>
      </c>
      <c r="K20" s="44">
        <v>3</v>
      </c>
      <c r="L20" s="46">
        <f t="shared" si="4"/>
        <v>3</v>
      </c>
      <c r="M20" s="4"/>
      <c r="N20" s="70">
        <v>5</v>
      </c>
      <c r="O20" s="67" t="s">
        <v>22</v>
      </c>
      <c r="P20" s="4"/>
      <c r="Q20" s="4"/>
      <c r="R20" s="4"/>
    </row>
    <row r="21" spans="1:18" ht="15.75" thickBot="1" x14ac:dyDescent="0.3">
      <c r="A21" s="60" t="s">
        <v>72</v>
      </c>
      <c r="B21" s="7"/>
      <c r="C21" s="17">
        <f t="shared" si="0"/>
        <v>1</v>
      </c>
      <c r="D21" s="10"/>
      <c r="E21" s="21" t="e">
        <f t="shared" si="2"/>
        <v>#N/A</v>
      </c>
      <c r="F21" s="4"/>
      <c r="G21" s="38" t="s">
        <v>75</v>
      </c>
      <c r="H21" s="39">
        <f>SUMIF(D:D,"TOG - SHA",C:C)</f>
        <v>0</v>
      </c>
      <c r="I21" s="40">
        <f t="shared" si="3"/>
        <v>1</v>
      </c>
      <c r="J21" s="41">
        <f t="shared" si="1"/>
        <v>1</v>
      </c>
      <c r="K21" s="40">
        <v>4</v>
      </c>
      <c r="L21" s="42">
        <f t="shared" si="4"/>
        <v>4</v>
      </c>
      <c r="M21" s="4"/>
      <c r="N21" s="71">
        <v>5</v>
      </c>
      <c r="O21" s="68" t="s">
        <v>61</v>
      </c>
      <c r="P21" s="4"/>
      <c r="Q21" s="4"/>
      <c r="R21" s="4"/>
    </row>
    <row r="22" spans="1:18" x14ac:dyDescent="0.25">
      <c r="A22" s="60" t="s">
        <v>72</v>
      </c>
      <c r="B22" s="7"/>
      <c r="C22" s="17">
        <f t="shared" si="0"/>
        <v>1</v>
      </c>
      <c r="D22" s="10"/>
      <c r="E22" s="21" t="e">
        <f t="shared" si="2"/>
        <v>#N/A</v>
      </c>
      <c r="F22" s="4"/>
      <c r="G22" s="47" t="s">
        <v>100</v>
      </c>
      <c r="H22" s="48">
        <f>SUMIF(D:D,"BAN - SHA",C:C)</f>
        <v>0</v>
      </c>
      <c r="I22" s="49">
        <f t="shared" si="3"/>
        <v>1</v>
      </c>
      <c r="J22" s="50">
        <f t="shared" si="1"/>
        <v>1</v>
      </c>
      <c r="K22" s="49">
        <v>4</v>
      </c>
      <c r="L22" s="51">
        <f t="shared" si="4"/>
        <v>4</v>
      </c>
      <c r="M22" s="4"/>
      <c r="N22" s="2"/>
      <c r="O22" s="2"/>
      <c r="P22" s="4"/>
      <c r="Q22" s="4"/>
      <c r="R22" s="4"/>
    </row>
    <row r="23" spans="1:18" x14ac:dyDescent="0.25">
      <c r="A23" s="59" t="s">
        <v>72</v>
      </c>
      <c r="B23" s="7"/>
      <c r="C23" s="17">
        <f t="shared" si="0"/>
        <v>1</v>
      </c>
      <c r="D23" s="10"/>
      <c r="E23" s="21" t="e">
        <f t="shared" si="2"/>
        <v>#N/A</v>
      </c>
      <c r="F23" s="4"/>
      <c r="G23" s="38" t="s">
        <v>102</v>
      </c>
      <c r="H23" s="39">
        <f>SUMIF(D:D,"SHA - LIM",C:C)</f>
        <v>0</v>
      </c>
      <c r="I23" s="40">
        <f t="shared" si="3"/>
        <v>1</v>
      </c>
      <c r="J23" s="41">
        <f t="shared" si="1"/>
        <v>1</v>
      </c>
      <c r="K23" s="40">
        <v>3</v>
      </c>
      <c r="L23" s="42">
        <f t="shared" si="4"/>
        <v>3</v>
      </c>
      <c r="M23" s="4"/>
      <c r="N23" s="2"/>
      <c r="O23" s="2"/>
      <c r="P23" s="4"/>
      <c r="Q23" s="4"/>
      <c r="R23" s="4"/>
    </row>
    <row r="24" spans="1:18" x14ac:dyDescent="0.25">
      <c r="A24" s="60" t="s">
        <v>72</v>
      </c>
      <c r="B24" s="7"/>
      <c r="C24" s="17">
        <f t="shared" si="0"/>
        <v>1</v>
      </c>
      <c r="D24" s="10"/>
      <c r="E24" s="21" t="e">
        <f t="shared" si="2"/>
        <v>#N/A</v>
      </c>
      <c r="F24" s="4"/>
      <c r="G24" s="47" t="s">
        <v>77</v>
      </c>
      <c r="H24" s="48">
        <f>SUMIF(D:D,"LIM - WES",C:C)</f>
        <v>0</v>
      </c>
      <c r="I24" s="49">
        <f t="shared" si="3"/>
        <v>1</v>
      </c>
      <c r="J24" s="50">
        <f t="shared" si="1"/>
        <v>1</v>
      </c>
      <c r="K24" s="49">
        <v>3</v>
      </c>
      <c r="L24" s="51">
        <f t="shared" si="4"/>
        <v>3</v>
      </c>
      <c r="M24" s="4"/>
      <c r="N24" s="2"/>
      <c r="O24" s="2"/>
      <c r="P24" s="4"/>
      <c r="Q24" s="4"/>
      <c r="R24" s="4"/>
    </row>
    <row r="25" spans="1:18" x14ac:dyDescent="0.25">
      <c r="A25" s="59" t="s">
        <v>72</v>
      </c>
      <c r="B25" s="7"/>
      <c r="C25" s="17">
        <f t="shared" si="0"/>
        <v>1</v>
      </c>
      <c r="D25" s="10"/>
      <c r="E25" s="21" t="e">
        <f t="shared" si="2"/>
        <v>#N/A</v>
      </c>
      <c r="F25" s="4"/>
      <c r="G25" s="47" t="s">
        <v>103</v>
      </c>
      <c r="H25" s="48">
        <f>SUMIF(D:D,"WES - POP",C:C)</f>
        <v>0</v>
      </c>
      <c r="I25" s="49">
        <f t="shared" si="3"/>
        <v>1</v>
      </c>
      <c r="J25" s="50">
        <f t="shared" si="1"/>
        <v>1</v>
      </c>
      <c r="K25" s="49">
        <v>1</v>
      </c>
      <c r="L25" s="51">
        <f t="shared" si="4"/>
        <v>1</v>
      </c>
      <c r="M25" s="4"/>
      <c r="N25" s="2"/>
      <c r="O25" s="2"/>
      <c r="P25" s="4"/>
      <c r="Q25" s="4"/>
      <c r="R25" s="4"/>
    </row>
    <row r="26" spans="1:18" x14ac:dyDescent="0.25">
      <c r="A26" s="60" t="s">
        <v>72</v>
      </c>
      <c r="B26" s="7"/>
      <c r="C26" s="17">
        <f t="shared" si="0"/>
        <v>1</v>
      </c>
      <c r="D26" s="10"/>
      <c r="E26" s="21" t="e">
        <f t="shared" si="2"/>
        <v>#N/A</v>
      </c>
      <c r="F26" s="4"/>
      <c r="G26" s="47" t="s">
        <v>96</v>
      </c>
      <c r="H26" s="48">
        <f>SUMIF(D:D,"POP - BLA",C:C)</f>
        <v>0</v>
      </c>
      <c r="I26" s="49">
        <f t="shared" si="3"/>
        <v>1</v>
      </c>
      <c r="J26" s="50">
        <f t="shared" si="1"/>
        <v>1</v>
      </c>
      <c r="K26" s="49">
        <v>4</v>
      </c>
      <c r="L26" s="51">
        <f t="shared" si="4"/>
        <v>4</v>
      </c>
      <c r="M26" s="4"/>
      <c r="N26" s="2"/>
      <c r="O26" s="2"/>
      <c r="P26" s="4"/>
      <c r="Q26" s="4"/>
      <c r="R26" s="4"/>
    </row>
    <row r="27" spans="1:18" x14ac:dyDescent="0.25">
      <c r="A27" s="62" t="s">
        <v>72</v>
      </c>
      <c r="B27" s="7"/>
      <c r="C27" s="17">
        <f t="shared" si="0"/>
        <v>1</v>
      </c>
      <c r="D27" s="10"/>
      <c r="E27" s="21" t="e">
        <f t="shared" si="2"/>
        <v>#N/A</v>
      </c>
      <c r="F27" s="4"/>
      <c r="G27" s="38" t="s">
        <v>104</v>
      </c>
      <c r="H27" s="39">
        <f>SUMIF(D:D,"BLA - EAI",C:C)</f>
        <v>0</v>
      </c>
      <c r="I27" s="49">
        <f t="shared" si="3"/>
        <v>1</v>
      </c>
      <c r="J27" s="50">
        <f t="shared" si="1"/>
        <v>1</v>
      </c>
      <c r="K27" s="49">
        <v>2</v>
      </c>
      <c r="L27" s="51">
        <f t="shared" si="4"/>
        <v>2</v>
      </c>
      <c r="M27" s="4"/>
      <c r="N27" s="2"/>
      <c r="O27" s="2"/>
      <c r="P27" s="4"/>
      <c r="Q27" s="4"/>
      <c r="R27" s="4"/>
    </row>
    <row r="28" spans="1:18" x14ac:dyDescent="0.25">
      <c r="A28" s="59" t="s">
        <v>72</v>
      </c>
      <c r="B28" s="7"/>
      <c r="C28" s="17">
        <f t="shared" si="0"/>
        <v>1</v>
      </c>
      <c r="D28" s="10"/>
      <c r="E28" s="21" t="e">
        <f t="shared" si="2"/>
        <v>#N/A</v>
      </c>
      <c r="F28" s="4"/>
      <c r="G28" s="55" t="s">
        <v>93</v>
      </c>
      <c r="H28" s="18">
        <f>SUMIF(D:D,"EAI - CAT",C:C)</f>
        <v>0</v>
      </c>
      <c r="I28" s="19">
        <f t="shared" si="3"/>
        <v>1</v>
      </c>
      <c r="J28" s="20">
        <f t="shared" si="1"/>
        <v>1</v>
      </c>
      <c r="K28" s="19">
        <v>3</v>
      </c>
      <c r="L28" s="56">
        <f t="shared" si="4"/>
        <v>3</v>
      </c>
      <c r="M28" s="4"/>
      <c r="N28" s="2"/>
      <c r="O28" s="2"/>
      <c r="P28" s="4"/>
      <c r="Q28" s="4"/>
      <c r="R28" s="4"/>
    </row>
    <row r="29" spans="1:18" x14ac:dyDescent="0.25">
      <c r="A29" s="60" t="s">
        <v>72</v>
      </c>
      <c r="B29" s="7"/>
      <c r="C29" s="17">
        <f t="shared" si="0"/>
        <v>1</v>
      </c>
      <c r="D29" s="10"/>
      <c r="E29" s="21" t="e">
        <f t="shared" si="2"/>
        <v>#N/A</v>
      </c>
      <c r="F29" s="4"/>
      <c r="G29" s="54" t="s">
        <v>105</v>
      </c>
      <c r="H29" s="43">
        <f>SUMIF(D:D,"CAT - ROV",C:C)</f>
        <v>0</v>
      </c>
      <c r="I29" s="44">
        <f t="shared" si="3"/>
        <v>1</v>
      </c>
      <c r="J29" s="45">
        <f t="shared" si="1"/>
        <v>1</v>
      </c>
      <c r="K29" s="44">
        <v>2</v>
      </c>
      <c r="L29" s="46">
        <f t="shared" si="4"/>
        <v>2</v>
      </c>
      <c r="M29" s="4"/>
      <c r="N29" s="2"/>
      <c r="O29" s="2"/>
      <c r="P29" s="4"/>
      <c r="Q29" s="4"/>
      <c r="R29" s="4"/>
    </row>
    <row r="30" spans="1:18" x14ac:dyDescent="0.25">
      <c r="A30" s="59" t="s">
        <v>72</v>
      </c>
      <c r="B30" s="7"/>
      <c r="C30" s="17">
        <f t="shared" si="0"/>
        <v>1</v>
      </c>
      <c r="D30" s="10"/>
      <c r="E30" s="21" t="e">
        <f t="shared" si="2"/>
        <v>#N/A</v>
      </c>
      <c r="F30" s="4"/>
      <c r="G30" s="38" t="s">
        <v>80</v>
      </c>
      <c r="H30" s="39">
        <f>SUMIF(D:D,"ROV - CUH",C:C)</f>
        <v>0</v>
      </c>
      <c r="I30" s="40">
        <f t="shared" si="3"/>
        <v>1</v>
      </c>
      <c r="J30" s="41">
        <f t="shared" si="1"/>
        <v>1</v>
      </c>
      <c r="K30" s="40">
        <v>2</v>
      </c>
      <c r="L30" s="42">
        <f t="shared" si="4"/>
        <v>2</v>
      </c>
      <c r="M30" s="4"/>
      <c r="N30" s="2"/>
      <c r="O30" s="2"/>
      <c r="P30" s="4"/>
      <c r="Q30" s="4"/>
      <c r="R30" s="4"/>
    </row>
    <row r="31" spans="1:18" x14ac:dyDescent="0.25">
      <c r="A31" s="60" t="s">
        <v>72</v>
      </c>
      <c r="B31" s="7"/>
      <c r="C31" s="17">
        <f t="shared" si="0"/>
        <v>1</v>
      </c>
      <c r="D31" s="10"/>
      <c r="E31" s="21" t="e">
        <f t="shared" si="2"/>
        <v>#N/A</v>
      </c>
      <c r="F31" s="4"/>
      <c r="G31" s="47" t="s">
        <v>106</v>
      </c>
      <c r="H31" s="48">
        <f>SUMIF(D:D,"CUH - PRR",C:C)</f>
        <v>0</v>
      </c>
      <c r="I31" s="49">
        <f t="shared" si="3"/>
        <v>1</v>
      </c>
      <c r="J31" s="50">
        <f t="shared" si="1"/>
        <v>1</v>
      </c>
      <c r="K31" s="49">
        <v>1</v>
      </c>
      <c r="L31" s="51">
        <f t="shared" si="4"/>
        <v>1</v>
      </c>
      <c r="M31" s="4"/>
      <c r="N31" s="2"/>
      <c r="O31" s="2"/>
      <c r="P31" s="4"/>
      <c r="Q31" s="4"/>
      <c r="R31" s="4"/>
    </row>
    <row r="32" spans="1:18" x14ac:dyDescent="0.25">
      <c r="A32" s="59" t="s">
        <v>72</v>
      </c>
      <c r="B32" s="7"/>
      <c r="C32" s="17">
        <f t="shared" si="0"/>
        <v>1</v>
      </c>
      <c r="D32" s="10"/>
      <c r="E32" s="21" t="e">
        <f t="shared" si="2"/>
        <v>#N/A</v>
      </c>
      <c r="F32" s="4"/>
      <c r="G32" s="47" t="s">
        <v>115</v>
      </c>
      <c r="H32" s="48">
        <f>SUMIF(D:D,"PRR - ROA",C:C)</f>
        <v>0</v>
      </c>
      <c r="I32" s="49">
        <f t="shared" si="3"/>
        <v>1</v>
      </c>
      <c r="J32" s="50">
        <f t="shared" si="1"/>
        <v>1</v>
      </c>
      <c r="K32" s="49">
        <v>1</v>
      </c>
      <c r="L32" s="51">
        <f t="shared" si="4"/>
        <v>1</v>
      </c>
      <c r="M32" s="4"/>
      <c r="N32" s="2"/>
      <c r="O32" s="2"/>
      <c r="P32" s="4"/>
      <c r="Q32" s="4"/>
      <c r="R32" s="4"/>
    </row>
    <row r="33" spans="1:18" x14ac:dyDescent="0.25">
      <c r="A33" s="60" t="s">
        <v>72</v>
      </c>
      <c r="B33" s="7"/>
      <c r="C33" s="17">
        <f t="shared" si="0"/>
        <v>1</v>
      </c>
      <c r="D33" s="10"/>
      <c r="E33" s="21" t="e">
        <f t="shared" si="2"/>
        <v>#N/A</v>
      </c>
      <c r="F33" s="4"/>
      <c r="G33" s="38" t="s">
        <v>107</v>
      </c>
      <c r="H33" s="39">
        <f>SUMIF(D:D,"ROA - BEP",C:C)</f>
        <v>0</v>
      </c>
      <c r="I33" s="40">
        <f t="shared" si="3"/>
        <v>1</v>
      </c>
      <c r="J33" s="41">
        <f t="shared" si="1"/>
        <v>1</v>
      </c>
      <c r="K33" s="40">
        <v>3</v>
      </c>
      <c r="L33" s="42">
        <f t="shared" si="4"/>
        <v>3</v>
      </c>
      <c r="M33" s="4"/>
      <c r="N33" s="2"/>
      <c r="O33" s="2"/>
      <c r="P33" s="4"/>
      <c r="Q33" s="4"/>
      <c r="R33" s="4"/>
    </row>
    <row r="34" spans="1:18" x14ac:dyDescent="0.25">
      <c r="A34" s="59" t="s">
        <v>72</v>
      </c>
      <c r="B34" s="7"/>
      <c r="C34" s="17">
        <f t="shared" si="0"/>
        <v>1</v>
      </c>
      <c r="D34" s="10"/>
      <c r="E34" s="21" t="e">
        <f t="shared" si="2"/>
        <v>#N/A</v>
      </c>
      <c r="F34" s="4"/>
      <c r="G34" s="47" t="s">
        <v>89</v>
      </c>
      <c r="H34" s="48">
        <f>SUMIF(D:D,"BEP - CYP",C:C)</f>
        <v>0</v>
      </c>
      <c r="I34" s="49">
        <f t="shared" si="3"/>
        <v>1</v>
      </c>
      <c r="J34" s="50">
        <f t="shared" si="1"/>
        <v>1</v>
      </c>
      <c r="K34" s="49">
        <v>3</v>
      </c>
      <c r="L34" s="51">
        <f t="shared" si="4"/>
        <v>3</v>
      </c>
      <c r="M34" s="4"/>
      <c r="N34" s="2"/>
      <c r="O34" s="2"/>
      <c r="P34" s="4"/>
      <c r="Q34" s="4"/>
      <c r="R34" s="4"/>
    </row>
    <row r="35" spans="1:18" x14ac:dyDescent="0.25">
      <c r="A35" s="60" t="s">
        <v>72</v>
      </c>
      <c r="B35" s="7"/>
      <c r="C35" s="17">
        <f t="shared" si="0"/>
        <v>1</v>
      </c>
      <c r="D35" s="10"/>
      <c r="E35" s="21" t="e">
        <f t="shared" si="2"/>
        <v>#N/A</v>
      </c>
      <c r="F35" s="4"/>
      <c r="G35" s="55" t="s">
        <v>108</v>
      </c>
      <c r="H35" s="18">
        <f>SUMIF(D:D,"CYP - GAR",C:C)</f>
        <v>0</v>
      </c>
      <c r="I35" s="19">
        <f t="shared" si="3"/>
        <v>1</v>
      </c>
      <c r="J35" s="20">
        <f t="shared" si="1"/>
        <v>1</v>
      </c>
      <c r="K35" s="19">
        <v>1</v>
      </c>
      <c r="L35" s="56">
        <f t="shared" si="4"/>
        <v>1</v>
      </c>
      <c r="M35" s="4"/>
      <c r="N35" s="2"/>
      <c r="O35" s="2"/>
      <c r="P35" s="4"/>
      <c r="Q35" s="4"/>
      <c r="R35" s="4"/>
    </row>
    <row r="36" spans="1:18" x14ac:dyDescent="0.25">
      <c r="A36" s="59" t="s">
        <v>72</v>
      </c>
      <c r="B36" s="7"/>
      <c r="C36" s="17">
        <f t="shared" si="0"/>
        <v>1</v>
      </c>
      <c r="D36" s="10"/>
      <c r="E36" s="21" t="e">
        <f t="shared" si="2"/>
        <v>#N/A</v>
      </c>
      <c r="F36" s="4"/>
      <c r="G36" s="38" t="s">
        <v>109</v>
      </c>
      <c r="H36" s="39">
        <f>SUMIF(D:D,"GAR - BEC",C:C)</f>
        <v>0</v>
      </c>
      <c r="I36" s="40">
        <f t="shared" si="3"/>
        <v>1</v>
      </c>
      <c r="J36" s="41">
        <f t="shared" si="1"/>
        <v>1</v>
      </c>
      <c r="K36" s="40">
        <v>1</v>
      </c>
      <c r="L36" s="42">
        <f t="shared" si="4"/>
        <v>1</v>
      </c>
      <c r="M36" s="4"/>
      <c r="N36" s="2"/>
      <c r="O36" s="2"/>
      <c r="P36" s="4"/>
      <c r="Q36" s="4"/>
      <c r="R36" s="4"/>
    </row>
    <row r="37" spans="1:18" x14ac:dyDescent="0.25">
      <c r="A37" s="60" t="s">
        <v>72</v>
      </c>
      <c r="B37" s="7"/>
      <c r="C37" s="17">
        <f t="shared" si="0"/>
        <v>1</v>
      </c>
      <c r="D37" s="10"/>
      <c r="E37" s="21" t="e">
        <f t="shared" si="2"/>
        <v>#N/A</v>
      </c>
      <c r="F37" s="4"/>
      <c r="G37" s="38" t="s">
        <v>97</v>
      </c>
      <c r="H37" s="39">
        <f>SUMIF(D:D,"STR - SHS",C:C)</f>
        <v>0</v>
      </c>
      <c r="I37" s="40">
        <f t="shared" si="3"/>
        <v>1</v>
      </c>
      <c r="J37" s="41">
        <f t="shared" si="1"/>
        <v>1</v>
      </c>
      <c r="K37" s="40">
        <v>2</v>
      </c>
      <c r="L37" s="42">
        <f t="shared" si="4"/>
        <v>2</v>
      </c>
      <c r="M37" s="4"/>
      <c r="N37" s="2"/>
      <c r="O37" s="2"/>
      <c r="P37" s="4"/>
      <c r="Q37" s="4"/>
      <c r="R37" s="4"/>
    </row>
    <row r="38" spans="1:18" x14ac:dyDescent="0.25">
      <c r="A38" s="59" t="s">
        <v>72</v>
      </c>
      <c r="B38" s="7"/>
      <c r="C38" s="17">
        <f t="shared" si="0"/>
        <v>1</v>
      </c>
      <c r="D38" s="10"/>
      <c r="E38" s="21" t="e">
        <f t="shared" si="2"/>
        <v>#N/A</v>
      </c>
      <c r="F38" s="4"/>
      <c r="G38" s="47" t="s">
        <v>119</v>
      </c>
      <c r="H38" s="48">
        <f>SUMIF(D:D,"SHS - ABR",C:C)</f>
        <v>0</v>
      </c>
      <c r="I38" s="49">
        <f t="shared" si="3"/>
        <v>1</v>
      </c>
      <c r="J38" s="50">
        <f t="shared" si="1"/>
        <v>1</v>
      </c>
      <c r="K38" s="49">
        <v>1</v>
      </c>
      <c r="L38" s="51">
        <f t="shared" si="4"/>
        <v>1</v>
      </c>
      <c r="M38" s="4"/>
      <c r="N38" s="2"/>
      <c r="O38" s="2"/>
      <c r="P38" s="4"/>
      <c r="Q38" s="4"/>
      <c r="R38" s="4"/>
    </row>
    <row r="39" spans="1:18" x14ac:dyDescent="0.25">
      <c r="A39" s="60" t="s">
        <v>72</v>
      </c>
      <c r="B39" s="7"/>
      <c r="C39" s="17">
        <f t="shared" si="0"/>
        <v>1</v>
      </c>
      <c r="D39" s="10"/>
      <c r="E39" s="21" t="e">
        <f t="shared" si="2"/>
        <v>#N/A</v>
      </c>
      <c r="F39" s="4"/>
      <c r="G39" s="47" t="s">
        <v>120</v>
      </c>
      <c r="H39" s="48">
        <f>SUMIF(D:D,"ABR - WEH",C:C)</f>
        <v>0</v>
      </c>
      <c r="I39" s="49">
        <f t="shared" si="3"/>
        <v>1</v>
      </c>
      <c r="J39" s="50">
        <f t="shared" si="1"/>
        <v>1</v>
      </c>
      <c r="K39" s="49">
        <v>2</v>
      </c>
      <c r="L39" s="51">
        <f t="shared" si="4"/>
        <v>2</v>
      </c>
      <c r="M39" s="4"/>
      <c r="N39" s="2"/>
      <c r="O39" s="2"/>
      <c r="P39" s="4"/>
      <c r="Q39" s="4"/>
      <c r="R39" s="4"/>
    </row>
    <row r="40" spans="1:18" x14ac:dyDescent="0.25">
      <c r="A40" s="60" t="s">
        <v>72</v>
      </c>
      <c r="B40" s="7"/>
      <c r="C40" s="17">
        <f t="shared" si="0"/>
        <v>1</v>
      </c>
      <c r="D40" s="10"/>
      <c r="E40" s="21" t="e">
        <f t="shared" si="2"/>
        <v>#N/A</v>
      </c>
      <c r="F40" s="4"/>
      <c r="G40" s="47" t="s">
        <v>110</v>
      </c>
      <c r="H40" s="48">
        <f>SUMIF(D:D,"WEH - STL",C:C)</f>
        <v>0</v>
      </c>
      <c r="I40" s="49">
        <f t="shared" si="3"/>
        <v>1</v>
      </c>
      <c r="J40" s="50">
        <f t="shared" si="1"/>
        <v>1</v>
      </c>
      <c r="K40" s="49">
        <v>1</v>
      </c>
      <c r="L40" s="51">
        <f t="shared" si="4"/>
        <v>1</v>
      </c>
      <c r="M40" s="4"/>
      <c r="N40" s="2"/>
      <c r="O40" s="2"/>
      <c r="P40" s="4"/>
      <c r="Q40" s="4"/>
      <c r="R40" s="4"/>
    </row>
    <row r="41" spans="1:18" x14ac:dyDescent="0.25">
      <c r="A41" s="63" t="s">
        <v>72</v>
      </c>
      <c r="B41" s="7"/>
      <c r="C41" s="17">
        <f t="shared" si="0"/>
        <v>1</v>
      </c>
      <c r="D41" s="10"/>
      <c r="E41" s="21" t="e">
        <f t="shared" si="2"/>
        <v>#N/A</v>
      </c>
      <c r="F41" s="4"/>
      <c r="G41" s="38" t="s">
        <v>116</v>
      </c>
      <c r="H41" s="39">
        <f>SUMIF(D:D,"STL - CAT",C:C)</f>
        <v>0</v>
      </c>
      <c r="I41" s="40">
        <f t="shared" si="3"/>
        <v>1</v>
      </c>
      <c r="J41" s="41">
        <f t="shared" si="1"/>
        <v>1</v>
      </c>
      <c r="K41" s="40">
        <v>1</v>
      </c>
      <c r="L41" s="42">
        <f t="shared" si="4"/>
        <v>1</v>
      </c>
      <c r="M41" s="4"/>
      <c r="N41" s="2"/>
      <c r="O41" s="2"/>
      <c r="P41" s="4"/>
      <c r="Q41" s="4"/>
      <c r="R41" s="4"/>
    </row>
    <row r="42" spans="1:18" x14ac:dyDescent="0.25">
      <c r="A42" s="60" t="s">
        <v>72</v>
      </c>
      <c r="B42" s="7"/>
      <c r="C42" s="17">
        <f t="shared" si="0"/>
        <v>1</v>
      </c>
      <c r="D42" s="10"/>
      <c r="E42" s="21" t="e">
        <f t="shared" si="2"/>
        <v>#N/A</v>
      </c>
      <c r="F42" s="4"/>
      <c r="G42" s="47" t="s">
        <v>82</v>
      </c>
      <c r="H42" s="48">
        <f>SUMIF(D:D,"CAT WST",C:C)</f>
        <v>0</v>
      </c>
      <c r="I42" s="49">
        <f t="shared" si="3"/>
        <v>1</v>
      </c>
      <c r="J42" s="50">
        <f t="shared" si="1"/>
        <v>1</v>
      </c>
      <c r="K42" s="49">
        <v>2</v>
      </c>
      <c r="L42" s="51">
        <f t="shared" si="4"/>
        <v>2</v>
      </c>
      <c r="M42" s="4"/>
      <c r="N42" s="2"/>
      <c r="O42" s="2"/>
      <c r="P42" s="4"/>
      <c r="Q42" s="4"/>
      <c r="R42" s="4"/>
    </row>
    <row r="43" spans="1:18" x14ac:dyDescent="0.25">
      <c r="A43" s="61" t="s">
        <v>72</v>
      </c>
      <c r="B43" s="7"/>
      <c r="C43" s="17">
        <f t="shared" si="0"/>
        <v>1</v>
      </c>
      <c r="D43" s="10"/>
      <c r="E43" s="21" t="e">
        <f t="shared" si="2"/>
        <v>#N/A</v>
      </c>
      <c r="F43" s="4"/>
      <c r="G43" s="38" t="s">
        <v>112</v>
      </c>
      <c r="H43" s="39">
        <f>SUMIF(D:D,"WST - PDK",C:C)</f>
        <v>0</v>
      </c>
      <c r="I43" s="40">
        <f t="shared" si="3"/>
        <v>1</v>
      </c>
      <c r="J43" s="41">
        <f t="shared" si="1"/>
        <v>1</v>
      </c>
      <c r="K43" s="40">
        <v>1</v>
      </c>
      <c r="L43" s="42">
        <f t="shared" si="4"/>
        <v>1</v>
      </c>
      <c r="M43" s="4"/>
      <c r="N43" s="2"/>
      <c r="O43" s="2"/>
      <c r="P43" s="4"/>
      <c r="Q43" s="4"/>
      <c r="R43" s="4"/>
    </row>
    <row r="44" spans="1:18" x14ac:dyDescent="0.25">
      <c r="A44" s="62" t="s">
        <v>72</v>
      </c>
      <c r="B44" s="7"/>
      <c r="C44" s="17">
        <f t="shared" si="0"/>
        <v>1</v>
      </c>
      <c r="D44" s="10"/>
      <c r="E44" s="21" t="e">
        <f t="shared" si="2"/>
        <v>#N/A</v>
      </c>
      <c r="F44" s="4"/>
      <c r="G44" s="47" t="s">
        <v>113</v>
      </c>
      <c r="H44" s="48">
        <f>SUMIF(D:D,"PDK - LCA",C:C)</f>
        <v>0</v>
      </c>
      <c r="I44" s="49">
        <f t="shared" si="3"/>
        <v>1</v>
      </c>
      <c r="J44" s="50">
        <f t="shared" si="1"/>
        <v>1</v>
      </c>
      <c r="K44" s="49">
        <v>1</v>
      </c>
      <c r="L44" s="51">
        <f t="shared" si="4"/>
        <v>1</v>
      </c>
      <c r="M44" s="4"/>
      <c r="N44" s="2"/>
      <c r="O44" s="2"/>
      <c r="P44" s="4"/>
      <c r="Q44" s="4"/>
      <c r="R44" s="4"/>
    </row>
    <row r="45" spans="1:18" x14ac:dyDescent="0.25">
      <c r="A45" s="59" t="s">
        <v>72</v>
      </c>
      <c r="B45" s="7"/>
      <c r="C45" s="17">
        <f t="shared" si="0"/>
        <v>1</v>
      </c>
      <c r="D45" s="10"/>
      <c r="E45" s="21" t="e">
        <f t="shared" si="2"/>
        <v>#N/A</v>
      </c>
      <c r="F45" s="4"/>
      <c r="G45" s="52" t="s">
        <v>117</v>
      </c>
      <c r="H45" s="39">
        <f>SUMIF(D:D,"LCA - KGV",C:C)</f>
        <v>0</v>
      </c>
      <c r="I45" s="40">
        <f t="shared" si="3"/>
        <v>1</v>
      </c>
      <c r="J45" s="41">
        <f t="shared" si="1"/>
        <v>1</v>
      </c>
      <c r="K45" s="40">
        <v>3</v>
      </c>
      <c r="L45" s="53">
        <f>I45*J45*K45</f>
        <v>3</v>
      </c>
      <c r="M45" s="4"/>
      <c r="N45" s="2"/>
      <c r="O45" s="2"/>
      <c r="P45" s="4"/>
      <c r="Q45" s="4"/>
      <c r="R45" s="4"/>
    </row>
    <row r="46" spans="1:18" ht="15.75" thickBot="1" x14ac:dyDescent="0.3">
      <c r="A46" s="60" t="s">
        <v>72</v>
      </c>
      <c r="B46" s="7"/>
      <c r="C46" s="17">
        <f t="shared" si="0"/>
        <v>1</v>
      </c>
      <c r="D46" s="10"/>
      <c r="E46" s="21" t="e">
        <f t="shared" si="2"/>
        <v>#N/A</v>
      </c>
      <c r="F46" s="4"/>
      <c r="G46" s="24" t="s">
        <v>91</v>
      </c>
      <c r="H46" s="25">
        <f>SUMIF(D:D,"KGV - WOA",C:C)</f>
        <v>0</v>
      </c>
      <c r="I46" s="26">
        <f t="shared" si="3"/>
        <v>1</v>
      </c>
      <c r="J46" s="26">
        <f t="shared" si="1"/>
        <v>1</v>
      </c>
      <c r="K46" s="26">
        <v>3</v>
      </c>
      <c r="L46" s="27">
        <f>I46*J46*K46</f>
        <v>3</v>
      </c>
      <c r="M46" s="4"/>
      <c r="N46" s="2"/>
      <c r="O46" s="2"/>
      <c r="P46" s="4"/>
      <c r="Q46" s="4"/>
      <c r="R46" s="4"/>
    </row>
    <row r="47" spans="1:18" x14ac:dyDescent="0.25">
      <c r="A47" s="62" t="s">
        <v>72</v>
      </c>
      <c r="B47" s="7"/>
      <c r="C47" s="17">
        <f t="shared" si="0"/>
        <v>1</v>
      </c>
      <c r="D47" s="10"/>
      <c r="E47" s="21" t="e">
        <f t="shared" si="2"/>
        <v>#N/A</v>
      </c>
      <c r="F47" s="4"/>
      <c r="G47" s="2"/>
      <c r="H47" s="2"/>
      <c r="I47" s="2"/>
      <c r="J47" s="2"/>
      <c r="K47" s="2"/>
      <c r="L47" s="2"/>
      <c r="M47" s="4"/>
      <c r="N47" s="2"/>
      <c r="O47" s="2"/>
      <c r="P47" s="4"/>
      <c r="Q47" s="4"/>
      <c r="R47" s="4"/>
    </row>
    <row r="48" spans="1:18" x14ac:dyDescent="0.25">
      <c r="A48" s="59" t="s">
        <v>72</v>
      </c>
      <c r="B48" s="7"/>
      <c r="C48" s="17">
        <f t="shared" si="0"/>
        <v>1</v>
      </c>
      <c r="D48" s="10"/>
      <c r="E48" s="21" t="e">
        <f t="shared" si="2"/>
        <v>#N/A</v>
      </c>
      <c r="F48" s="4"/>
      <c r="G48" s="2"/>
      <c r="H48" s="2"/>
      <c r="I48" s="2"/>
      <c r="J48" s="2"/>
      <c r="K48" s="2"/>
      <c r="L48" s="2"/>
      <c r="M48" s="4"/>
      <c r="N48" s="2"/>
      <c r="O48" s="2"/>
      <c r="P48" s="4"/>
      <c r="Q48" s="4"/>
      <c r="R48" s="4"/>
    </row>
    <row r="49" spans="1:18" x14ac:dyDescent="0.25">
      <c r="A49" s="60" t="s">
        <v>72</v>
      </c>
      <c r="B49" s="7"/>
      <c r="C49" s="17">
        <f t="shared" si="0"/>
        <v>1</v>
      </c>
      <c r="D49" s="10"/>
      <c r="E49" s="21" t="e">
        <f t="shared" si="2"/>
        <v>#N/A</v>
      </c>
      <c r="F49" s="4"/>
      <c r="G49" s="2"/>
      <c r="H49" s="2"/>
      <c r="I49" s="2"/>
      <c r="J49" s="2"/>
      <c r="K49" s="2"/>
      <c r="L49" s="2"/>
      <c r="M49" s="4"/>
      <c r="N49" s="2"/>
      <c r="O49" s="2"/>
      <c r="P49" s="4"/>
      <c r="Q49" s="4"/>
      <c r="R49" s="4"/>
    </row>
    <row r="50" spans="1:18" x14ac:dyDescent="0.25">
      <c r="A50" s="61" t="s">
        <v>72</v>
      </c>
      <c r="B50" s="7"/>
      <c r="C50" s="17">
        <f t="shared" si="0"/>
        <v>1</v>
      </c>
      <c r="D50" s="10"/>
      <c r="E50" s="21" t="e">
        <f t="shared" si="2"/>
        <v>#N/A</v>
      </c>
      <c r="F50" s="4"/>
      <c r="G50" s="2"/>
      <c r="H50" s="2"/>
      <c r="I50" s="2"/>
      <c r="J50" s="2"/>
      <c r="K50" s="2"/>
      <c r="L50" s="2"/>
      <c r="M50" s="4"/>
      <c r="N50" s="2"/>
      <c r="O50" s="2"/>
      <c r="P50" s="4"/>
      <c r="Q50" s="4"/>
      <c r="R50" s="4"/>
    </row>
    <row r="51" spans="1:18" x14ac:dyDescent="0.25">
      <c r="A51" s="60" t="s">
        <v>72</v>
      </c>
      <c r="B51" s="7"/>
      <c r="C51" s="17">
        <f t="shared" si="0"/>
        <v>1</v>
      </c>
      <c r="D51" s="10"/>
      <c r="E51" s="21" t="e">
        <f t="shared" si="2"/>
        <v>#N/A</v>
      </c>
      <c r="F51" s="4"/>
      <c r="G51" s="2"/>
      <c r="H51" s="2"/>
      <c r="I51" s="2"/>
      <c r="J51" s="2"/>
      <c r="K51" s="2"/>
      <c r="L51" s="2"/>
      <c r="M51" s="4"/>
      <c r="N51" s="2"/>
      <c r="O51" s="2"/>
      <c r="P51" s="4"/>
      <c r="Q51" s="4"/>
      <c r="R51" s="4"/>
    </row>
    <row r="52" spans="1:18" x14ac:dyDescent="0.25">
      <c r="A52" s="59" t="s">
        <v>72</v>
      </c>
      <c r="B52" s="7"/>
      <c r="C52" s="17">
        <f t="shared" si="0"/>
        <v>1</v>
      </c>
      <c r="D52" s="10"/>
      <c r="E52" s="21" t="e">
        <f t="shared" si="2"/>
        <v>#N/A</v>
      </c>
      <c r="F52" s="4"/>
      <c r="G52" s="2"/>
      <c r="H52" s="2"/>
      <c r="I52" s="2"/>
      <c r="J52" s="2"/>
      <c r="K52" s="2"/>
      <c r="L52" s="2"/>
      <c r="M52" s="4"/>
      <c r="N52" s="2"/>
      <c r="O52" s="2"/>
      <c r="P52" s="4"/>
      <c r="Q52" s="4"/>
      <c r="R52" s="4"/>
    </row>
    <row r="53" spans="1:18" x14ac:dyDescent="0.25">
      <c r="A53" s="60" t="s">
        <v>72</v>
      </c>
      <c r="B53" s="7"/>
      <c r="C53" s="17">
        <f t="shared" si="0"/>
        <v>1</v>
      </c>
      <c r="D53" s="10"/>
      <c r="E53" s="21" t="e">
        <f t="shared" si="2"/>
        <v>#N/A</v>
      </c>
      <c r="F53" s="4"/>
      <c r="G53" s="2"/>
      <c r="H53" s="2"/>
      <c r="I53" s="2"/>
      <c r="J53" s="2"/>
      <c r="K53" s="2"/>
      <c r="L53" s="2"/>
      <c r="M53" s="4"/>
      <c r="N53" s="2"/>
      <c r="O53" s="2"/>
      <c r="P53" s="4"/>
      <c r="Q53" s="4"/>
      <c r="R53" s="4"/>
    </row>
    <row r="54" spans="1:18" x14ac:dyDescent="0.25">
      <c r="A54" s="61" t="s">
        <v>72</v>
      </c>
      <c r="B54" s="7"/>
      <c r="C54" s="17">
        <f t="shared" si="0"/>
        <v>1</v>
      </c>
      <c r="D54" s="10"/>
      <c r="E54" s="21" t="e">
        <f t="shared" si="2"/>
        <v>#N/A</v>
      </c>
      <c r="F54" s="4"/>
      <c r="G54" s="2"/>
      <c r="H54" s="2"/>
      <c r="I54" s="2"/>
      <c r="J54" s="2"/>
      <c r="K54" s="2"/>
      <c r="L54" s="2"/>
      <c r="M54" s="4"/>
      <c r="N54" s="2"/>
      <c r="O54" s="2"/>
      <c r="P54" s="4"/>
      <c r="Q54" s="4"/>
      <c r="R54" s="4"/>
    </row>
    <row r="55" spans="1:18" x14ac:dyDescent="0.25">
      <c r="A55" s="59" t="s">
        <v>72</v>
      </c>
      <c r="B55" s="7"/>
      <c r="C55" s="17">
        <f t="shared" si="0"/>
        <v>1</v>
      </c>
      <c r="D55" s="10"/>
      <c r="E55" s="21" t="e">
        <f t="shared" si="2"/>
        <v>#N/A</v>
      </c>
      <c r="F55" s="4"/>
      <c r="G55" s="2"/>
      <c r="H55" s="2"/>
      <c r="I55" s="2"/>
      <c r="J55" s="2"/>
      <c r="K55" s="2"/>
      <c r="L55" s="2"/>
      <c r="M55" s="4"/>
      <c r="N55" s="2"/>
      <c r="O55" s="2"/>
      <c r="P55" s="4"/>
      <c r="Q55" s="4"/>
      <c r="R55" s="4"/>
    </row>
    <row r="56" spans="1:18" x14ac:dyDescent="0.25">
      <c r="A56" s="60" t="s">
        <v>72</v>
      </c>
      <c r="B56" s="7"/>
      <c r="C56" s="17">
        <f t="shared" si="0"/>
        <v>1</v>
      </c>
      <c r="D56" s="10"/>
      <c r="E56" s="21" t="e">
        <f t="shared" si="2"/>
        <v>#N/A</v>
      </c>
      <c r="F56" s="4"/>
      <c r="G56" s="2"/>
      <c r="H56" s="2"/>
      <c r="I56" s="2"/>
      <c r="J56" s="2"/>
      <c r="K56" s="2"/>
      <c r="L56" s="2"/>
      <c r="M56" s="4"/>
      <c r="N56" s="2"/>
      <c r="O56" s="2"/>
      <c r="P56" s="4"/>
      <c r="Q56" s="4"/>
      <c r="R56" s="4"/>
    </row>
    <row r="57" spans="1:18" x14ac:dyDescent="0.25">
      <c r="A57" s="59" t="s">
        <v>72</v>
      </c>
      <c r="B57" s="7"/>
      <c r="C57" s="17">
        <f t="shared" si="0"/>
        <v>1</v>
      </c>
      <c r="D57" s="10"/>
      <c r="E57" s="21" t="e">
        <f t="shared" si="2"/>
        <v>#N/A</v>
      </c>
      <c r="F57" s="4"/>
      <c r="G57" s="2"/>
      <c r="H57" s="2"/>
      <c r="I57" s="2"/>
      <c r="J57" s="2"/>
      <c r="K57" s="2"/>
      <c r="L57" s="2"/>
      <c r="M57" s="4"/>
      <c r="N57" s="2"/>
      <c r="O57" s="2"/>
      <c r="P57" s="4"/>
      <c r="Q57" s="4"/>
      <c r="R57" s="4"/>
    </row>
    <row r="58" spans="1:18" x14ac:dyDescent="0.25">
      <c r="A58" s="60" t="s">
        <v>72</v>
      </c>
      <c r="B58" s="7"/>
      <c r="C58" s="17">
        <f t="shared" si="0"/>
        <v>1</v>
      </c>
      <c r="D58" s="10"/>
      <c r="E58" s="21" t="e">
        <f t="shared" si="2"/>
        <v>#N/A</v>
      </c>
      <c r="F58" s="4"/>
      <c r="G58" s="2"/>
      <c r="H58" s="2"/>
      <c r="I58" s="2"/>
      <c r="J58" s="2"/>
      <c r="K58" s="2"/>
      <c r="L58" s="2"/>
      <c r="M58" s="4"/>
      <c r="N58" s="2"/>
      <c r="O58" s="2"/>
      <c r="P58" s="4"/>
      <c r="Q58" s="4"/>
      <c r="R58" s="4"/>
    </row>
    <row r="59" spans="1:18" x14ac:dyDescent="0.25">
      <c r="A59" s="61" t="s">
        <v>72</v>
      </c>
      <c r="B59" s="7"/>
      <c r="C59" s="17">
        <f t="shared" si="0"/>
        <v>1</v>
      </c>
      <c r="D59" s="10"/>
      <c r="E59" s="21" t="e">
        <f t="shared" si="2"/>
        <v>#N/A</v>
      </c>
      <c r="F59" s="4"/>
      <c r="G59" s="2"/>
      <c r="H59" s="2"/>
      <c r="I59" s="2"/>
      <c r="J59" s="2"/>
      <c r="K59" s="2"/>
      <c r="L59" s="2"/>
      <c r="M59" s="4"/>
      <c r="N59" s="2"/>
      <c r="O59" s="2"/>
      <c r="P59" s="4"/>
      <c r="Q59" s="4"/>
      <c r="R59" s="4"/>
    </row>
    <row r="60" spans="1:18" x14ac:dyDescent="0.25">
      <c r="A60" s="62" t="s">
        <v>72</v>
      </c>
      <c r="B60" s="7"/>
      <c r="C60" s="17">
        <f t="shared" si="0"/>
        <v>1</v>
      </c>
      <c r="D60" s="10"/>
      <c r="E60" s="21" t="e">
        <f t="shared" si="2"/>
        <v>#N/A</v>
      </c>
      <c r="F60" s="4"/>
      <c r="G60" s="2"/>
      <c r="H60" s="2"/>
      <c r="I60" s="2"/>
      <c r="J60" s="2"/>
      <c r="K60" s="2"/>
      <c r="L60" s="2"/>
      <c r="M60" s="4"/>
      <c r="N60" s="2"/>
      <c r="O60" s="2"/>
      <c r="P60" s="4"/>
      <c r="Q60" s="4"/>
      <c r="R60" s="4"/>
    </row>
    <row r="61" spans="1:18" x14ac:dyDescent="0.25">
      <c r="A61" s="63" t="s">
        <v>72</v>
      </c>
      <c r="B61" s="7"/>
      <c r="C61" s="17">
        <f t="shared" si="0"/>
        <v>1</v>
      </c>
      <c r="D61" s="10"/>
      <c r="E61" s="21" t="e">
        <f t="shared" si="2"/>
        <v>#N/A</v>
      </c>
      <c r="F61" s="4"/>
      <c r="G61" s="2"/>
      <c r="H61" s="2"/>
      <c r="I61" s="2"/>
      <c r="J61" s="2"/>
      <c r="K61" s="2"/>
      <c r="L61" s="2"/>
      <c r="M61" s="4"/>
      <c r="N61" s="2"/>
      <c r="O61" s="2"/>
      <c r="P61" s="4"/>
      <c r="Q61" s="4"/>
      <c r="R61" s="4"/>
    </row>
    <row r="62" spans="1:18" x14ac:dyDescent="0.25">
      <c r="A62" s="60" t="s">
        <v>72</v>
      </c>
      <c r="B62" s="7"/>
      <c r="C62" s="17">
        <f t="shared" si="0"/>
        <v>1</v>
      </c>
      <c r="D62" s="10"/>
      <c r="E62" s="21" t="e">
        <f t="shared" si="2"/>
        <v>#N/A</v>
      </c>
      <c r="F62" s="4"/>
      <c r="G62" s="2"/>
      <c r="H62" s="2"/>
      <c r="I62" s="2"/>
      <c r="J62" s="2"/>
      <c r="K62" s="2"/>
      <c r="L62" s="2"/>
      <c r="M62" s="4"/>
      <c r="N62" s="2"/>
      <c r="O62" s="2"/>
      <c r="P62" s="4"/>
      <c r="Q62" s="4"/>
      <c r="R62" s="4"/>
    </row>
    <row r="63" spans="1:18" ht="15.75" thickBot="1" x14ac:dyDescent="0.3">
      <c r="A63" s="64" t="s">
        <v>72</v>
      </c>
      <c r="B63" s="7"/>
      <c r="C63" s="17">
        <f t="shared" si="0"/>
        <v>1</v>
      </c>
      <c r="D63" s="10"/>
      <c r="E63" s="21" t="e">
        <f t="shared" si="2"/>
        <v>#N/A</v>
      </c>
      <c r="F63" s="4"/>
      <c r="G63" s="2"/>
      <c r="H63" s="2"/>
      <c r="I63" s="2"/>
      <c r="J63" s="2"/>
      <c r="K63" s="2"/>
      <c r="L63" s="2"/>
      <c r="M63" s="4"/>
      <c r="N63" s="2"/>
      <c r="O63" s="2"/>
      <c r="P63" s="4"/>
      <c r="Q63" s="4"/>
      <c r="R63" s="4"/>
    </row>
    <row r="64" spans="1:18" x14ac:dyDescent="0.25">
      <c r="A64" s="2"/>
      <c r="B64" s="7"/>
      <c r="C64" s="17">
        <f t="shared" si="0"/>
        <v>1</v>
      </c>
      <c r="D64" s="10"/>
      <c r="E64" s="21" t="e">
        <f t="shared" si="2"/>
        <v>#N/A</v>
      </c>
      <c r="F64" s="4"/>
      <c r="G64" s="2"/>
      <c r="H64" s="2"/>
      <c r="I64" s="2"/>
      <c r="J64" s="2"/>
      <c r="K64" s="2"/>
      <c r="L64" s="2"/>
      <c r="M64" s="4"/>
      <c r="N64" s="2"/>
      <c r="O64" s="2"/>
      <c r="P64" s="4"/>
      <c r="Q64" s="4"/>
      <c r="R64" s="4"/>
    </row>
    <row r="65" spans="1:18" x14ac:dyDescent="0.25">
      <c r="A65" s="2"/>
      <c r="B65" s="7"/>
      <c r="C65" s="17">
        <f t="shared" si="0"/>
        <v>1</v>
      </c>
      <c r="D65" s="10"/>
      <c r="E65" s="21" t="e">
        <f t="shared" si="2"/>
        <v>#N/A</v>
      </c>
      <c r="F65" s="4"/>
      <c r="G65" s="2"/>
      <c r="H65" s="2"/>
      <c r="I65" s="2"/>
      <c r="J65" s="2"/>
      <c r="K65" s="2"/>
      <c r="L65" s="2"/>
      <c r="M65" s="4"/>
      <c r="N65" s="2"/>
      <c r="O65" s="2"/>
      <c r="P65" s="4"/>
      <c r="Q65" s="4"/>
      <c r="R65" s="4"/>
    </row>
    <row r="66" spans="1:18" x14ac:dyDescent="0.25">
      <c r="A66" s="2"/>
      <c r="B66" s="7"/>
      <c r="C66" s="17">
        <f t="shared" si="0"/>
        <v>1</v>
      </c>
      <c r="D66" s="10"/>
      <c r="E66" s="21" t="e">
        <f t="shared" si="2"/>
        <v>#N/A</v>
      </c>
      <c r="F66" s="4"/>
      <c r="G66" s="2"/>
      <c r="H66" s="2"/>
      <c r="I66" s="2"/>
      <c r="J66" s="2"/>
      <c r="K66" s="2"/>
      <c r="L66" s="2"/>
      <c r="M66" s="4"/>
      <c r="N66" s="2"/>
      <c r="O66" s="2"/>
      <c r="P66" s="4"/>
      <c r="Q66" s="4"/>
      <c r="R66" s="4"/>
    </row>
    <row r="67" spans="1:18" x14ac:dyDescent="0.25">
      <c r="A67" s="2"/>
      <c r="B67" s="7"/>
      <c r="C67" s="17">
        <f t="shared" ref="C67:C130" si="5" xml:space="preserve"> 1</f>
        <v>1</v>
      </c>
      <c r="D67" s="10"/>
      <c r="E67" s="21" t="e">
        <f t="shared" ref="E67:E130" si="6">INDEX(N:N,MATCH(B67,O:O,0),1)</f>
        <v>#N/A</v>
      </c>
      <c r="F67" s="4"/>
      <c r="G67" s="2"/>
      <c r="H67" s="2"/>
      <c r="I67" s="2"/>
      <c r="J67" s="2"/>
      <c r="K67" s="2"/>
      <c r="L67" s="2"/>
      <c r="M67" s="4"/>
      <c r="N67" s="2"/>
      <c r="O67" s="2"/>
      <c r="P67" s="4"/>
      <c r="Q67" s="4"/>
      <c r="R67" s="4"/>
    </row>
    <row r="68" spans="1:18" x14ac:dyDescent="0.25">
      <c r="A68" s="2"/>
      <c r="B68" s="7"/>
      <c r="C68" s="17">
        <f t="shared" si="5"/>
        <v>1</v>
      </c>
      <c r="D68" s="10"/>
      <c r="E68" s="21" t="e">
        <f t="shared" si="6"/>
        <v>#N/A</v>
      </c>
      <c r="F68" s="4"/>
      <c r="G68" s="2"/>
      <c r="H68" s="2"/>
      <c r="I68" s="2"/>
      <c r="J68" s="2"/>
      <c r="K68" s="2"/>
      <c r="L68" s="2"/>
      <c r="M68" s="4"/>
      <c r="N68" s="2"/>
      <c r="O68" s="2"/>
      <c r="P68" s="4"/>
      <c r="Q68" s="4"/>
      <c r="R68" s="4"/>
    </row>
    <row r="69" spans="1:18" x14ac:dyDescent="0.25">
      <c r="A69" s="2"/>
      <c r="B69" s="7"/>
      <c r="C69" s="17">
        <f t="shared" si="5"/>
        <v>1</v>
      </c>
      <c r="D69" s="10"/>
      <c r="E69" s="21" t="e">
        <f t="shared" si="6"/>
        <v>#N/A</v>
      </c>
      <c r="F69" s="4"/>
      <c r="G69" s="2"/>
      <c r="H69" s="2"/>
      <c r="I69" s="2"/>
      <c r="J69" s="2"/>
      <c r="K69" s="2"/>
      <c r="L69" s="2"/>
      <c r="M69" s="4"/>
      <c r="N69" s="2"/>
      <c r="O69" s="2"/>
      <c r="P69" s="4"/>
      <c r="Q69" s="4"/>
      <c r="R69" s="4"/>
    </row>
    <row r="70" spans="1:18" x14ac:dyDescent="0.25">
      <c r="A70" s="2"/>
      <c r="B70" s="7"/>
      <c r="C70" s="17">
        <f t="shared" si="5"/>
        <v>1</v>
      </c>
      <c r="D70" s="10"/>
      <c r="E70" s="21" t="e">
        <f t="shared" si="6"/>
        <v>#N/A</v>
      </c>
      <c r="F70" s="4"/>
      <c r="G70" s="2"/>
      <c r="H70" s="2"/>
      <c r="I70" s="2"/>
      <c r="J70" s="2"/>
      <c r="K70" s="2"/>
      <c r="L70" s="2"/>
      <c r="M70" s="4"/>
      <c r="N70" s="2"/>
      <c r="O70" s="2"/>
      <c r="P70" s="4"/>
      <c r="Q70" s="4"/>
      <c r="R70" s="4"/>
    </row>
    <row r="71" spans="1:18" x14ac:dyDescent="0.25">
      <c r="A71" s="2"/>
      <c r="B71" s="7"/>
      <c r="C71" s="17">
        <f t="shared" si="5"/>
        <v>1</v>
      </c>
      <c r="D71" s="10"/>
      <c r="E71" s="21" t="e">
        <f t="shared" si="6"/>
        <v>#N/A</v>
      </c>
      <c r="F71" s="4"/>
      <c r="G71" s="2"/>
      <c r="H71" s="2"/>
      <c r="I71" s="2"/>
      <c r="J71" s="2"/>
      <c r="K71" s="2"/>
      <c r="L71" s="2"/>
      <c r="M71" s="4"/>
      <c r="N71" s="2"/>
      <c r="O71" s="2"/>
      <c r="P71" s="4"/>
      <c r="Q71" s="4"/>
      <c r="R71" s="4"/>
    </row>
    <row r="72" spans="1:18" x14ac:dyDescent="0.25">
      <c r="A72" s="2"/>
      <c r="B72" s="7"/>
      <c r="C72" s="17">
        <f t="shared" si="5"/>
        <v>1</v>
      </c>
      <c r="D72" s="10"/>
      <c r="E72" s="21" t="e">
        <f t="shared" si="6"/>
        <v>#N/A</v>
      </c>
      <c r="F72" s="4"/>
      <c r="G72" s="2"/>
      <c r="H72" s="2"/>
      <c r="I72" s="2"/>
      <c r="J72" s="2"/>
      <c r="K72" s="2"/>
      <c r="L72" s="2"/>
      <c r="M72" s="4"/>
      <c r="N72" s="2"/>
      <c r="O72" s="2"/>
      <c r="P72" s="4"/>
      <c r="Q72" s="4"/>
      <c r="R72" s="4"/>
    </row>
    <row r="73" spans="1:18" x14ac:dyDescent="0.25">
      <c r="A73" s="2"/>
      <c r="B73" s="7"/>
      <c r="C73" s="17">
        <f t="shared" si="5"/>
        <v>1</v>
      </c>
      <c r="D73" s="10"/>
      <c r="E73" s="21" t="e">
        <f t="shared" si="6"/>
        <v>#N/A</v>
      </c>
      <c r="F73" s="4"/>
      <c r="G73" s="2"/>
      <c r="H73" s="2"/>
      <c r="I73" s="2"/>
      <c r="J73" s="2"/>
      <c r="K73" s="2"/>
      <c r="L73" s="2"/>
      <c r="M73" s="4"/>
      <c r="N73" s="2"/>
      <c r="O73" s="2"/>
      <c r="P73" s="4"/>
      <c r="Q73" s="4"/>
      <c r="R73" s="4"/>
    </row>
    <row r="74" spans="1:18" x14ac:dyDescent="0.25">
      <c r="A74" s="2"/>
      <c r="B74" s="7"/>
      <c r="C74" s="17">
        <f t="shared" si="5"/>
        <v>1</v>
      </c>
      <c r="D74" s="10"/>
      <c r="E74" s="21" t="e">
        <f t="shared" si="6"/>
        <v>#N/A</v>
      </c>
      <c r="F74" s="4"/>
      <c r="G74" s="2"/>
      <c r="H74" s="2"/>
      <c r="I74" s="2"/>
      <c r="J74" s="2"/>
      <c r="K74" s="2"/>
      <c r="L74" s="2"/>
      <c r="M74" s="4"/>
      <c r="N74" s="2"/>
      <c r="O74" s="2"/>
      <c r="P74" s="4"/>
      <c r="Q74" s="4"/>
      <c r="R74" s="4"/>
    </row>
    <row r="75" spans="1:18" x14ac:dyDescent="0.25">
      <c r="A75" s="2"/>
      <c r="B75" s="7"/>
      <c r="C75" s="17">
        <f t="shared" si="5"/>
        <v>1</v>
      </c>
      <c r="D75" s="10"/>
      <c r="E75" s="21" t="e">
        <f t="shared" si="6"/>
        <v>#N/A</v>
      </c>
      <c r="F75" s="4"/>
      <c r="G75" s="2"/>
      <c r="H75" s="2"/>
      <c r="I75" s="2"/>
      <c r="J75" s="2"/>
      <c r="K75" s="2"/>
      <c r="L75" s="2"/>
      <c r="M75" s="4"/>
      <c r="N75" s="2"/>
      <c r="O75" s="2"/>
      <c r="P75" s="4"/>
      <c r="Q75" s="4"/>
      <c r="R75" s="4"/>
    </row>
    <row r="76" spans="1:18" x14ac:dyDescent="0.25">
      <c r="A76" s="2"/>
      <c r="B76" s="7"/>
      <c r="C76" s="17">
        <f t="shared" si="5"/>
        <v>1</v>
      </c>
      <c r="D76" s="10"/>
      <c r="E76" s="21" t="e">
        <f t="shared" si="6"/>
        <v>#N/A</v>
      </c>
      <c r="F76" s="4"/>
      <c r="G76" s="2"/>
      <c r="H76" s="2"/>
      <c r="I76" s="2"/>
      <c r="J76" s="2"/>
      <c r="K76" s="2"/>
      <c r="L76" s="2"/>
      <c r="M76" s="4"/>
      <c r="N76" s="2"/>
      <c r="O76" s="2"/>
      <c r="P76" s="4"/>
      <c r="Q76" s="4"/>
      <c r="R76" s="4"/>
    </row>
    <row r="77" spans="1:18" x14ac:dyDescent="0.25">
      <c r="A77" s="2"/>
      <c r="B77" s="7"/>
      <c r="C77" s="17">
        <f t="shared" si="5"/>
        <v>1</v>
      </c>
      <c r="D77" s="10"/>
      <c r="E77" s="21" t="e">
        <f t="shared" si="6"/>
        <v>#N/A</v>
      </c>
      <c r="F77" s="4"/>
      <c r="G77" s="4"/>
      <c r="H77" s="4"/>
      <c r="I77" s="4"/>
      <c r="J77" s="4"/>
      <c r="K77" s="4"/>
      <c r="L77" s="4"/>
      <c r="M77" s="4"/>
      <c r="N77" s="2"/>
      <c r="O77" s="2"/>
      <c r="P77" s="4"/>
      <c r="Q77" s="4"/>
      <c r="R77" s="4"/>
    </row>
    <row r="78" spans="1:18" x14ac:dyDescent="0.25">
      <c r="A78" s="2"/>
      <c r="B78" s="7"/>
      <c r="C78" s="17">
        <f t="shared" si="5"/>
        <v>1</v>
      </c>
      <c r="D78" s="10"/>
      <c r="E78" s="21" t="e">
        <f t="shared" si="6"/>
        <v>#N/A</v>
      </c>
      <c r="F78" s="4"/>
      <c r="G78" s="4"/>
      <c r="H78" s="4"/>
      <c r="I78" s="4"/>
      <c r="J78" s="4"/>
      <c r="K78" s="4"/>
      <c r="L78" s="4"/>
      <c r="M78" s="4"/>
      <c r="N78" s="2"/>
      <c r="O78" s="2"/>
      <c r="P78" s="4"/>
      <c r="Q78" s="4"/>
      <c r="R78" s="4"/>
    </row>
    <row r="79" spans="1:18" x14ac:dyDescent="0.25">
      <c r="A79" s="2"/>
      <c r="B79" s="7"/>
      <c r="C79" s="17">
        <f t="shared" si="5"/>
        <v>1</v>
      </c>
      <c r="D79" s="10"/>
      <c r="E79" s="21" t="e">
        <f t="shared" si="6"/>
        <v>#N/A</v>
      </c>
      <c r="F79" s="4"/>
      <c r="G79" s="4"/>
      <c r="H79" s="4"/>
      <c r="I79" s="4"/>
      <c r="J79" s="4"/>
      <c r="K79" s="4"/>
      <c r="L79" s="4"/>
      <c r="M79" s="4"/>
      <c r="N79" s="2"/>
      <c r="O79" s="2"/>
      <c r="P79" s="4"/>
      <c r="Q79" s="4"/>
      <c r="R79" s="4"/>
    </row>
    <row r="80" spans="1:18" x14ac:dyDescent="0.25">
      <c r="A80" s="2"/>
      <c r="B80" s="7"/>
      <c r="C80" s="17">
        <f t="shared" si="5"/>
        <v>1</v>
      </c>
      <c r="D80" s="10"/>
      <c r="E80" s="21" t="e">
        <f t="shared" si="6"/>
        <v>#N/A</v>
      </c>
      <c r="F80" s="4"/>
      <c r="G80" s="4"/>
      <c r="H80" s="4"/>
      <c r="I80" s="4"/>
      <c r="J80" s="4"/>
      <c r="K80" s="4"/>
      <c r="L80" s="4"/>
      <c r="M80" s="4"/>
      <c r="N80" s="2"/>
      <c r="O80" s="2"/>
      <c r="P80" s="4"/>
      <c r="Q80" s="4"/>
      <c r="R80" s="4"/>
    </row>
    <row r="81" spans="1:18" x14ac:dyDescent="0.25">
      <c r="A81" s="2"/>
      <c r="B81" s="7"/>
      <c r="C81" s="17">
        <f t="shared" si="5"/>
        <v>1</v>
      </c>
      <c r="D81" s="10"/>
      <c r="E81" s="21" t="e">
        <f t="shared" si="6"/>
        <v>#N/A</v>
      </c>
      <c r="F81" s="4"/>
      <c r="G81" s="4"/>
      <c r="H81" s="4"/>
      <c r="I81" s="4"/>
      <c r="J81" s="4"/>
      <c r="K81" s="4"/>
      <c r="L81" s="4"/>
      <c r="M81" s="4"/>
      <c r="N81" s="2"/>
      <c r="O81" s="2"/>
      <c r="P81" s="4"/>
      <c r="Q81" s="4"/>
      <c r="R81" s="4"/>
    </row>
    <row r="82" spans="1:18" x14ac:dyDescent="0.25">
      <c r="A82" s="2"/>
      <c r="B82" s="7"/>
      <c r="C82" s="17">
        <f t="shared" si="5"/>
        <v>1</v>
      </c>
      <c r="D82" s="10"/>
      <c r="E82" s="21" t="e">
        <f t="shared" si="6"/>
        <v>#N/A</v>
      </c>
      <c r="F82" s="4"/>
      <c r="G82" s="4"/>
      <c r="H82" s="4"/>
      <c r="I82" s="4"/>
      <c r="J82" s="4"/>
      <c r="K82" s="4"/>
      <c r="L82" s="4"/>
      <c r="M82" s="4"/>
      <c r="N82" s="2"/>
      <c r="O82" s="2"/>
      <c r="P82" s="4"/>
      <c r="Q82" s="4"/>
      <c r="R82" s="4"/>
    </row>
    <row r="83" spans="1:18" x14ac:dyDescent="0.25">
      <c r="A83" s="2"/>
      <c r="B83" s="7"/>
      <c r="C83" s="17">
        <f t="shared" si="5"/>
        <v>1</v>
      </c>
      <c r="D83" s="10"/>
      <c r="E83" s="21" t="e">
        <f t="shared" si="6"/>
        <v>#N/A</v>
      </c>
      <c r="F83" s="4"/>
      <c r="G83" s="4"/>
      <c r="H83" s="4"/>
      <c r="I83" s="4"/>
      <c r="J83" s="4"/>
      <c r="K83" s="4"/>
      <c r="L83" s="4"/>
      <c r="M83" s="4"/>
      <c r="N83" s="2"/>
      <c r="O83" s="2"/>
      <c r="P83" s="4"/>
      <c r="Q83" s="4"/>
      <c r="R83" s="4"/>
    </row>
    <row r="84" spans="1:18" x14ac:dyDescent="0.25">
      <c r="A84" s="2"/>
      <c r="B84" s="7"/>
      <c r="C84" s="17">
        <f t="shared" si="5"/>
        <v>1</v>
      </c>
      <c r="D84" s="10"/>
      <c r="E84" s="21" t="e">
        <f t="shared" si="6"/>
        <v>#N/A</v>
      </c>
      <c r="F84" s="4"/>
      <c r="G84" s="4"/>
      <c r="H84" s="4"/>
      <c r="I84" s="4"/>
      <c r="J84" s="4"/>
      <c r="K84" s="4"/>
      <c r="L84" s="4"/>
      <c r="M84" s="4"/>
      <c r="N84" s="2"/>
      <c r="O84" s="2"/>
      <c r="P84" s="4"/>
      <c r="Q84" s="4"/>
      <c r="R84" s="4"/>
    </row>
    <row r="85" spans="1:18" x14ac:dyDescent="0.25">
      <c r="A85" s="2"/>
      <c r="B85" s="7"/>
      <c r="C85" s="17">
        <f t="shared" si="5"/>
        <v>1</v>
      </c>
      <c r="D85" s="10"/>
      <c r="E85" s="21" t="e">
        <f t="shared" si="6"/>
        <v>#N/A</v>
      </c>
      <c r="F85" s="4"/>
      <c r="G85" s="4"/>
      <c r="H85" s="4"/>
      <c r="I85" s="4"/>
      <c r="J85" s="4"/>
      <c r="K85" s="4"/>
      <c r="L85" s="4"/>
      <c r="M85" s="4"/>
      <c r="N85" s="2"/>
      <c r="O85" s="2"/>
      <c r="P85" s="4"/>
      <c r="Q85" s="4"/>
      <c r="R85" s="4"/>
    </row>
    <row r="86" spans="1:18" x14ac:dyDescent="0.25">
      <c r="A86" s="2"/>
      <c r="B86" s="7"/>
      <c r="C86" s="17">
        <f t="shared" si="5"/>
        <v>1</v>
      </c>
      <c r="D86" s="10"/>
      <c r="E86" s="21" t="e">
        <f t="shared" si="6"/>
        <v>#N/A</v>
      </c>
      <c r="F86" s="4"/>
      <c r="G86" s="4"/>
      <c r="H86" s="4"/>
      <c r="I86" s="4"/>
      <c r="J86" s="4"/>
      <c r="K86" s="4"/>
      <c r="L86" s="4"/>
      <c r="M86" s="4"/>
      <c r="N86" s="2"/>
      <c r="O86" s="2"/>
      <c r="P86" s="4"/>
      <c r="Q86" s="4"/>
      <c r="R86" s="4"/>
    </row>
    <row r="87" spans="1:18" x14ac:dyDescent="0.25">
      <c r="A87" s="2"/>
      <c r="B87" s="7"/>
      <c r="C87" s="17">
        <f t="shared" si="5"/>
        <v>1</v>
      </c>
      <c r="D87" s="10"/>
      <c r="E87" s="21" t="e">
        <f t="shared" si="6"/>
        <v>#N/A</v>
      </c>
      <c r="F87" s="4"/>
      <c r="G87" s="4"/>
      <c r="H87" s="4"/>
      <c r="I87" s="4"/>
      <c r="J87" s="4"/>
      <c r="K87" s="4"/>
      <c r="L87" s="4"/>
      <c r="M87" s="4"/>
      <c r="N87" s="2"/>
      <c r="O87" s="2"/>
      <c r="P87" s="4"/>
      <c r="Q87" s="4"/>
      <c r="R87" s="4"/>
    </row>
    <row r="88" spans="1:18" x14ac:dyDescent="0.25">
      <c r="A88" s="2"/>
      <c r="B88" s="7"/>
      <c r="C88" s="17">
        <f t="shared" si="5"/>
        <v>1</v>
      </c>
      <c r="D88" s="10"/>
      <c r="E88" s="21" t="e">
        <f t="shared" si="6"/>
        <v>#N/A</v>
      </c>
      <c r="F88" s="4"/>
      <c r="G88" s="4"/>
      <c r="H88" s="4"/>
      <c r="I88" s="4"/>
      <c r="J88" s="4"/>
      <c r="K88" s="4"/>
      <c r="L88" s="4"/>
      <c r="M88" s="4"/>
      <c r="N88" s="2"/>
      <c r="O88" s="2"/>
      <c r="P88" s="4"/>
      <c r="Q88" s="4"/>
      <c r="R88" s="4"/>
    </row>
    <row r="89" spans="1:18" x14ac:dyDescent="0.25">
      <c r="A89" s="2"/>
      <c r="B89" s="7"/>
      <c r="C89" s="17">
        <f t="shared" si="5"/>
        <v>1</v>
      </c>
      <c r="D89" s="10"/>
      <c r="E89" s="21" t="e">
        <f t="shared" si="6"/>
        <v>#N/A</v>
      </c>
      <c r="F89" s="4"/>
      <c r="G89" s="4"/>
      <c r="H89" s="4"/>
      <c r="I89" s="4"/>
      <c r="J89" s="4"/>
      <c r="K89" s="4"/>
      <c r="L89" s="4"/>
      <c r="M89" s="4"/>
      <c r="N89" s="2"/>
      <c r="O89" s="2"/>
      <c r="P89" s="4"/>
      <c r="Q89" s="4"/>
      <c r="R89" s="4"/>
    </row>
    <row r="90" spans="1:18" x14ac:dyDescent="0.25">
      <c r="A90" s="2"/>
      <c r="B90" s="7"/>
      <c r="C90" s="17">
        <f t="shared" si="5"/>
        <v>1</v>
      </c>
      <c r="D90" s="10"/>
      <c r="E90" s="21" t="e">
        <f t="shared" si="6"/>
        <v>#N/A</v>
      </c>
      <c r="F90" s="4"/>
      <c r="G90" s="4"/>
      <c r="H90" s="4"/>
      <c r="I90" s="4"/>
      <c r="J90" s="4"/>
      <c r="K90" s="4"/>
      <c r="L90" s="4"/>
      <c r="M90" s="4"/>
      <c r="N90" s="2"/>
      <c r="O90" s="2"/>
      <c r="P90" s="4"/>
      <c r="Q90" s="4"/>
      <c r="R90" s="4"/>
    </row>
    <row r="91" spans="1:18" x14ac:dyDescent="0.25">
      <c r="A91" s="2"/>
      <c r="B91" s="7"/>
      <c r="C91" s="17">
        <f t="shared" si="5"/>
        <v>1</v>
      </c>
      <c r="D91" s="10"/>
      <c r="E91" s="21" t="e">
        <f t="shared" si="6"/>
        <v>#N/A</v>
      </c>
      <c r="F91" s="4"/>
      <c r="G91" s="4"/>
      <c r="H91" s="4"/>
      <c r="I91" s="4"/>
      <c r="J91" s="4"/>
      <c r="K91" s="4"/>
      <c r="L91" s="4"/>
      <c r="M91" s="4"/>
      <c r="N91" s="2"/>
      <c r="O91" s="2"/>
      <c r="P91" s="4"/>
      <c r="Q91" s="4"/>
      <c r="R91" s="4"/>
    </row>
    <row r="92" spans="1:18" x14ac:dyDescent="0.25">
      <c r="A92" s="2"/>
      <c r="B92" s="7"/>
      <c r="C92" s="17">
        <f t="shared" si="5"/>
        <v>1</v>
      </c>
      <c r="D92" s="10"/>
      <c r="E92" s="21" t="e">
        <f t="shared" si="6"/>
        <v>#N/A</v>
      </c>
      <c r="F92" s="4"/>
      <c r="G92" s="4"/>
      <c r="H92" s="4"/>
      <c r="I92" s="4"/>
      <c r="J92" s="4"/>
      <c r="K92" s="4"/>
      <c r="L92" s="4"/>
      <c r="M92" s="4"/>
      <c r="N92" s="2"/>
      <c r="O92" s="2"/>
      <c r="P92" s="4"/>
      <c r="Q92" s="4"/>
      <c r="R92" s="4"/>
    </row>
    <row r="93" spans="1:18" x14ac:dyDescent="0.25">
      <c r="A93" s="2"/>
      <c r="B93" s="7"/>
      <c r="C93" s="17">
        <f t="shared" si="5"/>
        <v>1</v>
      </c>
      <c r="D93" s="10"/>
      <c r="E93" s="21" t="e">
        <f t="shared" si="6"/>
        <v>#N/A</v>
      </c>
      <c r="F93" s="4"/>
      <c r="G93" s="4"/>
      <c r="H93" s="4"/>
      <c r="I93" s="4"/>
      <c r="J93" s="4"/>
      <c r="K93" s="4"/>
      <c r="L93" s="4"/>
      <c r="M93" s="4"/>
      <c r="N93" s="2"/>
      <c r="O93" s="2"/>
      <c r="P93" s="4"/>
      <c r="Q93" s="4"/>
      <c r="R93" s="4"/>
    </row>
    <row r="94" spans="1:18" x14ac:dyDescent="0.25">
      <c r="A94" s="2"/>
      <c r="B94" s="7"/>
      <c r="C94" s="17">
        <f t="shared" si="5"/>
        <v>1</v>
      </c>
      <c r="D94" s="10"/>
      <c r="E94" s="21" t="e">
        <f t="shared" si="6"/>
        <v>#N/A</v>
      </c>
      <c r="F94" s="4"/>
      <c r="G94" s="4"/>
      <c r="H94" s="4"/>
      <c r="I94" s="4"/>
      <c r="J94" s="4"/>
      <c r="K94" s="4"/>
      <c r="L94" s="4"/>
      <c r="M94" s="4"/>
      <c r="N94" s="2"/>
      <c r="O94" s="2"/>
      <c r="P94" s="4"/>
      <c r="Q94" s="4"/>
      <c r="R94" s="4"/>
    </row>
    <row r="95" spans="1:18" x14ac:dyDescent="0.25">
      <c r="A95" s="2"/>
      <c r="B95" s="7"/>
      <c r="C95" s="17">
        <f t="shared" si="5"/>
        <v>1</v>
      </c>
      <c r="D95" s="10"/>
      <c r="E95" s="21" t="e">
        <f t="shared" si="6"/>
        <v>#N/A</v>
      </c>
      <c r="F95" s="4"/>
      <c r="G95" s="4"/>
      <c r="H95" s="4"/>
      <c r="I95" s="4"/>
      <c r="J95" s="4"/>
      <c r="K95" s="4"/>
      <c r="L95" s="4"/>
      <c r="M95" s="4"/>
      <c r="N95" s="2"/>
      <c r="O95" s="2"/>
      <c r="P95" s="4"/>
      <c r="Q95" s="4"/>
      <c r="R95" s="4"/>
    </row>
    <row r="96" spans="1:18" x14ac:dyDescent="0.25">
      <c r="A96" s="2"/>
      <c r="B96" s="7"/>
      <c r="C96" s="17">
        <f t="shared" si="5"/>
        <v>1</v>
      </c>
      <c r="D96" s="10"/>
      <c r="E96" s="21" t="e">
        <f t="shared" si="6"/>
        <v>#N/A</v>
      </c>
      <c r="F96" s="4"/>
      <c r="G96" s="4"/>
      <c r="H96" s="4"/>
      <c r="I96" s="4"/>
      <c r="J96" s="4"/>
      <c r="K96" s="4"/>
      <c r="L96" s="4"/>
      <c r="M96" s="4"/>
      <c r="N96" s="2"/>
      <c r="O96" s="2"/>
      <c r="P96" s="4"/>
      <c r="Q96" s="4"/>
      <c r="R96" s="4"/>
    </row>
    <row r="97" spans="1:18" x14ac:dyDescent="0.25">
      <c r="A97" s="2"/>
      <c r="B97" s="7"/>
      <c r="C97" s="17">
        <f t="shared" si="5"/>
        <v>1</v>
      </c>
      <c r="D97" s="10"/>
      <c r="E97" s="21" t="e">
        <f t="shared" si="6"/>
        <v>#N/A</v>
      </c>
      <c r="F97" s="4"/>
      <c r="G97" s="4"/>
      <c r="H97" s="4"/>
      <c r="I97" s="4"/>
      <c r="J97" s="4"/>
      <c r="K97" s="4"/>
      <c r="L97" s="4"/>
      <c r="M97" s="4"/>
      <c r="N97" s="2"/>
      <c r="O97" s="2"/>
      <c r="P97" s="4"/>
      <c r="Q97" s="4"/>
      <c r="R97" s="4"/>
    </row>
    <row r="98" spans="1:18" x14ac:dyDescent="0.25">
      <c r="A98" s="2"/>
      <c r="B98" s="7"/>
      <c r="C98" s="17">
        <f t="shared" si="5"/>
        <v>1</v>
      </c>
      <c r="D98" s="10"/>
      <c r="E98" s="21" t="e">
        <f t="shared" si="6"/>
        <v>#N/A</v>
      </c>
      <c r="F98" s="4"/>
      <c r="G98" s="4"/>
      <c r="H98" s="4"/>
      <c r="I98" s="4"/>
      <c r="J98" s="4"/>
      <c r="K98" s="4"/>
      <c r="L98" s="4"/>
      <c r="M98" s="4"/>
      <c r="N98" s="2"/>
      <c r="O98" s="2"/>
      <c r="P98" s="4"/>
      <c r="Q98" s="4"/>
      <c r="R98" s="4"/>
    </row>
    <row r="99" spans="1:18" x14ac:dyDescent="0.25">
      <c r="A99" s="2"/>
      <c r="B99" s="7"/>
      <c r="C99" s="17">
        <f t="shared" si="5"/>
        <v>1</v>
      </c>
      <c r="D99" s="10"/>
      <c r="E99" s="21" t="e">
        <f t="shared" si="6"/>
        <v>#N/A</v>
      </c>
      <c r="F99" s="4"/>
      <c r="G99" s="4"/>
      <c r="H99" s="4"/>
      <c r="I99" s="4"/>
      <c r="J99" s="4"/>
      <c r="K99" s="4"/>
      <c r="L99" s="4"/>
      <c r="M99" s="4"/>
      <c r="N99" s="2"/>
      <c r="O99" s="2"/>
      <c r="P99" s="4"/>
      <c r="Q99" s="4"/>
      <c r="R99" s="4"/>
    </row>
    <row r="100" spans="1:18" x14ac:dyDescent="0.25">
      <c r="A100" s="2"/>
      <c r="B100" s="7"/>
      <c r="C100" s="17">
        <f t="shared" si="5"/>
        <v>1</v>
      </c>
      <c r="D100" s="10"/>
      <c r="E100" s="21" t="e">
        <f t="shared" si="6"/>
        <v>#N/A</v>
      </c>
      <c r="F100" s="4"/>
      <c r="G100" s="4"/>
      <c r="H100" s="4"/>
      <c r="I100" s="4"/>
      <c r="J100" s="4"/>
      <c r="K100" s="4"/>
      <c r="L100" s="4"/>
      <c r="M100" s="4"/>
      <c r="N100" s="2"/>
      <c r="O100" s="2"/>
      <c r="P100" s="4"/>
      <c r="Q100" s="4"/>
      <c r="R100" s="4"/>
    </row>
    <row r="101" spans="1:18" x14ac:dyDescent="0.25">
      <c r="A101" s="2"/>
      <c r="B101" s="7"/>
      <c r="C101" s="17">
        <f t="shared" si="5"/>
        <v>1</v>
      </c>
      <c r="D101" s="10"/>
      <c r="E101" s="21" t="e">
        <f t="shared" si="6"/>
        <v>#N/A</v>
      </c>
      <c r="F101" s="4"/>
      <c r="G101" s="4"/>
      <c r="H101" s="4"/>
      <c r="I101" s="4"/>
      <c r="J101" s="4"/>
      <c r="K101" s="4"/>
      <c r="L101" s="4"/>
      <c r="M101" s="4"/>
      <c r="N101" s="2"/>
      <c r="O101" s="2"/>
      <c r="P101" s="4"/>
      <c r="Q101" s="4"/>
      <c r="R101" s="4"/>
    </row>
    <row r="102" spans="1:18" x14ac:dyDescent="0.25">
      <c r="A102" s="2"/>
      <c r="B102" s="7"/>
      <c r="C102" s="17">
        <f t="shared" si="5"/>
        <v>1</v>
      </c>
      <c r="D102" s="10"/>
      <c r="E102" s="21" t="e">
        <f t="shared" si="6"/>
        <v>#N/A</v>
      </c>
      <c r="F102" s="4"/>
      <c r="G102" s="4"/>
      <c r="H102" s="4"/>
      <c r="I102" s="4"/>
      <c r="J102" s="4"/>
      <c r="K102" s="4"/>
      <c r="L102" s="4"/>
      <c r="M102" s="4"/>
      <c r="N102" s="2"/>
      <c r="O102" s="2"/>
      <c r="P102" s="4"/>
      <c r="Q102" s="4"/>
      <c r="R102" s="4"/>
    </row>
    <row r="103" spans="1:18" x14ac:dyDescent="0.25">
      <c r="A103" s="2"/>
      <c r="B103" s="7"/>
      <c r="C103" s="17">
        <f t="shared" si="5"/>
        <v>1</v>
      </c>
      <c r="D103" s="10"/>
      <c r="E103" s="21" t="e">
        <f t="shared" si="6"/>
        <v>#N/A</v>
      </c>
      <c r="F103" s="4"/>
      <c r="G103" s="4"/>
      <c r="H103" s="4"/>
      <c r="I103" s="4"/>
      <c r="J103" s="4"/>
      <c r="K103" s="4"/>
      <c r="L103" s="4"/>
      <c r="M103" s="4"/>
      <c r="N103" s="2"/>
      <c r="O103" s="2"/>
      <c r="P103" s="4"/>
      <c r="Q103" s="4"/>
      <c r="R103" s="4"/>
    </row>
    <row r="104" spans="1:18" x14ac:dyDescent="0.25">
      <c r="A104" s="2"/>
      <c r="B104" s="7"/>
      <c r="C104" s="17">
        <f t="shared" si="5"/>
        <v>1</v>
      </c>
      <c r="D104" s="10"/>
      <c r="E104" s="21" t="e">
        <f t="shared" si="6"/>
        <v>#N/A</v>
      </c>
      <c r="F104" s="4"/>
      <c r="G104" s="4"/>
      <c r="H104" s="4"/>
      <c r="I104" s="4"/>
      <c r="J104" s="4"/>
      <c r="K104" s="4"/>
      <c r="L104" s="4"/>
      <c r="M104" s="4"/>
      <c r="N104" s="2"/>
      <c r="O104" s="2"/>
      <c r="P104" s="4"/>
      <c r="Q104" s="4"/>
      <c r="R104" s="4"/>
    </row>
    <row r="105" spans="1:18" x14ac:dyDescent="0.25">
      <c r="A105" s="2"/>
      <c r="B105" s="7"/>
      <c r="C105" s="17">
        <f t="shared" si="5"/>
        <v>1</v>
      </c>
      <c r="D105" s="10"/>
      <c r="E105" s="21" t="e">
        <f t="shared" si="6"/>
        <v>#N/A</v>
      </c>
      <c r="F105" s="4"/>
      <c r="G105" s="4"/>
      <c r="H105" s="4"/>
      <c r="I105" s="4"/>
      <c r="J105" s="4"/>
      <c r="K105" s="4"/>
      <c r="L105" s="4"/>
      <c r="M105" s="4"/>
      <c r="N105" s="2"/>
      <c r="O105" s="2"/>
      <c r="P105" s="4"/>
      <c r="Q105" s="4"/>
      <c r="R105" s="4"/>
    </row>
    <row r="106" spans="1:18" x14ac:dyDescent="0.25">
      <c r="A106" s="2"/>
      <c r="B106" s="7"/>
      <c r="C106" s="17">
        <f t="shared" si="5"/>
        <v>1</v>
      </c>
      <c r="D106" s="10"/>
      <c r="E106" s="21" t="e">
        <f t="shared" si="6"/>
        <v>#N/A</v>
      </c>
      <c r="F106" s="4"/>
      <c r="G106" s="4"/>
      <c r="H106" s="4"/>
      <c r="I106" s="4"/>
      <c r="J106" s="4"/>
      <c r="K106" s="4"/>
      <c r="L106" s="4"/>
      <c r="M106" s="4"/>
      <c r="N106" s="2"/>
      <c r="O106" s="2"/>
      <c r="P106" s="4"/>
      <c r="Q106" s="4"/>
      <c r="R106" s="4"/>
    </row>
    <row r="107" spans="1:18" x14ac:dyDescent="0.25">
      <c r="A107" s="2"/>
      <c r="B107" s="7"/>
      <c r="C107" s="17">
        <f t="shared" si="5"/>
        <v>1</v>
      </c>
      <c r="D107" s="10"/>
      <c r="E107" s="21" t="e">
        <f t="shared" si="6"/>
        <v>#N/A</v>
      </c>
      <c r="F107" s="4"/>
      <c r="G107" s="4"/>
      <c r="H107" s="4"/>
      <c r="I107" s="4"/>
      <c r="J107" s="4"/>
      <c r="K107" s="4"/>
      <c r="L107" s="4"/>
      <c r="M107" s="4"/>
      <c r="N107" s="2"/>
      <c r="O107" s="2"/>
      <c r="P107" s="4"/>
      <c r="Q107" s="4"/>
      <c r="R107" s="4"/>
    </row>
    <row r="108" spans="1:18" x14ac:dyDescent="0.25">
      <c r="A108" s="2"/>
      <c r="B108" s="7"/>
      <c r="C108" s="17">
        <f t="shared" si="5"/>
        <v>1</v>
      </c>
      <c r="D108" s="10"/>
      <c r="E108" s="21" t="e">
        <f t="shared" si="6"/>
        <v>#N/A</v>
      </c>
      <c r="F108" s="4"/>
      <c r="G108" s="4"/>
      <c r="H108" s="4"/>
      <c r="I108" s="4"/>
      <c r="J108" s="4"/>
      <c r="K108" s="4"/>
      <c r="L108" s="4"/>
      <c r="M108" s="4"/>
      <c r="N108" s="2"/>
      <c r="O108" s="2"/>
      <c r="P108" s="4"/>
      <c r="Q108" s="4"/>
      <c r="R108" s="4"/>
    </row>
    <row r="109" spans="1:18" x14ac:dyDescent="0.25">
      <c r="A109" s="2"/>
      <c r="B109" s="7"/>
      <c r="C109" s="17">
        <f t="shared" si="5"/>
        <v>1</v>
      </c>
      <c r="D109" s="10"/>
      <c r="E109" s="21" t="e">
        <f t="shared" si="6"/>
        <v>#N/A</v>
      </c>
      <c r="F109" s="4"/>
      <c r="G109" s="4"/>
      <c r="H109" s="4"/>
      <c r="I109" s="4"/>
      <c r="J109" s="4"/>
      <c r="K109" s="4"/>
      <c r="L109" s="4"/>
      <c r="M109" s="4"/>
      <c r="N109" s="2"/>
      <c r="O109" s="2"/>
      <c r="P109" s="4"/>
      <c r="Q109" s="4"/>
      <c r="R109" s="4"/>
    </row>
    <row r="110" spans="1:18" x14ac:dyDescent="0.25">
      <c r="A110" s="2"/>
      <c r="B110" s="7"/>
      <c r="C110" s="17">
        <f t="shared" si="5"/>
        <v>1</v>
      </c>
      <c r="D110" s="10"/>
      <c r="E110" s="21" t="e">
        <f t="shared" si="6"/>
        <v>#N/A</v>
      </c>
      <c r="F110" s="4"/>
      <c r="G110" s="4"/>
      <c r="H110" s="4"/>
      <c r="I110" s="4"/>
      <c r="J110" s="4"/>
      <c r="K110" s="4"/>
      <c r="L110" s="4"/>
      <c r="M110" s="4"/>
      <c r="N110" s="2"/>
      <c r="O110" s="2"/>
      <c r="P110" s="4"/>
      <c r="Q110" s="4"/>
      <c r="R110" s="4"/>
    </row>
    <row r="111" spans="1:18" x14ac:dyDescent="0.25">
      <c r="A111" s="2"/>
      <c r="B111" s="7"/>
      <c r="C111" s="17">
        <f t="shared" si="5"/>
        <v>1</v>
      </c>
      <c r="D111" s="10"/>
      <c r="E111" s="21" t="e">
        <f t="shared" si="6"/>
        <v>#N/A</v>
      </c>
      <c r="F111" s="4"/>
      <c r="G111" s="4"/>
      <c r="H111" s="4"/>
      <c r="I111" s="4"/>
      <c r="J111" s="4"/>
      <c r="K111" s="4"/>
      <c r="L111" s="4"/>
      <c r="M111" s="4"/>
      <c r="N111" s="2"/>
      <c r="O111" s="2"/>
      <c r="P111" s="4"/>
      <c r="Q111" s="4"/>
      <c r="R111" s="4"/>
    </row>
    <row r="112" spans="1:18" x14ac:dyDescent="0.25">
      <c r="A112" s="2"/>
      <c r="B112" s="7"/>
      <c r="C112" s="17">
        <f t="shared" si="5"/>
        <v>1</v>
      </c>
      <c r="D112" s="10"/>
      <c r="E112" s="21" t="e">
        <f t="shared" si="6"/>
        <v>#N/A</v>
      </c>
      <c r="F112" s="4"/>
      <c r="G112" s="4"/>
      <c r="H112" s="4"/>
      <c r="I112" s="4"/>
      <c r="J112" s="4"/>
      <c r="K112" s="4"/>
      <c r="L112" s="4"/>
      <c r="M112" s="4"/>
      <c r="N112" s="2"/>
      <c r="O112" s="2"/>
      <c r="P112" s="4"/>
      <c r="Q112" s="4"/>
      <c r="R112" s="4"/>
    </row>
    <row r="113" spans="1:18" x14ac:dyDescent="0.25">
      <c r="A113" s="2"/>
      <c r="B113" s="7"/>
      <c r="C113" s="17">
        <f t="shared" si="5"/>
        <v>1</v>
      </c>
      <c r="D113" s="10"/>
      <c r="E113" s="21" t="e">
        <f t="shared" si="6"/>
        <v>#N/A</v>
      </c>
      <c r="F113" s="4"/>
      <c r="G113" s="4"/>
      <c r="H113" s="4"/>
      <c r="I113" s="4"/>
      <c r="J113" s="4"/>
      <c r="K113" s="4"/>
      <c r="L113" s="4"/>
      <c r="M113" s="4"/>
      <c r="N113" s="2"/>
      <c r="O113" s="2"/>
      <c r="P113" s="4"/>
      <c r="Q113" s="4"/>
      <c r="R113" s="4"/>
    </row>
    <row r="114" spans="1:18" x14ac:dyDescent="0.25">
      <c r="A114" s="2"/>
      <c r="B114" s="7"/>
      <c r="C114" s="17">
        <f t="shared" si="5"/>
        <v>1</v>
      </c>
      <c r="D114" s="10"/>
      <c r="E114" s="21" t="e">
        <f t="shared" si="6"/>
        <v>#N/A</v>
      </c>
      <c r="F114" s="4"/>
      <c r="G114" s="4"/>
      <c r="H114" s="4"/>
      <c r="I114" s="4"/>
      <c r="J114" s="4"/>
      <c r="K114" s="4"/>
      <c r="L114" s="4"/>
      <c r="M114" s="4"/>
      <c r="N114" s="2"/>
      <c r="O114" s="2"/>
      <c r="P114" s="4"/>
      <c r="Q114" s="4"/>
      <c r="R114" s="4"/>
    </row>
    <row r="115" spans="1:18" x14ac:dyDescent="0.25">
      <c r="A115" s="2"/>
      <c r="B115" s="7"/>
      <c r="C115" s="17">
        <f t="shared" si="5"/>
        <v>1</v>
      </c>
      <c r="D115" s="10"/>
      <c r="E115" s="21" t="e">
        <f t="shared" si="6"/>
        <v>#N/A</v>
      </c>
      <c r="F115" s="4"/>
      <c r="G115" s="4"/>
      <c r="H115" s="4"/>
      <c r="I115" s="4"/>
      <c r="J115" s="4"/>
      <c r="K115" s="4"/>
      <c r="L115" s="4"/>
      <c r="M115" s="4"/>
      <c r="N115" s="2"/>
      <c r="O115" s="2"/>
      <c r="P115" s="4"/>
      <c r="Q115" s="4"/>
      <c r="R115" s="4"/>
    </row>
    <row r="116" spans="1:18" x14ac:dyDescent="0.25">
      <c r="A116" s="2"/>
      <c r="B116" s="7"/>
      <c r="C116" s="17">
        <f t="shared" si="5"/>
        <v>1</v>
      </c>
      <c r="D116" s="10"/>
      <c r="E116" s="21" t="e">
        <f t="shared" si="6"/>
        <v>#N/A</v>
      </c>
      <c r="F116" s="4"/>
      <c r="G116" s="4"/>
      <c r="H116" s="4"/>
      <c r="I116" s="4"/>
      <c r="J116" s="4"/>
      <c r="K116" s="4"/>
      <c r="L116" s="4"/>
      <c r="M116" s="4"/>
      <c r="N116" s="2"/>
      <c r="O116" s="2"/>
      <c r="P116" s="4"/>
      <c r="Q116" s="4"/>
      <c r="R116" s="4"/>
    </row>
    <row r="117" spans="1:18" x14ac:dyDescent="0.25">
      <c r="A117" s="2"/>
      <c r="B117" s="7"/>
      <c r="C117" s="17">
        <f t="shared" si="5"/>
        <v>1</v>
      </c>
      <c r="D117" s="10"/>
      <c r="E117" s="21" t="e">
        <f t="shared" si="6"/>
        <v>#N/A</v>
      </c>
      <c r="F117" s="4"/>
      <c r="G117" s="4"/>
      <c r="H117" s="4"/>
      <c r="I117" s="4"/>
      <c r="J117" s="4"/>
      <c r="K117" s="4"/>
      <c r="L117" s="4"/>
      <c r="M117" s="4"/>
      <c r="N117" s="2"/>
      <c r="O117" s="2"/>
      <c r="P117" s="4"/>
      <c r="Q117" s="4"/>
      <c r="R117" s="4"/>
    </row>
    <row r="118" spans="1:18" x14ac:dyDescent="0.25">
      <c r="A118" s="2"/>
      <c r="B118" s="7"/>
      <c r="C118" s="17">
        <f t="shared" si="5"/>
        <v>1</v>
      </c>
      <c r="D118" s="10"/>
      <c r="E118" s="21" t="e">
        <f t="shared" si="6"/>
        <v>#N/A</v>
      </c>
      <c r="F118" s="4"/>
      <c r="G118" s="4"/>
      <c r="H118" s="4"/>
      <c r="I118" s="4"/>
      <c r="J118" s="4"/>
      <c r="K118" s="4"/>
      <c r="L118" s="4"/>
      <c r="M118" s="4"/>
      <c r="N118" s="2"/>
      <c r="O118" s="2"/>
      <c r="P118" s="4"/>
      <c r="Q118" s="4"/>
      <c r="R118" s="4"/>
    </row>
    <row r="119" spans="1:18" x14ac:dyDescent="0.25">
      <c r="A119" s="2"/>
      <c r="B119" s="7"/>
      <c r="C119" s="17">
        <f t="shared" si="5"/>
        <v>1</v>
      </c>
      <c r="D119" s="10"/>
      <c r="E119" s="21" t="e">
        <f t="shared" si="6"/>
        <v>#N/A</v>
      </c>
      <c r="F119" s="4"/>
      <c r="G119" s="4"/>
      <c r="H119" s="4"/>
      <c r="I119" s="4"/>
      <c r="J119" s="4"/>
      <c r="K119" s="4"/>
      <c r="L119" s="4"/>
      <c r="M119" s="4"/>
      <c r="N119" s="2"/>
      <c r="O119" s="2"/>
      <c r="P119" s="4"/>
      <c r="Q119" s="4"/>
      <c r="R119" s="4"/>
    </row>
    <row r="120" spans="1:18" x14ac:dyDescent="0.25">
      <c r="A120" s="2"/>
      <c r="B120" s="7"/>
      <c r="C120" s="17">
        <f t="shared" si="5"/>
        <v>1</v>
      </c>
      <c r="D120" s="10"/>
      <c r="E120" s="21" t="e">
        <f t="shared" si="6"/>
        <v>#N/A</v>
      </c>
      <c r="F120" s="4"/>
      <c r="G120" s="4"/>
      <c r="H120" s="4"/>
      <c r="I120" s="4"/>
      <c r="J120" s="4"/>
      <c r="K120" s="4"/>
      <c r="L120" s="4"/>
      <c r="M120" s="4"/>
      <c r="N120" s="2"/>
      <c r="O120" s="2"/>
      <c r="P120" s="4"/>
      <c r="Q120" s="4"/>
      <c r="R120" s="4"/>
    </row>
    <row r="121" spans="1:18" x14ac:dyDescent="0.25">
      <c r="A121" s="2"/>
      <c r="B121" s="7"/>
      <c r="C121" s="17">
        <f t="shared" si="5"/>
        <v>1</v>
      </c>
      <c r="D121" s="10"/>
      <c r="E121" s="21" t="e">
        <f t="shared" si="6"/>
        <v>#N/A</v>
      </c>
      <c r="F121" s="4"/>
      <c r="G121" s="4"/>
      <c r="H121" s="4"/>
      <c r="I121" s="4"/>
      <c r="J121" s="4"/>
      <c r="K121" s="4"/>
      <c r="L121" s="4"/>
      <c r="M121" s="4"/>
      <c r="N121" s="2"/>
      <c r="O121" s="2"/>
      <c r="P121" s="4"/>
      <c r="Q121" s="4"/>
      <c r="R121" s="4"/>
    </row>
    <row r="122" spans="1:18" x14ac:dyDescent="0.25">
      <c r="A122" s="2"/>
      <c r="B122" s="7"/>
      <c r="C122" s="17">
        <f t="shared" si="5"/>
        <v>1</v>
      </c>
      <c r="D122" s="10"/>
      <c r="E122" s="21" t="e">
        <f t="shared" si="6"/>
        <v>#N/A</v>
      </c>
      <c r="F122" s="4"/>
      <c r="G122" s="4"/>
      <c r="H122" s="4"/>
      <c r="I122" s="4"/>
      <c r="J122" s="4"/>
      <c r="K122" s="4"/>
      <c r="L122" s="4"/>
      <c r="M122" s="4"/>
      <c r="N122" s="2"/>
      <c r="O122" s="2"/>
      <c r="P122" s="4"/>
      <c r="Q122" s="4"/>
      <c r="R122" s="4"/>
    </row>
    <row r="123" spans="1:18" x14ac:dyDescent="0.25">
      <c r="A123" s="2"/>
      <c r="B123" s="7"/>
      <c r="C123" s="17">
        <f t="shared" si="5"/>
        <v>1</v>
      </c>
      <c r="D123" s="10"/>
      <c r="E123" s="21" t="e">
        <f t="shared" si="6"/>
        <v>#N/A</v>
      </c>
      <c r="F123" s="4"/>
      <c r="G123" s="4"/>
      <c r="H123" s="4"/>
      <c r="I123" s="4"/>
      <c r="J123" s="4"/>
      <c r="K123" s="4"/>
      <c r="L123" s="4"/>
      <c r="M123" s="4"/>
      <c r="N123" s="2"/>
      <c r="O123" s="2"/>
      <c r="P123" s="4"/>
      <c r="Q123" s="4"/>
      <c r="R123" s="4"/>
    </row>
    <row r="124" spans="1:18" x14ac:dyDescent="0.25">
      <c r="A124" s="2"/>
      <c r="B124" s="7"/>
      <c r="C124" s="17">
        <f t="shared" si="5"/>
        <v>1</v>
      </c>
      <c r="D124" s="10"/>
      <c r="E124" s="21" t="e">
        <f t="shared" si="6"/>
        <v>#N/A</v>
      </c>
      <c r="F124" s="4"/>
      <c r="G124" s="4"/>
      <c r="H124" s="4"/>
      <c r="I124" s="4"/>
      <c r="J124" s="4"/>
      <c r="K124" s="4"/>
      <c r="L124" s="4"/>
      <c r="M124" s="4"/>
      <c r="N124" s="2"/>
      <c r="O124" s="2"/>
      <c r="P124" s="4"/>
      <c r="Q124" s="4"/>
      <c r="R124" s="4"/>
    </row>
    <row r="125" spans="1:18" x14ac:dyDescent="0.25">
      <c r="A125" s="2"/>
      <c r="B125" s="7"/>
      <c r="C125" s="17">
        <f t="shared" si="5"/>
        <v>1</v>
      </c>
      <c r="D125" s="10"/>
      <c r="E125" s="21" t="e">
        <f t="shared" si="6"/>
        <v>#N/A</v>
      </c>
      <c r="F125" s="4"/>
      <c r="G125" s="4"/>
      <c r="H125" s="4"/>
      <c r="I125" s="4"/>
      <c r="J125" s="4"/>
      <c r="K125" s="4"/>
      <c r="L125" s="4"/>
      <c r="M125" s="4"/>
      <c r="N125" s="2"/>
      <c r="O125" s="2"/>
      <c r="P125" s="4"/>
      <c r="Q125" s="4"/>
      <c r="R125" s="4"/>
    </row>
    <row r="126" spans="1:18" x14ac:dyDescent="0.25">
      <c r="A126" s="2"/>
      <c r="B126" s="7"/>
      <c r="C126" s="17">
        <f t="shared" si="5"/>
        <v>1</v>
      </c>
      <c r="D126" s="10"/>
      <c r="E126" s="21" t="e">
        <f t="shared" si="6"/>
        <v>#N/A</v>
      </c>
      <c r="F126" s="4"/>
      <c r="G126" s="4"/>
      <c r="H126" s="4"/>
      <c r="I126" s="4"/>
      <c r="J126" s="4"/>
      <c r="K126" s="4"/>
      <c r="L126" s="4"/>
      <c r="M126" s="4"/>
      <c r="N126" s="2"/>
      <c r="O126" s="2"/>
      <c r="P126" s="4"/>
      <c r="Q126" s="4"/>
      <c r="R126" s="4"/>
    </row>
    <row r="127" spans="1:18" x14ac:dyDescent="0.25">
      <c r="A127" s="2"/>
      <c r="B127" s="7"/>
      <c r="C127" s="17">
        <f t="shared" si="5"/>
        <v>1</v>
      </c>
      <c r="D127" s="10"/>
      <c r="E127" s="21" t="e">
        <f t="shared" si="6"/>
        <v>#N/A</v>
      </c>
      <c r="F127" s="4"/>
      <c r="G127" s="4"/>
      <c r="H127" s="4"/>
      <c r="I127" s="4"/>
      <c r="J127" s="4"/>
      <c r="K127" s="4"/>
      <c r="L127" s="4"/>
      <c r="M127" s="4"/>
      <c r="N127" s="2"/>
      <c r="O127" s="2"/>
      <c r="P127" s="4"/>
      <c r="Q127" s="4"/>
      <c r="R127" s="4"/>
    </row>
    <row r="128" spans="1:18" x14ac:dyDescent="0.25">
      <c r="A128" s="2"/>
      <c r="B128" s="7"/>
      <c r="C128" s="17">
        <f t="shared" si="5"/>
        <v>1</v>
      </c>
      <c r="D128" s="10"/>
      <c r="E128" s="21" t="e">
        <f t="shared" si="6"/>
        <v>#N/A</v>
      </c>
      <c r="F128" s="4"/>
      <c r="G128" s="4"/>
      <c r="H128" s="4"/>
      <c r="I128" s="4"/>
      <c r="J128" s="4"/>
      <c r="K128" s="4"/>
      <c r="L128" s="4"/>
      <c r="M128" s="4"/>
      <c r="N128" s="2"/>
      <c r="O128" s="2"/>
      <c r="P128" s="4"/>
      <c r="Q128" s="4"/>
      <c r="R128" s="4"/>
    </row>
    <row r="129" spans="1:18" x14ac:dyDescent="0.25">
      <c r="A129" s="2"/>
      <c r="B129" s="7"/>
      <c r="C129" s="17">
        <f t="shared" si="5"/>
        <v>1</v>
      </c>
      <c r="D129" s="10"/>
      <c r="E129" s="21" t="e">
        <f t="shared" si="6"/>
        <v>#N/A</v>
      </c>
      <c r="F129" s="4"/>
      <c r="G129" s="4"/>
      <c r="H129" s="4"/>
      <c r="I129" s="4"/>
      <c r="J129" s="4"/>
      <c r="K129" s="4"/>
      <c r="L129" s="4"/>
      <c r="M129" s="4"/>
      <c r="N129" s="2"/>
      <c r="O129" s="2"/>
      <c r="P129" s="4"/>
      <c r="Q129" s="4"/>
      <c r="R129" s="4"/>
    </row>
    <row r="130" spans="1:18" x14ac:dyDescent="0.25">
      <c r="A130" s="2"/>
      <c r="B130" s="7"/>
      <c r="C130" s="17">
        <f t="shared" si="5"/>
        <v>1</v>
      </c>
      <c r="D130" s="10"/>
      <c r="E130" s="21" t="e">
        <f t="shared" si="6"/>
        <v>#N/A</v>
      </c>
      <c r="F130" s="4"/>
      <c r="G130" s="4"/>
      <c r="H130" s="4"/>
      <c r="I130" s="4"/>
      <c r="J130" s="4"/>
      <c r="K130" s="4"/>
      <c r="L130" s="4"/>
      <c r="M130" s="4"/>
      <c r="N130" s="2"/>
      <c r="O130" s="2"/>
      <c r="P130" s="4"/>
      <c r="Q130" s="4"/>
      <c r="R130" s="4"/>
    </row>
    <row r="131" spans="1:18" x14ac:dyDescent="0.25">
      <c r="A131" s="2"/>
      <c r="B131" s="7"/>
      <c r="C131" s="17">
        <f t="shared" ref="C131:C138" si="7" xml:space="preserve"> 1</f>
        <v>1</v>
      </c>
      <c r="D131" s="10"/>
      <c r="E131" s="21" t="e">
        <f t="shared" ref="E131:E138" si="8">INDEX(N:N,MATCH(B131,O:O,0),1)</f>
        <v>#N/A</v>
      </c>
      <c r="F131" s="4"/>
      <c r="G131" s="4"/>
      <c r="H131" s="4"/>
      <c r="I131" s="4"/>
      <c r="J131" s="4"/>
      <c r="K131" s="4"/>
      <c r="L131" s="4"/>
      <c r="M131" s="4"/>
      <c r="N131" s="2"/>
      <c r="O131" s="2"/>
      <c r="P131" s="4"/>
      <c r="Q131" s="4"/>
      <c r="R131" s="4"/>
    </row>
    <row r="132" spans="1:18" x14ac:dyDescent="0.25">
      <c r="A132" s="2"/>
      <c r="B132" s="7"/>
      <c r="C132" s="17">
        <f t="shared" si="7"/>
        <v>1</v>
      </c>
      <c r="D132" s="10"/>
      <c r="E132" s="21" t="e">
        <f t="shared" si="8"/>
        <v>#N/A</v>
      </c>
      <c r="F132" s="4"/>
      <c r="G132" s="4"/>
      <c r="H132" s="4"/>
      <c r="I132" s="4"/>
      <c r="J132" s="4"/>
      <c r="K132" s="4"/>
      <c r="L132" s="4"/>
      <c r="M132" s="4"/>
      <c r="N132" s="2"/>
      <c r="O132" s="2"/>
      <c r="P132" s="4"/>
      <c r="Q132" s="4"/>
      <c r="R132" s="4"/>
    </row>
    <row r="133" spans="1:18" x14ac:dyDescent="0.25">
      <c r="A133" s="2"/>
      <c r="B133" s="7"/>
      <c r="C133" s="17">
        <f t="shared" si="7"/>
        <v>1</v>
      </c>
      <c r="D133" s="10"/>
      <c r="E133" s="21" t="e">
        <f t="shared" si="8"/>
        <v>#N/A</v>
      </c>
      <c r="F133" s="4"/>
      <c r="G133" s="4"/>
      <c r="H133" s="4"/>
      <c r="I133" s="4"/>
      <c r="J133" s="4"/>
      <c r="K133" s="4"/>
      <c r="L133" s="4"/>
      <c r="M133" s="4"/>
      <c r="N133" s="2"/>
      <c r="O133" s="2"/>
      <c r="P133" s="4"/>
      <c r="Q133" s="4"/>
      <c r="R133" s="4"/>
    </row>
    <row r="134" spans="1:18" x14ac:dyDescent="0.25">
      <c r="A134" s="2"/>
      <c r="B134" s="7"/>
      <c r="C134" s="17">
        <f t="shared" si="7"/>
        <v>1</v>
      </c>
      <c r="D134" s="10"/>
      <c r="E134" s="21" t="e">
        <f t="shared" si="8"/>
        <v>#N/A</v>
      </c>
      <c r="F134" s="4"/>
      <c r="G134" s="4"/>
      <c r="H134" s="4"/>
      <c r="I134" s="4"/>
      <c r="J134" s="4"/>
      <c r="K134" s="4"/>
      <c r="L134" s="4"/>
      <c r="M134" s="4"/>
      <c r="N134" s="2"/>
      <c r="O134" s="2"/>
      <c r="P134" s="4"/>
      <c r="Q134" s="4"/>
      <c r="R134" s="4"/>
    </row>
    <row r="135" spans="1:18" x14ac:dyDescent="0.25">
      <c r="A135" s="2"/>
      <c r="B135" s="7"/>
      <c r="C135" s="17">
        <f t="shared" si="7"/>
        <v>1</v>
      </c>
      <c r="D135" s="10"/>
      <c r="E135" s="21" t="e">
        <f t="shared" si="8"/>
        <v>#N/A</v>
      </c>
      <c r="F135" s="4"/>
      <c r="G135" s="4"/>
      <c r="H135" s="4"/>
      <c r="I135" s="4"/>
      <c r="J135" s="4"/>
      <c r="K135" s="4"/>
      <c r="L135" s="4"/>
      <c r="M135" s="4"/>
      <c r="N135" s="2"/>
      <c r="O135" s="2"/>
      <c r="P135" s="4"/>
      <c r="Q135" s="4"/>
      <c r="R135" s="4"/>
    </row>
    <row r="136" spans="1:18" x14ac:dyDescent="0.25">
      <c r="A136" s="2"/>
      <c r="B136" s="7"/>
      <c r="C136" s="17">
        <f t="shared" si="7"/>
        <v>1</v>
      </c>
      <c r="D136" s="10"/>
      <c r="E136" s="21" t="e">
        <f t="shared" si="8"/>
        <v>#N/A</v>
      </c>
      <c r="F136" s="4"/>
      <c r="G136" s="4"/>
      <c r="H136" s="4"/>
      <c r="I136" s="4"/>
      <c r="J136" s="4"/>
      <c r="K136" s="4"/>
      <c r="L136" s="4"/>
      <c r="M136" s="4"/>
      <c r="N136" s="2"/>
      <c r="O136" s="2"/>
      <c r="P136" s="4"/>
      <c r="Q136" s="4"/>
      <c r="R136" s="4"/>
    </row>
    <row r="137" spans="1:18" x14ac:dyDescent="0.25">
      <c r="A137" s="2"/>
      <c r="B137" s="7"/>
      <c r="C137" s="17">
        <f t="shared" si="7"/>
        <v>1</v>
      </c>
      <c r="D137" s="10"/>
      <c r="E137" s="21" t="e">
        <f t="shared" si="8"/>
        <v>#N/A</v>
      </c>
      <c r="F137" s="4"/>
      <c r="G137" s="4"/>
      <c r="H137" s="4"/>
      <c r="I137" s="4"/>
      <c r="J137" s="4"/>
      <c r="K137" s="4"/>
      <c r="L137" s="4"/>
      <c r="M137" s="4"/>
      <c r="N137" s="2"/>
      <c r="O137" s="2"/>
      <c r="P137" s="4"/>
      <c r="Q137" s="4"/>
      <c r="R137" s="4"/>
    </row>
    <row r="138" spans="1:18" x14ac:dyDescent="0.25">
      <c r="B138" s="7"/>
      <c r="C138" s="17">
        <f t="shared" si="7"/>
        <v>1</v>
      </c>
      <c r="D138" s="10"/>
      <c r="E138" s="21" t="e">
        <f t="shared" si="8"/>
        <v>#N/A</v>
      </c>
    </row>
  </sheetData>
  <conditionalFormatting sqref="L2:L46">
    <cfRule type="cellIs" dxfId="4" priority="1" operator="between">
      <formula>90</formula>
      <formula>126</formula>
    </cfRule>
    <cfRule type="cellIs" dxfId="3" priority="2" operator="between">
      <formula>60</formula>
      <formula>90</formula>
    </cfRule>
    <cfRule type="cellIs" dxfId="2" priority="3" operator="between">
      <formula>30</formula>
      <formula>60</formula>
    </cfRule>
    <cfRule type="cellIs" dxfId="1" priority="4" operator="between">
      <formula>2</formula>
      <formula>30</formula>
    </cfRule>
    <cfRule type="cellIs" dxfId="0" priority="5" operator="equal">
      <formula>1</formula>
    </cfRule>
  </conditionalFormatting>
  <pageMargins left="0.7" right="0.7" top="0.75" bottom="0.75" header="0.3" footer="0.3"/>
  <ignoredErrors>
    <ignoredError sqref="J2:J8 J9:J10 J12:J15 J18:J22 J25:J27 J30:J32 J34:J37 J40:J43 J44:J46 J33 J38:J39 J28:J29 J23:J24 J11 J16:J17 H2:H10 H25:H28 H18:H23 H13:H16 H29:H31 H24 H17 H32:H46 H11:H12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Option Button 1">
              <controlPr defaultSize="0" autoFill="0" autoLine="0" autoPict="0" macro="[0]!NONO2">
                <anchor moveWithCells="1">
                  <from>
                    <xdr:col>11</xdr:col>
                    <xdr:colOff>180975</xdr:colOff>
                    <xdr:row>46</xdr:row>
                    <xdr:rowOff>161925</xdr:rowOff>
                  </from>
                  <to>
                    <xdr:col>11</xdr:col>
                    <xdr:colOff>2286000</xdr:colOff>
                    <xdr:row>49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abSelected="1" zoomScale="20" zoomScaleNormal="20" workbookViewId="0">
      <selection activeCell="CZ52" sqref="CZ5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Stations</vt:lpstr>
      <vt:lpstr>Routes</vt:lpstr>
      <vt:lpstr>SCHEME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Bismuth</dc:creator>
  <cp:lastModifiedBy>Arnaud Bismuth</cp:lastModifiedBy>
  <dcterms:created xsi:type="dcterms:W3CDTF">2015-07-08T07:55:42Z</dcterms:created>
  <dcterms:modified xsi:type="dcterms:W3CDTF">2015-07-31T09:34:36Z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