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915" yWindow="1245" windowWidth="18615" windowHeight="8820"/>
  </bookViews>
  <sheets>
    <sheet name="MOBIDIS" sheetId="1" r:id="rId1"/>
  </sheets>
  <definedNames>
    <definedName name="_xlnm._FilterDatabase" localSheetId="0" hidden="1">MOBIDIS!$A$12:$O$85</definedName>
    <definedName name="HANDRE">#REF!</definedName>
    <definedName name="HBOUCHAMA">#REF!</definedName>
    <definedName name="HLAIB">#REF!</definedName>
    <definedName name="HRIZON">#REF!</definedName>
    <definedName name="_xlnm.Print_Area" localSheetId="0">MOBIDIS!$A$1:$N$54</definedName>
  </definedNames>
  <calcPr calcId="152511"/>
</workbook>
</file>

<file path=xl/calcChain.xml><?xml version="1.0" encoding="utf-8"?>
<calcChain xmlns="http://schemas.openxmlformats.org/spreadsheetml/2006/main">
  <c r="AQ58" i="1" l="1"/>
  <c r="AQ57" i="1"/>
  <c r="AQ56" i="1"/>
  <c r="AQ55" i="1"/>
  <c r="AQ54" i="1"/>
  <c r="AQ53" i="1"/>
  <c r="AQ51" i="1"/>
  <c r="AQ50" i="1"/>
  <c r="AQ48" i="1"/>
  <c r="AQ46" i="1"/>
  <c r="AQ43" i="1"/>
  <c r="AQ41" i="1"/>
  <c r="AQ33" i="1"/>
  <c r="AQ28" i="1"/>
  <c r="AQ26" i="1"/>
  <c r="AQ20" i="1"/>
  <c r="AQ18" i="1"/>
  <c r="AQ17" i="1"/>
  <c r="AQ16" i="1"/>
  <c r="AQ13" i="1" l="1"/>
  <c r="AP85" i="1" l="1"/>
  <c r="AM85" i="1"/>
  <c r="L85" i="1"/>
  <c r="K85" i="1"/>
  <c r="J85" i="1"/>
  <c r="AP84" i="1"/>
  <c r="AM84" i="1"/>
  <c r="M84" i="1"/>
  <c r="L84" i="1"/>
  <c r="K84" i="1"/>
  <c r="J84" i="1"/>
  <c r="AP83" i="1"/>
  <c r="AM83" i="1"/>
  <c r="L83" i="1"/>
  <c r="K83" i="1"/>
  <c r="J83" i="1"/>
  <c r="M83" i="1" s="1"/>
  <c r="AP82" i="1"/>
  <c r="AM82" i="1"/>
  <c r="L82" i="1"/>
  <c r="K82" i="1"/>
  <c r="J82" i="1"/>
  <c r="M82" i="1" s="1"/>
  <c r="AP81" i="1"/>
  <c r="AM81" i="1"/>
  <c r="L81" i="1"/>
  <c r="K81" i="1"/>
  <c r="J81" i="1"/>
  <c r="AP80" i="1"/>
  <c r="AM80" i="1"/>
  <c r="L80" i="1"/>
  <c r="K80" i="1"/>
  <c r="J80" i="1"/>
  <c r="M80" i="1" s="1"/>
  <c r="AP79" i="1"/>
  <c r="AM79" i="1"/>
  <c r="L79" i="1"/>
  <c r="K79" i="1"/>
  <c r="J79" i="1"/>
  <c r="AP78" i="1"/>
  <c r="AM78" i="1"/>
  <c r="L78" i="1"/>
  <c r="K78" i="1"/>
  <c r="M78" i="1" s="1"/>
  <c r="J78" i="1"/>
  <c r="AP77" i="1"/>
  <c r="AM77" i="1"/>
  <c r="L77" i="1"/>
  <c r="K77" i="1"/>
  <c r="J77" i="1"/>
  <c r="AP76" i="1"/>
  <c r="AM76" i="1"/>
  <c r="L76" i="1"/>
  <c r="K76" i="1"/>
  <c r="J76" i="1"/>
  <c r="M76" i="1" s="1"/>
  <c r="AP75" i="1"/>
  <c r="AM75" i="1"/>
  <c r="L75" i="1"/>
  <c r="K75" i="1"/>
  <c r="J75" i="1"/>
  <c r="AP74" i="1"/>
  <c r="AM74" i="1"/>
  <c r="L74" i="1"/>
  <c r="K74" i="1"/>
  <c r="J74" i="1"/>
  <c r="M74" i="1" s="1"/>
  <c r="AP73" i="1"/>
  <c r="AM73" i="1"/>
  <c r="L73" i="1"/>
  <c r="K73" i="1"/>
  <c r="J73" i="1"/>
  <c r="M73" i="1" s="1"/>
  <c r="AP72" i="1"/>
  <c r="AM72" i="1"/>
  <c r="L72" i="1"/>
  <c r="K72" i="1"/>
  <c r="J72" i="1"/>
  <c r="M72" i="1" s="1"/>
  <c r="AP71" i="1"/>
  <c r="AM71" i="1"/>
  <c r="L71" i="1"/>
  <c r="K71" i="1"/>
  <c r="J71" i="1"/>
  <c r="M71" i="1" s="1"/>
  <c r="AP70" i="1"/>
  <c r="AM70" i="1"/>
  <c r="L70" i="1"/>
  <c r="K70" i="1"/>
  <c r="J70" i="1"/>
  <c r="AP69" i="1"/>
  <c r="AM69" i="1"/>
  <c r="L69" i="1"/>
  <c r="K69" i="1"/>
  <c r="J69" i="1"/>
  <c r="AP68" i="1"/>
  <c r="AM68" i="1"/>
  <c r="L68" i="1"/>
  <c r="K68" i="1"/>
  <c r="J68" i="1"/>
  <c r="M68" i="1" s="1"/>
  <c r="AP67" i="1"/>
  <c r="AM67" i="1"/>
  <c r="L67" i="1"/>
  <c r="K67" i="1"/>
  <c r="J67" i="1"/>
  <c r="AP66" i="1"/>
  <c r="AM66" i="1"/>
  <c r="L66" i="1"/>
  <c r="K66" i="1"/>
  <c r="J66" i="1"/>
  <c r="M66" i="1" s="1"/>
  <c r="AP65" i="1"/>
  <c r="AM65" i="1"/>
  <c r="L65" i="1"/>
  <c r="K65" i="1"/>
  <c r="J65" i="1"/>
  <c r="AP64" i="1"/>
  <c r="AM64" i="1"/>
  <c r="L64" i="1"/>
  <c r="K64" i="1"/>
  <c r="J64" i="1"/>
  <c r="AP63" i="1"/>
  <c r="AM63" i="1"/>
  <c r="L63" i="1"/>
  <c r="K63" i="1"/>
  <c r="J63" i="1"/>
  <c r="M63" i="1" s="1"/>
  <c r="AP62" i="1"/>
  <c r="AM62" i="1"/>
  <c r="L62" i="1"/>
  <c r="K62" i="1"/>
  <c r="J62" i="1"/>
  <c r="AP61" i="1"/>
  <c r="AM61" i="1"/>
  <c r="L61" i="1"/>
  <c r="K61" i="1"/>
  <c r="J61" i="1"/>
  <c r="AP60" i="1"/>
  <c r="AM60" i="1"/>
  <c r="L60" i="1"/>
  <c r="K60" i="1"/>
  <c r="J60" i="1"/>
  <c r="M60" i="1" s="1"/>
  <c r="AP59" i="1"/>
  <c r="AM59" i="1"/>
  <c r="L59" i="1"/>
  <c r="K59" i="1"/>
  <c r="J59" i="1"/>
  <c r="M59" i="1" s="1"/>
  <c r="AP58" i="1"/>
  <c r="AM58" i="1"/>
  <c r="AL58" i="1"/>
  <c r="L58" i="1"/>
  <c r="K58" i="1"/>
  <c r="J58" i="1"/>
  <c r="AP57" i="1"/>
  <c r="AL57" i="1"/>
  <c r="AM57" i="1" s="1"/>
  <c r="L57" i="1"/>
  <c r="K57" i="1"/>
  <c r="J57" i="1"/>
  <c r="M57" i="1" s="1"/>
  <c r="AP56" i="1"/>
  <c r="AL56" i="1"/>
  <c r="AM56" i="1" s="1"/>
  <c r="L56" i="1"/>
  <c r="K56" i="1"/>
  <c r="J56" i="1"/>
  <c r="AP55" i="1"/>
  <c r="AL55" i="1"/>
  <c r="AM55" i="1" s="1"/>
  <c r="L55" i="1"/>
  <c r="K55" i="1"/>
  <c r="J55" i="1"/>
  <c r="M55" i="1" s="1"/>
  <c r="AP54" i="1"/>
  <c r="AM54" i="1"/>
  <c r="AL54" i="1"/>
  <c r="L54" i="1"/>
  <c r="K54" i="1"/>
  <c r="J54" i="1"/>
  <c r="M54" i="1" s="1"/>
  <c r="AP53" i="1"/>
  <c r="AM53" i="1"/>
  <c r="AL53" i="1"/>
  <c r="L53" i="1"/>
  <c r="K53" i="1"/>
  <c r="J53" i="1"/>
  <c r="AP52" i="1"/>
  <c r="L52" i="1"/>
  <c r="K52" i="1"/>
  <c r="J52" i="1"/>
  <c r="AP51" i="1"/>
  <c r="AL51" i="1"/>
  <c r="AM51" i="1" s="1"/>
  <c r="AK51" i="1"/>
  <c r="AG51" i="1"/>
  <c r="L51" i="1"/>
  <c r="K51" i="1"/>
  <c r="J51" i="1"/>
  <c r="M51" i="1" s="1"/>
  <c r="AP50" i="1"/>
  <c r="AM50" i="1"/>
  <c r="AL50" i="1"/>
  <c r="AG50" i="1"/>
  <c r="L50" i="1"/>
  <c r="K50" i="1"/>
  <c r="J50" i="1"/>
  <c r="M50" i="1" s="1"/>
  <c r="AP49" i="1"/>
  <c r="AG49" i="1"/>
  <c r="L49" i="1"/>
  <c r="K49" i="1"/>
  <c r="J49" i="1"/>
  <c r="AP48" i="1"/>
  <c r="AM48" i="1"/>
  <c r="AL48" i="1"/>
  <c r="AG48" i="1"/>
  <c r="AA48" i="1"/>
  <c r="AB48" i="1" s="1"/>
  <c r="K48" i="1"/>
  <c r="J48" i="1"/>
  <c r="L48" i="1"/>
  <c r="AP47" i="1"/>
  <c r="AL47" i="1"/>
  <c r="AG47" i="1"/>
  <c r="L47" i="1"/>
  <c r="K47" i="1"/>
  <c r="J47" i="1"/>
  <c r="AP46" i="1"/>
  <c r="AM46" i="1"/>
  <c r="AL46" i="1"/>
  <c r="AG46" i="1"/>
  <c r="K46" i="1"/>
  <c r="J46" i="1"/>
  <c r="L46" i="1"/>
  <c r="AP45" i="1"/>
  <c r="AL45" i="1"/>
  <c r="AG45" i="1"/>
  <c r="L45" i="1"/>
  <c r="K45" i="1"/>
  <c r="J45" i="1"/>
  <c r="AP44" i="1"/>
  <c r="AL44" i="1"/>
  <c r="AG44" i="1"/>
  <c r="L44" i="1"/>
  <c r="K44" i="1"/>
  <c r="J44" i="1"/>
  <c r="AP43" i="1"/>
  <c r="AM43" i="1"/>
  <c r="AL43" i="1"/>
  <c r="AK43" i="1"/>
  <c r="AG43" i="1"/>
  <c r="L43" i="1"/>
  <c r="K43" i="1"/>
  <c r="J43" i="1"/>
  <c r="AP42" i="1"/>
  <c r="AG42" i="1"/>
  <c r="L42" i="1"/>
  <c r="K42" i="1"/>
  <c r="J42" i="1"/>
  <c r="AP41" i="1"/>
  <c r="AL41" i="1"/>
  <c r="AM41" i="1" s="1"/>
  <c r="AG41" i="1"/>
  <c r="L41" i="1"/>
  <c r="K41" i="1"/>
  <c r="J41" i="1"/>
  <c r="AP40" i="1"/>
  <c r="AG40" i="1"/>
  <c r="K40" i="1"/>
  <c r="J40" i="1"/>
  <c r="I40" i="1"/>
  <c r="L40" i="1" s="1"/>
  <c r="AP39" i="1"/>
  <c r="AG39" i="1"/>
  <c r="L39" i="1"/>
  <c r="K39" i="1"/>
  <c r="J39" i="1"/>
  <c r="AP38" i="1"/>
  <c r="AG38" i="1"/>
  <c r="L38" i="1"/>
  <c r="K38" i="1"/>
  <c r="J38" i="1"/>
  <c r="AP37" i="1"/>
  <c r="AG37" i="1"/>
  <c r="L37" i="1"/>
  <c r="K37" i="1"/>
  <c r="J37" i="1"/>
  <c r="AP36" i="1"/>
  <c r="AG36" i="1"/>
  <c r="L36" i="1"/>
  <c r="K36" i="1"/>
  <c r="J36" i="1"/>
  <c r="AP35" i="1"/>
  <c r="AG35" i="1"/>
  <c r="L35" i="1"/>
  <c r="K35" i="1"/>
  <c r="J35" i="1"/>
  <c r="AP34" i="1"/>
  <c r="AG34" i="1"/>
  <c r="L34" i="1"/>
  <c r="K34" i="1"/>
  <c r="J34" i="1"/>
  <c r="AP33" i="1"/>
  <c r="AM33" i="1"/>
  <c r="AL33" i="1"/>
  <c r="AG33" i="1"/>
  <c r="L33" i="1"/>
  <c r="K33" i="1"/>
  <c r="J33" i="1"/>
  <c r="AP32" i="1"/>
  <c r="AG32" i="1"/>
  <c r="L32" i="1"/>
  <c r="K32" i="1"/>
  <c r="J32" i="1"/>
  <c r="AP31" i="1"/>
  <c r="AG31" i="1"/>
  <c r="L31" i="1"/>
  <c r="K31" i="1"/>
  <c r="J31" i="1"/>
  <c r="AP30" i="1"/>
  <c r="AG30" i="1"/>
  <c r="L30" i="1"/>
  <c r="K30" i="1"/>
  <c r="J30" i="1"/>
  <c r="AP29" i="1"/>
  <c r="AG29" i="1"/>
  <c r="L29" i="1"/>
  <c r="K29" i="1"/>
  <c r="J29" i="1"/>
  <c r="AP28" i="1"/>
  <c r="AM28" i="1"/>
  <c r="AL28" i="1"/>
  <c r="AG28" i="1"/>
  <c r="L28" i="1"/>
  <c r="K28" i="1"/>
  <c r="J28" i="1"/>
  <c r="AP27" i="1"/>
  <c r="AG27" i="1"/>
  <c r="L27" i="1"/>
  <c r="K27" i="1"/>
  <c r="J27" i="1"/>
  <c r="AP26" i="1"/>
  <c r="AM26" i="1"/>
  <c r="AL26" i="1"/>
  <c r="AG26" i="1"/>
  <c r="R26" i="1"/>
  <c r="L26" i="1"/>
  <c r="K26" i="1"/>
  <c r="J26" i="1"/>
  <c r="AP25" i="1"/>
  <c r="AG25" i="1"/>
  <c r="L25" i="1"/>
  <c r="K25" i="1"/>
  <c r="J25" i="1"/>
  <c r="AP24" i="1"/>
  <c r="AG24" i="1"/>
  <c r="L24" i="1"/>
  <c r="K24" i="1"/>
  <c r="J24" i="1"/>
  <c r="M24" i="1" s="1"/>
  <c r="AP23" i="1"/>
  <c r="AG23" i="1"/>
  <c r="L23" i="1"/>
  <c r="K23" i="1"/>
  <c r="J23" i="1"/>
  <c r="AP22" i="1"/>
  <c r="AG22" i="1"/>
  <c r="L22" i="1"/>
  <c r="K22" i="1"/>
  <c r="J22" i="1"/>
  <c r="AP21" i="1"/>
  <c r="AG21" i="1"/>
  <c r="L21" i="1"/>
  <c r="K21" i="1"/>
  <c r="J21" i="1"/>
  <c r="AP20" i="1"/>
  <c r="AM20" i="1"/>
  <c r="AL20" i="1"/>
  <c r="AG20" i="1"/>
  <c r="L20" i="1"/>
  <c r="K20" i="1"/>
  <c r="J20" i="1"/>
  <c r="AP19" i="1"/>
  <c r="AG19" i="1"/>
  <c r="L19" i="1"/>
  <c r="K19" i="1"/>
  <c r="J19" i="1"/>
  <c r="AP18" i="1"/>
  <c r="AM18" i="1"/>
  <c r="AL18" i="1"/>
  <c r="AG18" i="1"/>
  <c r="L18" i="1"/>
  <c r="K18" i="1"/>
  <c r="J18" i="1"/>
  <c r="M18" i="1" s="1"/>
  <c r="AP17" i="1"/>
  <c r="AM17" i="1"/>
  <c r="AL17" i="1"/>
  <c r="AG17" i="1"/>
  <c r="L17" i="1"/>
  <c r="K17" i="1"/>
  <c r="M17" i="1" s="1"/>
  <c r="J17" i="1"/>
  <c r="AP16" i="1"/>
  <c r="AM16" i="1"/>
  <c r="AL16" i="1"/>
  <c r="AG16" i="1"/>
  <c r="L16" i="1"/>
  <c r="K16" i="1"/>
  <c r="J16" i="1"/>
  <c r="M16" i="1" s="1"/>
  <c r="AP15" i="1"/>
  <c r="L15" i="1"/>
  <c r="K15" i="1"/>
  <c r="J15" i="1"/>
  <c r="AP14" i="1"/>
  <c r="AL14" i="1"/>
  <c r="AM14" i="1" s="1"/>
  <c r="AG14" i="1"/>
  <c r="L14" i="1"/>
  <c r="K14" i="1"/>
  <c r="J14" i="1"/>
  <c r="AK13" i="1"/>
  <c r="L13" i="1"/>
  <c r="M13" i="1" s="1"/>
  <c r="K13" i="1"/>
  <c r="J13" i="1"/>
  <c r="O10" i="1"/>
  <c r="N10" i="1"/>
  <c r="N9" i="1"/>
  <c r="N8" i="1"/>
  <c r="N7" i="1"/>
  <c r="N6" i="1"/>
  <c r="N5" i="1"/>
  <c r="N4" i="1"/>
  <c r="B4" i="1"/>
  <c r="M19" i="1" l="1"/>
  <c r="M25" i="1"/>
  <c r="M45" i="1"/>
  <c r="M22" i="1"/>
  <c r="M29" i="1"/>
  <c r="M35" i="1"/>
  <c r="M69" i="1"/>
  <c r="M14" i="1"/>
  <c r="M8" i="1" s="1"/>
  <c r="M28" i="1"/>
  <c r="M40" i="1"/>
  <c r="M44" i="1"/>
  <c r="M53" i="1"/>
  <c r="M65" i="1"/>
  <c r="M77" i="1"/>
  <c r="M79" i="1"/>
  <c r="M62" i="1"/>
  <c r="M67" i="1"/>
  <c r="M81" i="1"/>
  <c r="M52" i="1"/>
  <c r="M41" i="1"/>
  <c r="M61" i="1"/>
  <c r="M85" i="1"/>
  <c r="M20" i="1"/>
  <c r="M26" i="1"/>
  <c r="M33" i="1"/>
  <c r="M56" i="1"/>
  <c r="M58" i="1"/>
  <c r="M64" i="1"/>
  <c r="M70" i="1"/>
  <c r="M75" i="1"/>
  <c r="M32" i="1"/>
  <c r="M38" i="1"/>
  <c r="N3" i="1"/>
  <c r="M21" i="1"/>
  <c r="M10" i="1" s="1"/>
  <c r="M31" i="1"/>
  <c r="M37" i="1"/>
  <c r="M49" i="1"/>
  <c r="M15" i="1"/>
  <c r="M27" i="1"/>
  <c r="M39" i="1"/>
  <c r="M42" i="1"/>
  <c r="M47" i="1"/>
  <c r="M23" i="1"/>
  <c r="M30" i="1"/>
  <c r="M34" i="1"/>
  <c r="M36" i="1"/>
  <c r="AM13" i="1"/>
  <c r="AN14" i="1" s="1"/>
  <c r="AN56" i="1"/>
  <c r="AO56" i="1" s="1"/>
  <c r="AN69" i="1"/>
  <c r="AO69" i="1" s="1"/>
  <c r="AR69" i="1" s="1"/>
  <c r="AN80" i="1"/>
  <c r="AO80" i="1" s="1"/>
  <c r="AR80" i="1" s="1"/>
  <c r="AP13" i="1"/>
  <c r="M6" i="1"/>
  <c r="AN83" i="1"/>
  <c r="AO83" i="1" s="1"/>
  <c r="AR83" i="1" s="1"/>
  <c r="AN28" i="1"/>
  <c r="AO28" i="1" s="1"/>
  <c r="AR28" i="1" s="1"/>
  <c r="AN73" i="1"/>
  <c r="AO73" i="1" s="1"/>
  <c r="AR73" i="1" s="1"/>
  <c r="AN61" i="1"/>
  <c r="AO61" i="1" s="1"/>
  <c r="AR61" i="1" s="1"/>
  <c r="AN68" i="1"/>
  <c r="AO68" i="1" s="1"/>
  <c r="AR68" i="1" s="1"/>
  <c r="P10" i="1"/>
  <c r="M43" i="1"/>
  <c r="M46" i="1"/>
  <c r="M48" i="1"/>
  <c r="M9" i="1"/>
  <c r="M5" i="1" l="1"/>
  <c r="AN41" i="1"/>
  <c r="AO41" i="1" s="1"/>
  <c r="AR41" i="1" s="1"/>
  <c r="AN17" i="1"/>
  <c r="AO17" i="1" s="1"/>
  <c r="AN63" i="1"/>
  <c r="AO63" i="1" s="1"/>
  <c r="AR63" i="1" s="1"/>
  <c r="AN85" i="1"/>
  <c r="AO85" i="1" s="1"/>
  <c r="AR85" i="1" s="1"/>
  <c r="AN57" i="1"/>
  <c r="AO57" i="1" s="1"/>
  <c r="AN26" i="1"/>
  <c r="AO26" i="1" s="1"/>
  <c r="AR26" i="1" s="1"/>
  <c r="AN84" i="1"/>
  <c r="AO84" i="1" s="1"/>
  <c r="AR84" i="1" s="1"/>
  <c r="AN71" i="1"/>
  <c r="AO71" i="1" s="1"/>
  <c r="AR71" i="1" s="1"/>
  <c r="AN51" i="1"/>
  <c r="AO51" i="1" s="1"/>
  <c r="AR51" i="1" s="1"/>
  <c r="AN81" i="1"/>
  <c r="AO81" i="1" s="1"/>
  <c r="AR81" i="1" s="1"/>
  <c r="AN65" i="1"/>
  <c r="AO65" i="1" s="1"/>
  <c r="AR65" i="1" s="1"/>
  <c r="AN55" i="1"/>
  <c r="AO55" i="1" s="1"/>
  <c r="AR55" i="1" s="1"/>
  <c r="AN59" i="1"/>
  <c r="AO59" i="1" s="1"/>
  <c r="AR59" i="1" s="1"/>
  <c r="M3" i="1"/>
  <c r="AN67" i="1"/>
  <c r="AO67" i="1" s="1"/>
  <c r="AR67" i="1" s="1"/>
  <c r="AN54" i="1"/>
  <c r="AO54" i="1" s="1"/>
  <c r="AN46" i="1"/>
  <c r="AO46" i="1" s="1"/>
  <c r="AN70" i="1"/>
  <c r="AO70" i="1" s="1"/>
  <c r="AR70" i="1" s="1"/>
  <c r="AN62" i="1"/>
  <c r="AO62" i="1" s="1"/>
  <c r="AR62" i="1" s="1"/>
  <c r="M4" i="1"/>
  <c r="G6" i="1" s="1"/>
  <c r="AR56" i="1"/>
  <c r="AN76" i="1"/>
  <c r="AO76" i="1" s="1"/>
  <c r="AR76" i="1" s="1"/>
  <c r="M7" i="1"/>
  <c r="G7" i="1" s="1"/>
  <c r="AN79" i="1"/>
  <c r="AO79" i="1" s="1"/>
  <c r="AR79" i="1" s="1"/>
  <c r="AN16" i="1"/>
  <c r="AO16" i="1" s="1"/>
  <c r="AN33" i="1"/>
  <c r="AO33" i="1" s="1"/>
  <c r="AN60" i="1"/>
  <c r="AO60" i="1" s="1"/>
  <c r="AR60" i="1" s="1"/>
  <c r="AN78" i="1"/>
  <c r="AO78" i="1" s="1"/>
  <c r="AR78" i="1" s="1"/>
  <c r="AN77" i="1"/>
  <c r="AO77" i="1" s="1"/>
  <c r="AR77" i="1" s="1"/>
  <c r="AN48" i="1"/>
  <c r="AO48" i="1" s="1"/>
  <c r="AO14" i="1"/>
  <c r="AR14" i="1" s="1"/>
  <c r="O8" i="1" s="1"/>
  <c r="P8" i="1" s="1"/>
  <c r="AR57" i="1"/>
  <c r="AR33" i="1"/>
  <c r="AR54" i="1"/>
  <c r="AN50" i="1"/>
  <c r="AO50" i="1" s="1"/>
  <c r="AR50" i="1" s="1"/>
  <c r="AN75" i="1"/>
  <c r="AO75" i="1" s="1"/>
  <c r="AR75" i="1" s="1"/>
  <c r="AR17" i="1"/>
  <c r="AN58" i="1"/>
  <c r="AO58" i="1" s="1"/>
  <c r="AR58" i="1" s="1"/>
  <c r="AN72" i="1"/>
  <c r="AO72" i="1" s="1"/>
  <c r="AR72" i="1" s="1"/>
  <c r="AN64" i="1"/>
  <c r="AO64" i="1" s="1"/>
  <c r="AR64" i="1" s="1"/>
  <c r="AN43" i="1"/>
  <c r="AO43" i="1" s="1"/>
  <c r="AR43" i="1" s="1"/>
  <c r="AN82" i="1"/>
  <c r="AO82" i="1" s="1"/>
  <c r="AR82" i="1" s="1"/>
  <c r="AN74" i="1"/>
  <c r="AO74" i="1" s="1"/>
  <c r="AR74" i="1" s="1"/>
  <c r="AN66" i="1"/>
  <c r="AO66" i="1" s="1"/>
  <c r="AR66" i="1" s="1"/>
  <c r="AN53" i="1"/>
  <c r="AO53" i="1" s="1"/>
  <c r="AR53" i="1" s="1"/>
  <c r="O9" i="1" s="1"/>
  <c r="P9" i="1" s="1"/>
  <c r="AN20" i="1"/>
  <c r="AO20" i="1" s="1"/>
  <c r="AN18" i="1"/>
  <c r="AO18" i="1" s="1"/>
  <c r="AR18" i="1" s="1"/>
  <c r="AR48" i="1" l="1"/>
  <c r="O7" i="1" s="1"/>
  <c r="P7" i="1" s="1"/>
  <c r="AR20" i="1"/>
  <c r="AR46" i="1"/>
  <c r="O4" i="1" s="1"/>
  <c r="P4" i="1" s="1"/>
  <c r="O5" i="1"/>
  <c r="P5" i="1" s="1"/>
  <c r="AN13" i="1"/>
  <c r="AR16" i="1" l="1"/>
  <c r="AR13" i="1" s="1"/>
  <c r="O6" i="1" l="1"/>
  <c r="O3" i="1" s="1"/>
  <c r="P6" i="1" l="1"/>
  <c r="P3" i="1" s="1"/>
</calcChain>
</file>

<file path=xl/comments1.xml><?xml version="1.0" encoding="utf-8"?>
<comments xmlns="http://schemas.openxmlformats.org/spreadsheetml/2006/main">
  <authors>
    <author>Olivier</author>
  </authors>
  <commentList>
    <comment ref="AL14" authorId="0" shapeId="0">
      <text>
        <r>
          <rPr>
            <b/>
            <sz val="9"/>
            <color indexed="81"/>
            <rFont val="Tahoma"/>
            <family val="2"/>
          </rPr>
          <t>Olivier:</t>
        </r>
        <r>
          <rPr>
            <sz val="9"/>
            <color indexed="81"/>
            <rFont val="Tahoma"/>
            <family val="2"/>
          </rPr>
          <t xml:space="preserve">
Sur la date d'entrée jusqu'à décembre</t>
        </r>
      </text>
    </comment>
    <comment ref="AL41" authorId="0" shapeId="0">
      <text>
        <r>
          <rPr>
            <b/>
            <sz val="9"/>
            <color indexed="81"/>
            <rFont val="Tahoma"/>
            <family val="2"/>
          </rPr>
          <t>Olivier:</t>
        </r>
        <r>
          <rPr>
            <sz val="9"/>
            <color indexed="81"/>
            <rFont val="Tahoma"/>
            <family val="2"/>
          </rPr>
          <t xml:space="preserve">
Calcul sur le nombre de mois travaillé Date de début d'année - Date de sortie Périodique</t>
        </r>
      </text>
    </comment>
    <comment ref="AK51" authorId="0" shapeId="0">
      <text>
        <r>
          <rPr>
            <b/>
            <sz val="9"/>
            <color indexed="81"/>
            <rFont val="Tahoma"/>
            <family val="2"/>
          </rPr>
          <t>Olivier:</t>
        </r>
        <r>
          <rPr>
            <sz val="9"/>
            <color indexed="81"/>
            <rFont val="Tahoma"/>
            <family val="2"/>
          </rPr>
          <t xml:space="preserve">
Imputation des charges de Lydie car elle l'a remplacé</t>
        </r>
      </text>
    </comment>
    <comment ref="AP57" authorId="0" shapeId="0">
      <text>
        <r>
          <rPr>
            <b/>
            <sz val="9"/>
            <color indexed="81"/>
            <rFont val="Tahoma"/>
            <family val="2"/>
          </rPr>
          <t>Olivier:</t>
        </r>
        <r>
          <rPr>
            <sz val="9"/>
            <color indexed="81"/>
            <rFont val="Tahoma"/>
            <family val="2"/>
          </rPr>
          <t xml:space="preserve">
2% car CDD</t>
        </r>
      </text>
    </comment>
  </commentList>
</comments>
</file>

<file path=xl/sharedStrings.xml><?xml version="1.0" encoding="utf-8"?>
<sst xmlns="http://schemas.openxmlformats.org/spreadsheetml/2006/main" count="397" uniqueCount="145">
  <si>
    <t>Date du jour</t>
  </si>
  <si>
    <t>NOM</t>
  </si>
  <si>
    <t>Prénom</t>
  </si>
  <si>
    <t>Qualification</t>
  </si>
  <si>
    <t>Sexe</t>
  </si>
  <si>
    <t>Nature du contrat CDD ou CDI</t>
  </si>
  <si>
    <t>Motif du recours au CDD</t>
  </si>
  <si>
    <t>Date d'entrée</t>
  </si>
  <si>
    <t>Prise en compte dans l'ETP</t>
  </si>
  <si>
    <t>Equivalent en mois</t>
  </si>
  <si>
    <t>Equivalent en heures</t>
  </si>
  <si>
    <t>ETP</t>
  </si>
  <si>
    <t>F</t>
  </si>
  <si>
    <t>CDD</t>
  </si>
  <si>
    <t xml:space="preserve">REMPLACEMENT </t>
  </si>
  <si>
    <t>CDI</t>
  </si>
  <si>
    <t>APPRENTISSAGE</t>
  </si>
  <si>
    <t>ACCROISSEMENT</t>
  </si>
  <si>
    <t>CONTRAT PROF.</t>
  </si>
  <si>
    <t>M</t>
  </si>
  <si>
    <t>ETP annuel</t>
  </si>
  <si>
    <t xml:space="preserve">HENIN </t>
  </si>
  <si>
    <t>Emilie</t>
  </si>
  <si>
    <t xml:space="preserve">MARTIN </t>
  </si>
  <si>
    <t xml:space="preserve">AZANETI </t>
  </si>
  <si>
    <t>Amito</t>
  </si>
  <si>
    <t>FERREIRA</t>
  </si>
  <si>
    <t>Anne-Marie</t>
  </si>
  <si>
    <t>Therese</t>
  </si>
  <si>
    <t>ANDRE</t>
  </si>
  <si>
    <t>Direction</t>
  </si>
  <si>
    <t>Evolene Tutelles</t>
  </si>
  <si>
    <t>Association</t>
  </si>
  <si>
    <t>Assistante de Direction</t>
  </si>
  <si>
    <t>Comptable</t>
  </si>
  <si>
    <t>Agent administratif</t>
  </si>
  <si>
    <t>Femme de ménages</t>
  </si>
  <si>
    <t xml:space="preserve">Durée mensuel du contrat </t>
  </si>
  <si>
    <t>BERRAMDANE</t>
  </si>
  <si>
    <t>Najet</t>
  </si>
  <si>
    <t>TESSON</t>
  </si>
  <si>
    <t>Gilles</t>
  </si>
  <si>
    <t>Julie</t>
  </si>
  <si>
    <t>TRAD</t>
  </si>
  <si>
    <t>Samar</t>
  </si>
  <si>
    <t>ROQUIER</t>
  </si>
  <si>
    <t>Annie-France</t>
  </si>
  <si>
    <t>Délégué à la Tutelle</t>
  </si>
  <si>
    <t>Date de début d'année</t>
  </si>
  <si>
    <t>Date de fin d'année</t>
  </si>
  <si>
    <t>ANNE</t>
  </si>
  <si>
    <t>ETP Délégué à la Tutelle :</t>
  </si>
  <si>
    <t>HERMELIN</t>
  </si>
  <si>
    <t>John</t>
  </si>
  <si>
    <t>Aide Comptable</t>
  </si>
  <si>
    <t>Françoise</t>
  </si>
  <si>
    <t>TILLOCHER</t>
  </si>
  <si>
    <t>Commentaires</t>
  </si>
  <si>
    <t>(Remplacement Madame Anne)</t>
  </si>
  <si>
    <t>(Remplacement Thérèse Ferreira)</t>
  </si>
  <si>
    <t>(Remplacement Annie-France Roquier)</t>
  </si>
  <si>
    <t>(Mesures nouvelles)</t>
  </si>
  <si>
    <t>Maimouna</t>
  </si>
  <si>
    <t>Amélie</t>
  </si>
  <si>
    <t xml:space="preserve">LENDEMBA </t>
  </si>
  <si>
    <t>DOUE</t>
  </si>
  <si>
    <t>Christiane</t>
  </si>
  <si>
    <t>BARREAU</t>
  </si>
  <si>
    <t>NICOLE</t>
  </si>
  <si>
    <t>Charlotte</t>
  </si>
  <si>
    <t>BOUCHAMA</t>
  </si>
  <si>
    <t>Zahra</t>
  </si>
  <si>
    <t>KAMARA</t>
  </si>
  <si>
    <t>ARHAB</t>
  </si>
  <si>
    <t>Mirfet (3/4 tps)</t>
  </si>
  <si>
    <t>Charlette</t>
  </si>
  <si>
    <t>GARNIER</t>
  </si>
  <si>
    <t>Lauréline</t>
  </si>
  <si>
    <t>Prise en charge mutuelle</t>
  </si>
  <si>
    <t>Chef de Service</t>
  </si>
  <si>
    <t>Contrat de professionalisation en alternance</t>
  </si>
  <si>
    <t>Départ au 4 janvier 2013</t>
  </si>
  <si>
    <t>Abandon de poste</t>
  </si>
  <si>
    <t>(Mesures nouvelles) départ congés maternité</t>
  </si>
  <si>
    <t>Sandrine (3/4 tps)</t>
  </si>
  <si>
    <t>FLEURY</t>
  </si>
  <si>
    <t>Madame HENIN Emilie</t>
  </si>
  <si>
    <t>NIVEAU 
D'ÉTUDES</t>
  </si>
  <si>
    <t>CNC</t>
  </si>
  <si>
    <t>Nombre de délégués en poste au 1er janvier 2009
et étant formés au 31/12/2012</t>
  </si>
  <si>
    <t>Nombre de délégués en poste au 1er janvier 2009
 et n'étant pas formés au 31/12/2012</t>
  </si>
  <si>
    <t>Nombre de délégués embauchés après le 1er janvier 2009 
et ayant obtenu le CNC avant le 1er janvier 2013</t>
  </si>
  <si>
    <t>Nombre de délégués embauchés après le 1er janvier 2009 
et n'ayant pas encore le CNC au 1er janvier 2013</t>
  </si>
  <si>
    <t>oui</t>
  </si>
  <si>
    <t>non</t>
  </si>
  <si>
    <t>Date d'obtention</t>
  </si>
  <si>
    <t>Date d'inscription</t>
  </si>
  <si>
    <t>Heure de formation</t>
  </si>
  <si>
    <t>Temps partiel</t>
  </si>
  <si>
    <t xml:space="preserve">TIGHILT </t>
  </si>
  <si>
    <t>Lamine</t>
  </si>
  <si>
    <t>Remplacement Amélie LENDAMBA</t>
  </si>
  <si>
    <t>Nombre de délégués en poste au 1er janvier 2014 et ayant leur CNC</t>
  </si>
  <si>
    <t xml:space="preserve">Nombre de délégués en poste au 1er janvier 2014 et en formation </t>
  </si>
  <si>
    <t xml:space="preserve">Nombre de délégués en poste au 1er janvier 2014 ni formés, ni en formation </t>
  </si>
  <si>
    <t>Rémunérations
 année 2013</t>
  </si>
  <si>
    <t>Primes 
et gratifications</t>
  </si>
  <si>
    <t>Rémunérations
 année 2013 (annuel)</t>
  </si>
  <si>
    <t>Indice de base 
du poste ocupée</t>
  </si>
  <si>
    <t>Temps d'absence</t>
  </si>
  <si>
    <t>Indice de base 
du poste ocupée au 31/12/2014</t>
  </si>
  <si>
    <t>ETP Direction :</t>
  </si>
  <si>
    <t>ETP Femme de ménages :</t>
  </si>
  <si>
    <t>BASSEUX</t>
  </si>
  <si>
    <t>Typhaine</t>
  </si>
  <si>
    <t>ETP Comptable :</t>
  </si>
  <si>
    <t>ETP Assistante de Direction :</t>
  </si>
  <si>
    <t>ETP Agent administratifs :</t>
  </si>
  <si>
    <t>ETP Chef de Service :</t>
  </si>
  <si>
    <t>Délégués</t>
  </si>
  <si>
    <t>Administratifs + Direction</t>
  </si>
  <si>
    <t>Date de sortie
Périodique (rouge)
Définitive
(bleu)</t>
  </si>
  <si>
    <t>Poste remplacé par la société oxygène</t>
  </si>
  <si>
    <t>Remplacement Céline legrix (maladie + patho + maternité)</t>
  </si>
  <si>
    <t>Calcul de l'effectif équivalent temps plein Evolene Tutelles 2016 (pour le budget 2017)</t>
  </si>
  <si>
    <t>Rémunérations
 année 2016 (budget)</t>
  </si>
  <si>
    <t>Salaires</t>
  </si>
  <si>
    <t>Taxe sur les salaires</t>
  </si>
  <si>
    <t>Total des charges :</t>
  </si>
  <si>
    <t>Reel Charges sociales
Urssaf
Retraite
Prévoyance
Médecine du travail 2016</t>
  </si>
  <si>
    <t>Charges sociales
Urssaf
Retraite
Prévoyance
Médecine du travail réel jusqu'à septembre 2016</t>
  </si>
  <si>
    <t>Charges sociales</t>
  </si>
  <si>
    <t xml:space="preserve">Participation formation continue </t>
  </si>
  <si>
    <t>Date calcul charges sociales à septembre :</t>
  </si>
  <si>
    <t>Nb de jours travaillés</t>
  </si>
  <si>
    <t>Charges sociales
Urssaf
Retraite
Prévoyance
Médecine du travail théorique sur 1 jour</t>
  </si>
  <si>
    <t>Calcul DATEDIF jour Entre la date de début d'année et de la date calcul charges sociales</t>
  </si>
  <si>
    <t>Calcul DATEDIF jour Pour un salarié sorti en cours d'année et la date de calcul des charges sociales</t>
  </si>
  <si>
    <t>Calcul DATEDIF jour Pour un salarié entré en cours d'année et la date de calcul des charges sociales</t>
  </si>
  <si>
    <t>Ratio Charges sociales
Urssaf
Retraite
Prévoyance
Médecine du travail sur 1 jour</t>
  </si>
  <si>
    <t>Salaires + Charges</t>
  </si>
  <si>
    <t>Primes et gratifications à payer</t>
  </si>
  <si>
    <t>Total Charges + Taxe sur les salaires+ Primes</t>
  </si>
  <si>
    <t>Nombres de salariés hors direction au 31/12/2016</t>
  </si>
  <si>
    <t>Primes gratification à payer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</si>
</sst>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]_-;\-* #,##0.00\ [$€]_-;_-* &quot;-&quot;??\ [$€]_-;_-@_-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0"/>
      <name val="Arial Narrow"/>
      <family val="2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10"/>
      <color rgb="FFFF0000"/>
      <name val="Arial Narrow"/>
      <family val="2"/>
    </font>
    <font>
      <sz val="10"/>
      <color theme="4"/>
      <name val="Arial Narrow"/>
      <family val="2"/>
    </font>
    <font>
      <sz val="10"/>
      <color rgb="FF0070C0"/>
      <name val="Arial Narrow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0" fontId="9" fillId="0" borderId="0"/>
    <xf numFmtId="165" fontId="10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18" fillId="0" borderId="0" applyFont="0" applyFill="0" applyBorder="0" applyAlignment="0" applyProtection="0"/>
  </cellStyleXfs>
  <cellXfs count="198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NumberFormat="1" applyFont="1" applyBorder="1" applyProtection="1">
      <protection locked="0"/>
    </xf>
    <xf numFmtId="0" fontId="5" fillId="0" borderId="1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14" fontId="5" fillId="0" borderId="1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2" fontId="5" fillId="0" borderId="1" xfId="0" applyNumberFormat="1" applyFont="1" applyBorder="1" applyAlignment="1" applyProtection="1">
      <alignment horizontal="center"/>
    </xf>
    <xf numFmtId="2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2" fontId="5" fillId="0" borderId="0" xfId="0" applyNumberFormat="1" applyFont="1" applyAlignment="1">
      <alignment horizontal="center"/>
    </xf>
    <xf numFmtId="0" fontId="7" fillId="0" borderId="0" xfId="0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2" fontId="5" fillId="0" borderId="0" xfId="0" applyNumberFormat="1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5" fillId="0" borderId="0" xfId="0" applyFont="1" applyFill="1" applyBorder="1"/>
    <xf numFmtId="0" fontId="7" fillId="0" borderId="3" xfId="0" applyFont="1" applyFill="1" applyBorder="1" applyAlignment="1">
      <alignment horizontal="center"/>
    </xf>
    <xf numFmtId="2" fontId="7" fillId="0" borderId="4" xfId="0" applyNumberFormat="1" applyFont="1" applyFill="1" applyBorder="1" applyAlignment="1">
      <alignment horizontal="center"/>
    </xf>
    <xf numFmtId="0" fontId="7" fillId="0" borderId="0" xfId="0" applyFont="1" applyFill="1"/>
    <xf numFmtId="0" fontId="7" fillId="0" borderId="4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/>
    </xf>
    <xf numFmtId="14" fontId="5" fillId="0" borderId="4" xfId="0" applyNumberFormat="1" applyFont="1" applyFill="1" applyBorder="1" applyAlignment="1">
      <alignment horizontal="center"/>
    </xf>
    <xf numFmtId="14" fontId="5" fillId="0" borderId="0" xfId="0" applyNumberFormat="1" applyFont="1" applyFill="1"/>
    <xf numFmtId="14" fontId="5" fillId="0" borderId="0" xfId="0" applyNumberFormat="1" applyFont="1" applyFill="1" applyAlignment="1">
      <alignment horizontal="center"/>
    </xf>
    <xf numFmtId="14" fontId="5" fillId="0" borderId="4" xfId="0" applyNumberFormat="1" applyFont="1" applyFill="1" applyBorder="1" applyAlignment="1" applyProtection="1">
      <alignment horizontal="center"/>
      <protection locked="0"/>
    </xf>
    <xf numFmtId="14" fontId="5" fillId="0" borderId="0" xfId="0" applyNumberFormat="1" applyFont="1" applyFill="1" applyProtection="1">
      <protection locked="0"/>
    </xf>
    <xf numFmtId="14" fontId="5" fillId="0" borderId="0" xfId="0" applyNumberFormat="1" applyFont="1" applyFill="1" applyAlignment="1" applyProtection="1">
      <alignment horizontal="center"/>
      <protection locked="0"/>
    </xf>
    <xf numFmtId="0" fontId="4" fillId="0" borderId="5" xfId="0" applyFont="1" applyFill="1" applyBorder="1" applyAlignment="1">
      <alignment horizontal="center"/>
    </xf>
    <xf numFmtId="0" fontId="9" fillId="3" borderId="1" xfId="2" applyFill="1" applyBorder="1"/>
    <xf numFmtId="0" fontId="5" fillId="3" borderId="1" xfId="0" applyNumberFormat="1" applyFont="1" applyFill="1" applyBorder="1" applyProtection="1">
      <protection locked="0"/>
    </xf>
    <xf numFmtId="0" fontId="5" fillId="3" borderId="1" xfId="0" applyNumberFormat="1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14" fontId="5" fillId="3" borderId="1" xfId="0" applyNumberFormat="1" applyFont="1" applyFill="1" applyBorder="1" applyAlignment="1" applyProtection="1">
      <alignment horizontal="center"/>
      <protection locked="0"/>
    </xf>
    <xf numFmtId="14" fontId="5" fillId="3" borderId="1" xfId="0" applyNumberFormat="1" applyFont="1" applyFill="1" applyBorder="1" applyAlignment="1">
      <alignment horizontal="center"/>
    </xf>
    <xf numFmtId="2" fontId="5" fillId="3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</xf>
    <xf numFmtId="2" fontId="5" fillId="3" borderId="1" xfId="0" applyNumberFormat="1" applyFont="1" applyFill="1" applyBorder="1" applyAlignment="1" applyProtection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/>
    <xf numFmtId="0" fontId="5" fillId="3" borderId="0" xfId="0" applyFont="1" applyFill="1"/>
    <xf numFmtId="0" fontId="6" fillId="3" borderId="0" xfId="0" applyFont="1" applyFill="1"/>
    <xf numFmtId="0" fontId="5" fillId="3" borderId="1" xfId="0" applyFont="1" applyFill="1" applyBorder="1" applyAlignment="1">
      <alignment horizontal="center"/>
    </xf>
    <xf numFmtId="0" fontId="5" fillId="3" borderId="6" xfId="0" applyNumberFormat="1" applyFont="1" applyFill="1" applyBorder="1" applyProtection="1">
      <protection locked="0"/>
    </xf>
    <xf numFmtId="0" fontId="9" fillId="3" borderId="1" xfId="1" applyFill="1" applyBorder="1"/>
    <xf numFmtId="164" fontId="5" fillId="0" borderId="0" xfId="0" applyNumberFormat="1" applyFont="1"/>
    <xf numFmtId="164" fontId="5" fillId="0" borderId="0" xfId="0" applyNumberFormat="1" applyFont="1" applyFill="1"/>
    <xf numFmtId="0" fontId="9" fillId="3" borderId="6" xfId="1" applyFill="1" applyBorder="1"/>
    <xf numFmtId="0" fontId="5" fillId="3" borderId="6" xfId="0" applyFont="1" applyFill="1" applyBorder="1"/>
    <xf numFmtId="0" fontId="5" fillId="3" borderId="6" xfId="0" applyFont="1" applyFill="1" applyBorder="1" applyAlignment="1">
      <alignment horizontal="center"/>
    </xf>
    <xf numFmtId="0" fontId="5" fillId="3" borderId="6" xfId="0" applyNumberFormat="1" applyFont="1" applyFill="1" applyBorder="1" applyAlignment="1" applyProtection="1">
      <alignment horizontal="center"/>
      <protection locked="0"/>
    </xf>
    <xf numFmtId="0" fontId="5" fillId="3" borderId="6" xfId="0" applyFont="1" applyFill="1" applyBorder="1" applyAlignment="1" applyProtection="1">
      <alignment horizontal="center"/>
      <protection locked="0"/>
    </xf>
    <xf numFmtId="14" fontId="5" fillId="3" borderId="6" xfId="0" applyNumberFormat="1" applyFont="1" applyFill="1" applyBorder="1" applyAlignment="1">
      <alignment horizontal="center"/>
    </xf>
    <xf numFmtId="2" fontId="5" fillId="3" borderId="6" xfId="0" applyNumberFormat="1" applyFont="1" applyFill="1" applyBorder="1" applyAlignment="1">
      <alignment horizontal="center"/>
    </xf>
    <xf numFmtId="0" fontId="0" fillId="3" borderId="6" xfId="0" applyFill="1" applyBorder="1" applyAlignment="1" applyProtection="1">
      <alignment horizontal="center"/>
    </xf>
    <xf numFmtId="2" fontId="5" fillId="3" borderId="6" xfId="0" applyNumberFormat="1" applyFont="1" applyFill="1" applyBorder="1" applyAlignment="1" applyProtection="1">
      <alignment horizontal="center"/>
    </xf>
    <xf numFmtId="14" fontId="5" fillId="3" borderId="6" xfId="0" applyNumberFormat="1" applyFont="1" applyFill="1" applyBorder="1" applyAlignment="1" applyProtection="1">
      <alignment horizontal="center"/>
      <protection locked="0"/>
    </xf>
    <xf numFmtId="2" fontId="5" fillId="3" borderId="6" xfId="0" applyNumberFormat="1" applyFont="1" applyFill="1" applyBorder="1" applyAlignment="1" applyProtection="1">
      <alignment horizontal="center"/>
      <protection locked="0"/>
    </xf>
    <xf numFmtId="0" fontId="9" fillId="3" borderId="6" xfId="2" applyFill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 vertical="center" wrapText="1"/>
    </xf>
    <xf numFmtId="0" fontId="5" fillId="3" borderId="8" xfId="0" applyFont="1" applyFill="1" applyBorder="1"/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/>
    <xf numFmtId="164" fontId="5" fillId="3" borderId="1" xfId="0" applyNumberFormat="1" applyFont="1" applyFill="1" applyBorder="1"/>
    <xf numFmtId="0" fontId="6" fillId="3" borderId="1" xfId="0" applyFont="1" applyFill="1" applyBorder="1"/>
    <xf numFmtId="0" fontId="9" fillId="4" borderId="1" xfId="1" applyFill="1" applyBorder="1"/>
    <xf numFmtId="0" fontId="5" fillId="4" borderId="1" xfId="0" applyNumberFormat="1" applyFont="1" applyFill="1" applyBorder="1" applyProtection="1">
      <protection locked="0"/>
    </xf>
    <xf numFmtId="0" fontId="5" fillId="4" borderId="1" xfId="0" applyNumberFormat="1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14" fontId="5" fillId="4" borderId="1" xfId="0" applyNumberFormat="1" applyFont="1" applyFill="1" applyBorder="1" applyAlignment="1" applyProtection="1">
      <alignment horizontal="center"/>
      <protection locked="0"/>
    </xf>
    <xf numFmtId="2" fontId="5" fillId="4" borderId="1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</xf>
    <xf numFmtId="2" fontId="5" fillId="4" borderId="1" xfId="0" applyNumberFormat="1" applyFont="1" applyFill="1" applyBorder="1" applyAlignment="1" applyProtection="1">
      <alignment horizontal="center"/>
    </xf>
    <xf numFmtId="2" fontId="5" fillId="4" borderId="1" xfId="0" applyNumberFormat="1" applyFont="1" applyFill="1" applyBorder="1" applyAlignment="1">
      <alignment horizontal="center"/>
    </xf>
    <xf numFmtId="0" fontId="5" fillId="4" borderId="8" xfId="0" applyFont="1" applyFill="1" applyBorder="1"/>
    <xf numFmtId="0" fontId="5" fillId="4" borderId="1" xfId="0" applyFont="1" applyFill="1" applyBorder="1"/>
    <xf numFmtId="164" fontId="5" fillId="4" borderId="1" xfId="0" applyNumberFormat="1" applyFont="1" applyFill="1" applyBorder="1"/>
    <xf numFmtId="0" fontId="5" fillId="4" borderId="0" xfId="0" applyFont="1" applyFill="1"/>
    <xf numFmtId="14" fontId="5" fillId="4" borderId="1" xfId="0" applyNumberFormat="1" applyFont="1" applyFill="1" applyBorder="1" applyAlignment="1">
      <alignment horizontal="center"/>
    </xf>
    <xf numFmtId="0" fontId="6" fillId="4" borderId="1" xfId="0" applyFont="1" applyFill="1" applyBorder="1"/>
    <xf numFmtId="0" fontId="9" fillId="4" borderId="1" xfId="2" applyFill="1" applyBorder="1"/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 applyProtection="1">
      <alignment vertical="center" wrapText="1"/>
    </xf>
    <xf numFmtId="0" fontId="11" fillId="3" borderId="8" xfId="0" applyFont="1" applyFill="1" applyBorder="1" applyAlignment="1" applyProtection="1">
      <alignment vertical="center" wrapText="1"/>
    </xf>
    <xf numFmtId="0" fontId="11" fillId="3" borderId="9" xfId="0" applyFont="1" applyFill="1" applyBorder="1" applyAlignment="1" applyProtection="1">
      <alignment vertical="center" wrapText="1"/>
    </xf>
    <xf numFmtId="0" fontId="8" fillId="3" borderId="1" xfId="0" applyFont="1" applyFill="1" applyBorder="1" applyAlignment="1" applyProtection="1">
      <alignment horizontal="center"/>
    </xf>
    <xf numFmtId="0" fontId="8" fillId="4" borderId="1" xfId="0" applyFont="1" applyFill="1" applyBorder="1" applyAlignment="1" applyProtection="1">
      <alignment horizontal="center"/>
    </xf>
    <xf numFmtId="0" fontId="5" fillId="0" borderId="8" xfId="0" applyFont="1" applyBorder="1" applyAlignment="1">
      <alignment horizontal="center" vertical="center" wrapText="1"/>
    </xf>
    <xf numFmtId="0" fontId="2" fillId="5" borderId="1" xfId="1" applyFont="1" applyFill="1" applyBorder="1"/>
    <xf numFmtId="0" fontId="5" fillId="5" borderId="1" xfId="0" applyNumberFormat="1" applyFont="1" applyFill="1" applyBorder="1" applyProtection="1">
      <protection locked="0"/>
    </xf>
    <xf numFmtId="0" fontId="5" fillId="5" borderId="1" xfId="0" applyNumberFormat="1" applyFont="1" applyFill="1" applyBorder="1" applyAlignment="1" applyProtection="1">
      <alignment horizontal="center"/>
      <protection locked="0"/>
    </xf>
    <xf numFmtId="0" fontId="5" fillId="5" borderId="1" xfId="0" applyFont="1" applyFill="1" applyBorder="1" applyAlignment="1" applyProtection="1">
      <alignment horizontal="center"/>
      <protection locked="0"/>
    </xf>
    <xf numFmtId="14" fontId="5" fillId="5" borderId="1" xfId="0" applyNumberFormat="1" applyFont="1" applyFill="1" applyBorder="1" applyAlignment="1" applyProtection="1">
      <alignment horizontal="center"/>
      <protection locked="0"/>
    </xf>
    <xf numFmtId="14" fontId="5" fillId="5" borderId="1" xfId="0" applyNumberFormat="1" applyFont="1" applyFill="1" applyBorder="1" applyAlignment="1">
      <alignment horizontal="center"/>
    </xf>
    <xf numFmtId="2" fontId="5" fillId="5" borderId="1" xfId="0" applyNumberFormat="1" applyFont="1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</xf>
    <xf numFmtId="2" fontId="5" fillId="5" borderId="1" xfId="0" applyNumberFormat="1" applyFont="1" applyFill="1" applyBorder="1" applyAlignment="1" applyProtection="1">
      <alignment horizontal="center"/>
    </xf>
    <xf numFmtId="2" fontId="5" fillId="5" borderId="1" xfId="0" applyNumberFormat="1" applyFont="1" applyFill="1" applyBorder="1" applyAlignment="1">
      <alignment horizontal="center"/>
    </xf>
    <xf numFmtId="0" fontId="5" fillId="5" borderId="8" xfId="0" applyFont="1" applyFill="1" applyBorder="1"/>
    <xf numFmtId="164" fontId="5" fillId="5" borderId="1" xfId="0" applyNumberFormat="1" applyFont="1" applyFill="1" applyBorder="1"/>
    <xf numFmtId="0" fontId="5" fillId="5" borderId="1" xfId="0" applyFont="1" applyFill="1" applyBorder="1"/>
    <xf numFmtId="0" fontId="5" fillId="5" borderId="1" xfId="0" applyFont="1" applyFill="1" applyBorder="1" applyAlignment="1">
      <alignment horizontal="center" vertical="center"/>
    </xf>
    <xf numFmtId="0" fontId="5" fillId="5" borderId="0" xfId="0" applyFont="1" applyFill="1"/>
    <xf numFmtId="0" fontId="3" fillId="5" borderId="1" xfId="1" applyFont="1" applyFill="1" applyBorder="1"/>
    <xf numFmtId="164" fontId="5" fillId="5" borderId="8" xfId="0" applyNumberFormat="1" applyFont="1" applyFill="1" applyBorder="1"/>
    <xf numFmtId="0" fontId="9" fillId="5" borderId="1" xfId="1" applyFill="1" applyBorder="1"/>
    <xf numFmtId="0" fontId="5" fillId="5" borderId="1" xfId="0" applyFont="1" applyFill="1" applyBorder="1" applyAlignment="1">
      <alignment horizontal="center"/>
    </xf>
    <xf numFmtId="0" fontId="9" fillId="5" borderId="1" xfId="2" applyFill="1" applyBorder="1"/>
    <xf numFmtId="14" fontId="5" fillId="5" borderId="1" xfId="0" applyNumberFormat="1" applyFont="1" applyFill="1" applyBorder="1" applyAlignment="1">
      <alignment horizontal="center" vertical="center"/>
    </xf>
    <xf numFmtId="14" fontId="5" fillId="5" borderId="1" xfId="0" applyNumberFormat="1" applyFont="1" applyFill="1" applyBorder="1"/>
    <xf numFmtId="0" fontId="5" fillId="5" borderId="1" xfId="0" applyNumberFormat="1" applyFont="1" applyFill="1" applyBorder="1"/>
    <xf numFmtId="0" fontId="12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 applyProtection="1">
      <alignment horizont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right"/>
    </xf>
    <xf numFmtId="0" fontId="5" fillId="5" borderId="0" xfId="0" applyFont="1" applyFill="1" applyAlignment="1">
      <alignment horizontal="center" vertical="center"/>
    </xf>
    <xf numFmtId="0" fontId="7" fillId="5" borderId="4" xfId="0" applyFont="1" applyFill="1" applyBorder="1" applyAlignment="1">
      <alignment horizontal="center"/>
    </xf>
    <xf numFmtId="2" fontId="7" fillId="5" borderId="4" xfId="0" applyNumberFormat="1" applyFont="1" applyFill="1" applyBorder="1" applyAlignment="1">
      <alignment horizontal="center"/>
    </xf>
    <xf numFmtId="2" fontId="5" fillId="0" borderId="4" xfId="0" applyNumberFormat="1" applyFont="1" applyBorder="1" applyAlignment="1">
      <alignment horizontal="center"/>
    </xf>
    <xf numFmtId="49" fontId="5" fillId="5" borderId="1" xfId="0" applyNumberFormat="1" applyFont="1" applyFill="1" applyBorder="1" applyProtection="1">
      <protection locked="0"/>
    </xf>
    <xf numFmtId="49" fontId="5" fillId="5" borderId="1" xfId="0" applyNumberFormat="1" applyFont="1" applyFill="1" applyBorder="1"/>
    <xf numFmtId="14" fontId="12" fillId="5" borderId="1" xfId="0" applyNumberFormat="1" applyFont="1" applyFill="1" applyBorder="1" applyAlignment="1">
      <alignment horizontal="center"/>
    </xf>
    <xf numFmtId="14" fontId="12" fillId="5" borderId="1" xfId="0" applyNumberFormat="1" applyFont="1" applyFill="1" applyBorder="1" applyAlignment="1" applyProtection="1">
      <alignment horizontal="center"/>
      <protection locked="0"/>
    </xf>
    <xf numFmtId="14" fontId="13" fillId="5" borderId="1" xfId="0" applyNumberFormat="1" applyFont="1" applyFill="1" applyBorder="1" applyAlignment="1">
      <alignment horizontal="center"/>
    </xf>
    <xf numFmtId="14" fontId="13" fillId="3" borderId="1" xfId="0" applyNumberFormat="1" applyFont="1" applyFill="1" applyBorder="1" applyAlignment="1">
      <alignment horizontal="center"/>
    </xf>
    <xf numFmtId="164" fontId="5" fillId="3" borderId="8" xfId="0" applyNumberFormat="1" applyFont="1" applyFill="1" applyBorder="1"/>
    <xf numFmtId="49" fontId="5" fillId="3" borderId="1" xfId="0" applyNumberFormat="1" applyFont="1" applyFill="1" applyBorder="1" applyProtection="1">
      <protection locked="0"/>
    </xf>
    <xf numFmtId="14" fontId="12" fillId="3" borderId="1" xfId="0" applyNumberFormat="1" applyFont="1" applyFill="1" applyBorder="1" applyAlignment="1">
      <alignment horizontal="center"/>
    </xf>
    <xf numFmtId="0" fontId="1" fillId="3" borderId="1" xfId="1" applyFont="1" applyFill="1" applyBorder="1"/>
    <xf numFmtId="14" fontId="5" fillId="0" borderId="1" xfId="0" applyNumberFormat="1" applyFont="1" applyBorder="1" applyAlignment="1">
      <alignment horizontal="center"/>
    </xf>
    <xf numFmtId="14" fontId="14" fillId="5" borderId="1" xfId="0" applyNumberFormat="1" applyFont="1" applyFill="1" applyBorder="1" applyAlignment="1" applyProtection="1">
      <alignment horizontal="center"/>
      <protection locked="0"/>
    </xf>
    <xf numFmtId="14" fontId="14" fillId="5" borderId="1" xfId="0" applyNumberFormat="1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 vertical="center"/>
    </xf>
    <xf numFmtId="164" fontId="12" fillId="5" borderId="1" xfId="0" applyNumberFormat="1" applyFont="1" applyFill="1" applyBorder="1"/>
    <xf numFmtId="0" fontId="12" fillId="5" borderId="0" xfId="0" applyFont="1" applyFill="1"/>
    <xf numFmtId="0" fontId="12" fillId="0" borderId="0" xfId="0" applyFont="1"/>
    <xf numFmtId="164" fontId="12" fillId="3" borderId="1" xfId="0" applyNumberFormat="1" applyFont="1" applyFill="1" applyBorder="1"/>
    <xf numFmtId="0" fontId="7" fillId="5" borderId="8" xfId="0" applyFont="1" applyFill="1" applyBorder="1"/>
    <xf numFmtId="0" fontId="5" fillId="6" borderId="0" xfId="0" applyFont="1" applyFill="1"/>
    <xf numFmtId="0" fontId="5" fillId="7" borderId="0" xfId="0" applyFont="1" applyFill="1"/>
    <xf numFmtId="0" fontId="5" fillId="7" borderId="1" xfId="0" applyFont="1" applyFill="1" applyBorder="1"/>
    <xf numFmtId="0" fontId="5" fillId="6" borderId="1" xfId="0" applyFont="1" applyFill="1" applyBorder="1"/>
    <xf numFmtId="10" fontId="5" fillId="8" borderId="1" xfId="0" applyNumberFormat="1" applyFont="1" applyFill="1" applyBorder="1"/>
    <xf numFmtId="10" fontId="5" fillId="8" borderId="1" xfId="4" applyNumberFormat="1" applyFont="1" applyFill="1" applyBorder="1"/>
    <xf numFmtId="0" fontId="5" fillId="8" borderId="1" xfId="0" applyFont="1" applyFill="1" applyBorder="1"/>
    <xf numFmtId="164" fontId="5" fillId="8" borderId="1" xfId="0" applyNumberFormat="1" applyFont="1" applyFill="1" applyBorder="1"/>
    <xf numFmtId="0" fontId="5" fillId="8" borderId="1" xfId="0" applyFont="1" applyFill="1" applyBorder="1" applyAlignment="1">
      <alignment horizontal="center"/>
    </xf>
    <xf numFmtId="2" fontId="7" fillId="0" borderId="7" xfId="0" applyNumberFormat="1" applyFont="1" applyFill="1" applyBorder="1" applyAlignment="1">
      <alignment horizontal="center"/>
    </xf>
    <xf numFmtId="2" fontId="7" fillId="5" borderId="7" xfId="0" applyNumberFormat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 applyProtection="1">
      <alignment horizontal="center"/>
      <protection locked="0"/>
    </xf>
    <xf numFmtId="49" fontId="4" fillId="0" borderId="5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49" fontId="5" fillId="0" borderId="0" xfId="0" applyNumberFormat="1" applyFont="1" applyAlignment="1">
      <alignment horizontal="center"/>
    </xf>
    <xf numFmtId="0" fontId="5" fillId="7" borderId="10" xfId="0" applyFont="1" applyFill="1" applyBorder="1"/>
    <xf numFmtId="0" fontId="5" fillId="6" borderId="10" xfId="0" applyFont="1" applyFill="1" applyBorder="1"/>
    <xf numFmtId="0" fontId="5" fillId="8" borderId="10" xfId="0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7" fillId="0" borderId="4" xfId="0" applyFont="1" applyFill="1" applyBorder="1" applyAlignment="1">
      <alignment horizontal="right" wrapText="1"/>
    </xf>
    <xf numFmtId="0" fontId="7" fillId="0" borderId="4" xfId="0" applyFont="1" applyFill="1" applyBorder="1" applyAlignment="1">
      <alignment horizontal="right"/>
    </xf>
    <xf numFmtId="0" fontId="4" fillId="0" borderId="7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0" fontId="7" fillId="0" borderId="7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right" wrapText="1"/>
    </xf>
    <xf numFmtId="0" fontId="7" fillId="0" borderId="3" xfId="0" applyFont="1" applyFill="1" applyBorder="1" applyAlignment="1">
      <alignment horizontal="right" wrapText="1"/>
    </xf>
    <xf numFmtId="44" fontId="5" fillId="5" borderId="0" xfId="5" applyFont="1" applyFill="1"/>
    <xf numFmtId="0" fontId="5" fillId="5" borderId="0" xfId="4" applyNumberFormat="1" applyFont="1" applyFill="1"/>
    <xf numFmtId="44" fontId="5" fillId="5" borderId="0" xfId="0" applyNumberFormat="1" applyFont="1" applyFill="1"/>
    <xf numFmtId="0" fontId="5" fillId="5" borderId="0" xfId="5" applyNumberFormat="1" applyFont="1" applyFill="1"/>
    <xf numFmtId="0" fontId="5" fillId="3" borderId="0" xfId="5" applyNumberFormat="1" applyFont="1" applyFill="1"/>
    <xf numFmtId="44" fontId="5" fillId="3" borderId="0" xfId="5" applyFont="1" applyFill="1"/>
  </cellXfs>
  <cellStyles count="6">
    <cellStyle name="Euro" xfId="3"/>
    <cellStyle name="Monétaire" xfId="5" builtinId="4"/>
    <cellStyle name="Normal" xfId="0" builtinId="0"/>
    <cellStyle name="Normal 2" xfId="1"/>
    <cellStyle name="Normal 3" xfId="2"/>
    <cellStyle name="Pourcentag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AV86"/>
  <sheetViews>
    <sheetView showGridLines="0" tabSelected="1" topLeftCell="A11" workbookViewId="0">
      <pane xSplit="1" topLeftCell="B1" activePane="topRight" state="frozen"/>
      <selection pane="topRight" activeCell="AT33" sqref="AT33"/>
    </sheetView>
  </sheetViews>
  <sheetFormatPr baseColWidth="10" defaultRowHeight="12.75" x14ac:dyDescent="0.2"/>
  <cols>
    <col min="1" max="1" width="16.85546875" style="1" customWidth="1"/>
    <col min="2" max="2" width="13.42578125" style="1" customWidth="1"/>
    <col min="3" max="3" width="16.42578125" style="1" customWidth="1"/>
    <col min="4" max="4" width="5.7109375" style="2" customWidth="1"/>
    <col min="5" max="5" width="8.140625" style="174" customWidth="1"/>
    <col min="6" max="6" width="16.140625" style="2" customWidth="1"/>
    <col min="7" max="8" width="9.140625" style="2" customWidth="1"/>
    <col min="9" max="9" width="15.5703125" style="17" customWidth="1"/>
    <col min="10" max="10" width="8.7109375" style="17" customWidth="1"/>
    <col min="11" max="11" width="7.85546875" style="17" customWidth="1"/>
    <col min="12" max="12" width="8.5703125" style="17" customWidth="1"/>
    <col min="13" max="13" width="9.140625" style="17" customWidth="1"/>
    <col min="14" max="14" width="40.28515625" style="1" hidden="1" customWidth="1"/>
    <col min="15" max="15" width="19.42578125" style="55" hidden="1" customWidth="1"/>
    <col min="16" max="16" width="15" style="55" hidden="1" customWidth="1"/>
    <col min="17" max="25" width="11.42578125" style="1" hidden="1" customWidth="1"/>
    <col min="26" max="26" width="11.140625" style="1" hidden="1" customWidth="1"/>
    <col min="27" max="27" width="11.42578125" style="1" hidden="1" customWidth="1"/>
    <col min="28" max="28" width="14.42578125" style="1" hidden="1" customWidth="1"/>
    <col min="29" max="34" width="11.42578125" style="1" hidden="1" customWidth="1"/>
    <col min="35" max="35" width="15.28515625" style="1" hidden="1" customWidth="1"/>
    <col min="36" max="36" width="11.42578125" style="1" hidden="1" customWidth="1"/>
    <col min="37" max="39" width="9.7109375" style="1" hidden="1" customWidth="1"/>
    <col min="40" max="40" width="10.7109375" style="1" hidden="1" customWidth="1"/>
    <col min="41" max="42" width="10.42578125" style="1" hidden="1" customWidth="1"/>
    <col min="43" max="43" width="10.42578125" style="1" customWidth="1"/>
    <col min="44" max="44" width="0" style="1" hidden="1" customWidth="1"/>
    <col min="45" max="16384" width="11.42578125" style="1"/>
  </cols>
  <sheetData>
    <row r="1" spans="1:48" ht="16.5" thickBot="1" x14ac:dyDescent="0.3">
      <c r="A1" s="182" t="s">
        <v>124</v>
      </c>
      <c r="B1" s="183"/>
      <c r="C1" s="183"/>
      <c r="D1" s="183"/>
      <c r="E1" s="184"/>
      <c r="F1" s="183"/>
      <c r="G1" s="183"/>
      <c r="H1" s="183"/>
      <c r="I1" s="183"/>
      <c r="J1" s="183"/>
      <c r="K1" s="183"/>
      <c r="L1" s="183"/>
      <c r="M1" s="185"/>
    </row>
    <row r="2" spans="1:48" s="25" customFormat="1" ht="16.5" thickBot="1" x14ac:dyDescent="0.3">
      <c r="A2" s="23"/>
      <c r="B2" s="23"/>
      <c r="C2" s="23"/>
      <c r="D2" s="23"/>
      <c r="E2" s="169"/>
      <c r="F2" s="38"/>
      <c r="G2" s="38"/>
      <c r="H2" s="24"/>
      <c r="I2" s="24"/>
      <c r="J2" s="24"/>
      <c r="K2" s="24"/>
      <c r="L2" s="24"/>
      <c r="M2" s="24"/>
      <c r="N2" s="150" t="s">
        <v>126</v>
      </c>
      <c r="O2" s="150" t="s">
        <v>131</v>
      </c>
      <c r="P2" s="167" t="s">
        <v>140</v>
      </c>
      <c r="AQ2" s="25" t="s">
        <v>143</v>
      </c>
      <c r="AU2" s="25">
        <v>15</v>
      </c>
    </row>
    <row r="3" spans="1:48" ht="13.5" thickBot="1" x14ac:dyDescent="0.25">
      <c r="A3" s="28" t="s">
        <v>32</v>
      </c>
      <c r="B3" s="29" t="s">
        <v>31</v>
      </c>
      <c r="C3" s="30"/>
      <c r="D3" s="31"/>
      <c r="E3" s="178"/>
      <c r="F3" s="179"/>
      <c r="G3" s="19"/>
      <c r="H3" s="186" t="s">
        <v>20</v>
      </c>
      <c r="I3" s="187"/>
      <c r="J3" s="26"/>
      <c r="K3" s="26"/>
      <c r="L3" s="26"/>
      <c r="M3" s="27" t="e">
        <f>SUM(M13:M602)</f>
        <v>#REF!</v>
      </c>
      <c r="N3" s="27">
        <f>SUBTOTAL(9,N4:N10)</f>
        <v>375123.23899999994</v>
      </c>
      <c r="O3" s="27">
        <f>SUBTOTAL(9,O4:O10)</f>
        <v>182377.06167759199</v>
      </c>
      <c r="P3" s="27">
        <f>SUBTOTAL(9,P4:P10)</f>
        <v>557500.30067759193</v>
      </c>
      <c r="AQ3" s="1" t="s">
        <v>144</v>
      </c>
      <c r="AU3" s="1">
        <v>2000</v>
      </c>
    </row>
    <row r="4" spans="1:48" ht="13.5" thickBot="1" x14ac:dyDescent="0.25">
      <c r="A4" s="20" t="s">
        <v>0</v>
      </c>
      <c r="B4" s="32">
        <f ca="1">TODAY()</f>
        <v>42672</v>
      </c>
      <c r="C4" s="33"/>
      <c r="D4" s="34"/>
      <c r="E4" s="178"/>
      <c r="F4" s="179"/>
      <c r="G4" s="19"/>
      <c r="H4" s="181" t="s">
        <v>51</v>
      </c>
      <c r="I4" s="181"/>
      <c r="J4" s="29"/>
      <c r="K4" s="29"/>
      <c r="L4" s="29"/>
      <c r="M4" s="27">
        <f>SUMIFS(M13:M85,C13:C85,"Délégué à la Tutelle")</f>
        <v>5.9452054794520537</v>
      </c>
      <c r="N4" s="27">
        <f>SUMIFS(AC13:AC85,$C$13:$C$85,"Délégué à la Tutelle")</f>
        <v>155040.62400000001</v>
      </c>
      <c r="O4" s="165">
        <f>SUMIFS(AR13:AR85,$C$13:$C$85,"Délégué à la Tutelle")</f>
        <v>82987.066323323248</v>
      </c>
      <c r="P4" s="27">
        <f>N4+O4</f>
        <v>238027.69032332324</v>
      </c>
    </row>
    <row r="5" spans="1:48" ht="13.5" thickBot="1" x14ac:dyDescent="0.25">
      <c r="A5" s="20" t="s">
        <v>48</v>
      </c>
      <c r="B5" s="35">
        <v>42370</v>
      </c>
      <c r="C5" s="36"/>
      <c r="D5" s="37"/>
      <c r="E5" s="178"/>
      <c r="F5" s="179"/>
      <c r="G5" s="19"/>
      <c r="H5" s="180" t="s">
        <v>117</v>
      </c>
      <c r="I5" s="181"/>
      <c r="J5" s="29"/>
      <c r="K5" s="29"/>
      <c r="L5" s="29"/>
      <c r="M5" s="27">
        <f>SUMIFS(M13:M85,C13:C85,"Agent administratif")</f>
        <v>3.0136986301369859</v>
      </c>
      <c r="N5" s="27">
        <f>SUMIFS(AC13:AC85,$C$13:$C$85,"Agent administratif")</f>
        <v>71265.50499999999</v>
      </c>
      <c r="O5" s="165">
        <f>SUMIFS(AR13:AR85,$C$13:$C$85,"Agent administratif")</f>
        <v>30674.157065995707</v>
      </c>
      <c r="P5" s="27">
        <f t="shared" ref="P5:P10" si="0">N5+O5</f>
        <v>101939.6620659957</v>
      </c>
      <c r="AL5" s="157"/>
      <c r="AM5" s="1" t="s">
        <v>136</v>
      </c>
    </row>
    <row r="6" spans="1:48" ht="13.5" thickBot="1" x14ac:dyDescent="0.25">
      <c r="A6" s="20" t="s">
        <v>49</v>
      </c>
      <c r="B6" s="35">
        <v>42735</v>
      </c>
      <c r="C6" s="36"/>
      <c r="D6" s="37"/>
      <c r="E6" s="178" t="s">
        <v>119</v>
      </c>
      <c r="F6" s="179"/>
      <c r="G6" s="19">
        <f>M4</f>
        <v>5.9452054794520537</v>
      </c>
      <c r="H6" s="180" t="s">
        <v>115</v>
      </c>
      <c r="I6" s="181"/>
      <c r="J6" s="136"/>
      <c r="K6" s="136"/>
      <c r="L6" s="136"/>
      <c r="M6" s="27">
        <f>SUMIFS(M13:M85,C13:C85,"Comptable")</f>
        <v>2</v>
      </c>
      <c r="N6" s="27">
        <f>SUMIFS(AC13:AC85,$C$13:$C$85,"Comptable")</f>
        <v>58252.659999999996</v>
      </c>
      <c r="O6" s="165">
        <f>SUMIFS(AR13:AR85,$C$13:$C$85,"Comptable")</f>
        <v>19388.892770032078</v>
      </c>
      <c r="P6" s="27">
        <f t="shared" si="0"/>
        <v>77641.552770032082</v>
      </c>
      <c r="AL6" s="89"/>
      <c r="AM6" s="1" t="s">
        <v>137</v>
      </c>
    </row>
    <row r="7" spans="1:48" ht="13.5" thickBot="1" x14ac:dyDescent="0.25">
      <c r="A7" s="20" t="s">
        <v>133</v>
      </c>
      <c r="B7" s="37">
        <v>42643</v>
      </c>
      <c r="C7" s="36"/>
      <c r="D7" s="37"/>
      <c r="E7" s="178" t="s">
        <v>120</v>
      </c>
      <c r="F7" s="179"/>
      <c r="G7" s="19" t="e">
        <f>SUM(M5:M10)</f>
        <v>#REF!</v>
      </c>
      <c r="H7" s="180" t="s">
        <v>116</v>
      </c>
      <c r="I7" s="181"/>
      <c r="J7" s="136"/>
      <c r="K7" s="136"/>
      <c r="L7" s="136"/>
      <c r="M7" s="27">
        <f>SUMIFS(M13:M85,C13:C85,"Assistante de Direction")</f>
        <v>1</v>
      </c>
      <c r="N7" s="27">
        <f>SUMIFS(AC13:AC85,$C$13:$C$85,"Assistante de Direction")</f>
        <v>24172.47</v>
      </c>
      <c r="O7" s="165">
        <f>SUMIFS(AR13:AR85,$C$13:$C$85,"Assistante de Direction")</f>
        <v>6749.8718028812345</v>
      </c>
      <c r="P7" s="27">
        <f t="shared" si="0"/>
        <v>30922.341802881238</v>
      </c>
      <c r="AL7" s="156"/>
      <c r="AM7" s="1" t="s">
        <v>138</v>
      </c>
    </row>
    <row r="8" spans="1:48" ht="12" customHeight="1" thickBot="1" x14ac:dyDescent="0.25">
      <c r="A8" s="20"/>
      <c r="B8" s="37"/>
      <c r="C8" s="36"/>
      <c r="D8" s="37"/>
      <c r="E8" s="178"/>
      <c r="F8" s="179"/>
      <c r="G8" s="19"/>
      <c r="H8" s="190" t="s">
        <v>111</v>
      </c>
      <c r="I8" s="191"/>
      <c r="J8" s="29"/>
      <c r="K8" s="29"/>
      <c r="L8" s="29"/>
      <c r="M8" s="27">
        <f>SUMIFS(M12:M84,C12:C84,"Direction")</f>
        <v>0.55342465753424652</v>
      </c>
      <c r="N8" s="27">
        <f>SUMIFS(AC13:AC85,$C$13:$C$85,"Direction")</f>
        <v>33855</v>
      </c>
      <c r="O8" s="165">
        <f>SUMIFS(AR13:AR85,$C$13:$C$85,"Direction")</f>
        <v>30516.263924126251</v>
      </c>
      <c r="P8" s="27">
        <f t="shared" si="0"/>
        <v>64371.263924126251</v>
      </c>
    </row>
    <row r="9" spans="1:48" ht="13.5" customHeight="1" thickBot="1" x14ac:dyDescent="0.25">
      <c r="A9" s="20"/>
      <c r="B9" s="37"/>
      <c r="C9" s="36"/>
      <c r="D9" s="37"/>
      <c r="E9" s="178"/>
      <c r="F9" s="179"/>
      <c r="G9" s="19"/>
      <c r="H9" s="188" t="s">
        <v>118</v>
      </c>
      <c r="I9" s="189"/>
      <c r="J9" s="29"/>
      <c r="K9" s="29"/>
      <c r="L9" s="29"/>
      <c r="M9" s="27" t="e">
        <f>SUMIFS(M12:M84,C12:C84,"Chef de Service")</f>
        <v>#REF!</v>
      </c>
      <c r="N9" s="27">
        <f>SUMIFS(AC13:AC85,$C$13:$C$85,"Chef de Service")</f>
        <v>32536.980000000007</v>
      </c>
      <c r="O9" s="165">
        <f>SUMIFS(AR13:AR85,$C$13:$C$85,"Chef de Service")</f>
        <v>12060.809791233482</v>
      </c>
      <c r="P9" s="27">
        <f t="shared" si="0"/>
        <v>44597.789791233488</v>
      </c>
    </row>
    <row r="10" spans="1:48" ht="13.5" thickBot="1" x14ac:dyDescent="0.25">
      <c r="A10" s="20"/>
      <c r="B10" s="20"/>
      <c r="C10" s="20"/>
      <c r="D10" s="21"/>
      <c r="E10" s="178"/>
      <c r="F10" s="179"/>
      <c r="G10" s="19"/>
      <c r="H10" s="188" t="s">
        <v>112</v>
      </c>
      <c r="I10" s="189"/>
      <c r="J10" s="134"/>
      <c r="K10" s="134"/>
      <c r="L10" s="134"/>
      <c r="M10" s="135">
        <f>SUMIFS(M12:M84,C12:C84,"Femme de ménages")</f>
        <v>0</v>
      </c>
      <c r="N10" s="135">
        <f>SUMIFS(AC13:AC85,$C$13:$C$85,"Femme de ménages")</f>
        <v>0</v>
      </c>
      <c r="O10" s="166">
        <f>SUMIFS(AR13:AR85,$C$13:$C$85,"Femme de ménages")</f>
        <v>0</v>
      </c>
      <c r="P10" s="27">
        <f t="shared" si="0"/>
        <v>0</v>
      </c>
    </row>
    <row r="11" spans="1:48" s="20" customFormat="1" ht="7.5" customHeight="1" x14ac:dyDescent="0.2">
      <c r="D11" s="21"/>
      <c r="E11" s="170"/>
      <c r="F11" s="18"/>
      <c r="G11" s="21"/>
      <c r="H11" s="21"/>
      <c r="I11" s="22"/>
      <c r="J11" s="22"/>
      <c r="K11" s="22"/>
      <c r="L11" s="22"/>
      <c r="M11" s="22"/>
      <c r="O11" s="56"/>
      <c r="P11" s="56"/>
    </row>
    <row r="12" spans="1:48" s="6" customFormat="1" ht="127.5" x14ac:dyDescent="0.2">
      <c r="A12" s="3" t="s">
        <v>1</v>
      </c>
      <c r="B12" s="3" t="s">
        <v>2</v>
      </c>
      <c r="C12" s="3" t="s">
        <v>3</v>
      </c>
      <c r="D12" s="3" t="s">
        <v>4</v>
      </c>
      <c r="E12" s="171" t="s">
        <v>5</v>
      </c>
      <c r="F12" s="3" t="s">
        <v>6</v>
      </c>
      <c r="G12" s="3" t="s">
        <v>7</v>
      </c>
      <c r="H12" s="3" t="s">
        <v>121</v>
      </c>
      <c r="I12" s="3" t="s">
        <v>37</v>
      </c>
      <c r="J12" s="4" t="s">
        <v>8</v>
      </c>
      <c r="K12" s="4" t="s">
        <v>9</v>
      </c>
      <c r="L12" s="4" t="s">
        <v>10</v>
      </c>
      <c r="M12" s="5" t="s">
        <v>11</v>
      </c>
      <c r="N12" s="71" t="s">
        <v>57</v>
      </c>
      <c r="O12" s="70" t="s">
        <v>87</v>
      </c>
      <c r="P12" s="70" t="s">
        <v>96</v>
      </c>
      <c r="Q12" s="69" t="s">
        <v>95</v>
      </c>
      <c r="R12" s="70" t="s">
        <v>97</v>
      </c>
      <c r="S12" s="98" t="s">
        <v>88</v>
      </c>
      <c r="T12" s="100" t="s">
        <v>102</v>
      </c>
      <c r="U12" s="101" t="s">
        <v>103</v>
      </c>
      <c r="V12" s="102" t="s">
        <v>104</v>
      </c>
      <c r="W12" s="99" t="s">
        <v>89</v>
      </c>
      <c r="X12" s="99" t="s">
        <v>90</v>
      </c>
      <c r="Y12" s="99" t="s">
        <v>91</v>
      </c>
      <c r="Z12" s="99" t="s">
        <v>92</v>
      </c>
      <c r="AA12" s="73" t="s">
        <v>78</v>
      </c>
      <c r="AB12" s="69"/>
      <c r="AC12" s="70" t="s">
        <v>125</v>
      </c>
      <c r="AD12" s="105" t="s">
        <v>105</v>
      </c>
      <c r="AE12" s="70" t="s">
        <v>108</v>
      </c>
      <c r="AF12" s="70" t="s">
        <v>110</v>
      </c>
      <c r="AG12" s="70" t="s">
        <v>107</v>
      </c>
      <c r="AH12" s="70" t="s">
        <v>106</v>
      </c>
      <c r="AI12" s="105" t="s">
        <v>109</v>
      </c>
      <c r="AJ12" s="70" t="s">
        <v>127</v>
      </c>
      <c r="AK12" s="70" t="s">
        <v>130</v>
      </c>
      <c r="AL12" s="70" t="s">
        <v>134</v>
      </c>
      <c r="AM12" s="70" t="s">
        <v>135</v>
      </c>
      <c r="AN12" s="70" t="s">
        <v>139</v>
      </c>
      <c r="AO12" s="70" t="s">
        <v>129</v>
      </c>
      <c r="AP12" s="70" t="s">
        <v>132</v>
      </c>
      <c r="AQ12" s="70" t="s">
        <v>141</v>
      </c>
      <c r="AR12" s="70" t="s">
        <v>142</v>
      </c>
    </row>
    <row r="13" spans="1:48" s="120" customFormat="1" ht="15" x14ac:dyDescent="0.25">
      <c r="A13" s="106"/>
      <c r="B13" s="107"/>
      <c r="C13" s="107"/>
      <c r="D13" s="108"/>
      <c r="E13" s="168" t="s">
        <v>15</v>
      </c>
      <c r="F13" s="109"/>
      <c r="G13" s="110"/>
      <c r="H13" s="111"/>
      <c r="I13" s="112"/>
      <c r="J13" s="113">
        <f t="shared" ref="J13:J44" si="1">IF(F13=$AB$16,0,IF(F13=$AB$17,0,IF(F13=$AB$14,0,1)))</f>
        <v>1</v>
      </c>
      <c r="K13" s="114">
        <f t="shared" ref="K13:K44" si="2">IF(AND(ISBLANK(H13),G13&lt;=$B$5),($B$6-$B$5)/($B$6-$B$5),IF(AND(ISBLANK(H13),G13&gt;$B$5,G13&lt;=$B$6),($B$6-G13)/($B$6-$B$5),IF(AND(H13&lt;=$B$6,H13&gt;$B$5,G13&lt;=$B$5),(H13-$B$5)/($B$6-$B$5),IF(AND(H13&lt;=$B$6,H13&gt;$B$5,G13&gt;$B$5),(H13-G13)/($B$6-$B$5),IF(AND(H13&gt;$B$6,G13&gt;$B$6),0,IF(AND(H13&gt;$B$6,G13&lt;=$B$6,G13&gt;$B$5),($B$6-G13)/($B$6-$B$5),IF(AND(H13&gt;$B$6,G13&lt;=$B$5),($B$6-$B$5)/($B$6-$B$5),0)))))))</f>
        <v>1</v>
      </c>
      <c r="L13" s="114">
        <f t="shared" ref="L13:L44" si="3">I13/151.67</f>
        <v>0</v>
      </c>
      <c r="M13" s="115">
        <f t="shared" ref="M13:M44" si="4">J13*K13*L13</f>
        <v>0</v>
      </c>
      <c r="N13" s="116"/>
      <c r="O13" s="117"/>
      <c r="P13" s="117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7"/>
      <c r="AB13" s="119"/>
      <c r="AC13" s="118"/>
      <c r="AD13" s="116"/>
      <c r="AE13" s="118"/>
      <c r="AF13" s="118"/>
      <c r="AG13" s="118"/>
      <c r="AH13" s="118"/>
      <c r="AI13" s="155" t="s">
        <v>128</v>
      </c>
      <c r="AJ13" s="118"/>
      <c r="AK13" s="118">
        <f>SUBTOTAL(9,AK14:AK64)</f>
        <v>137858.44999999998</v>
      </c>
      <c r="AL13" s="118"/>
      <c r="AM13" s="164">
        <f>SUBTOTAL(9,AM14:AM58)</f>
        <v>699.6594843662067</v>
      </c>
      <c r="AN13" s="160">
        <f>SUM(AN14:AN58)</f>
        <v>0.99999999999999967</v>
      </c>
      <c r="AO13" s="118">
        <v>162307.21</v>
      </c>
      <c r="AP13" s="162">
        <f>SUBTOTAL(9,AP14:AP85)</f>
        <v>3909.0162900000005</v>
      </c>
      <c r="AQ13" s="118">
        <f>AU3</f>
        <v>2000</v>
      </c>
      <c r="AR13" s="162">
        <f>SUBTOTAL(9,AR14:AR58)</f>
        <v>182377.06167759199</v>
      </c>
      <c r="AS13" s="195"/>
      <c r="AT13" s="195"/>
      <c r="AU13" s="194"/>
    </row>
    <row r="14" spans="1:48" s="120" customFormat="1" ht="15" x14ac:dyDescent="0.25">
      <c r="A14" s="121"/>
      <c r="B14" s="107"/>
      <c r="C14" s="137" t="s">
        <v>30</v>
      </c>
      <c r="D14" s="108" t="s">
        <v>12</v>
      </c>
      <c r="E14" s="168" t="s">
        <v>15</v>
      </c>
      <c r="F14" s="109"/>
      <c r="G14" s="110">
        <v>42533</v>
      </c>
      <c r="H14" s="140"/>
      <c r="I14" s="112">
        <v>151.66999999999999</v>
      </c>
      <c r="J14" s="113">
        <f t="shared" si="1"/>
        <v>1</v>
      </c>
      <c r="K14" s="114">
        <f t="shared" si="2"/>
        <v>0.55342465753424652</v>
      </c>
      <c r="L14" s="114">
        <f t="shared" si="3"/>
        <v>1</v>
      </c>
      <c r="M14" s="115">
        <f t="shared" si="4"/>
        <v>0.55342465753424652</v>
      </c>
      <c r="N14" s="116"/>
      <c r="O14" s="119">
        <v>2</v>
      </c>
      <c r="P14" s="119"/>
      <c r="Q14" s="118"/>
      <c r="R14" s="118"/>
      <c r="S14" s="119" t="s">
        <v>93</v>
      </c>
      <c r="T14" s="119"/>
      <c r="U14" s="119"/>
      <c r="V14" s="119"/>
      <c r="W14" s="118" t="s">
        <v>93</v>
      </c>
      <c r="X14" s="118"/>
      <c r="Y14" s="118"/>
      <c r="Z14" s="118"/>
      <c r="AA14" s="117">
        <v>15.9</v>
      </c>
      <c r="AB14" s="118" t="s">
        <v>16</v>
      </c>
      <c r="AC14" s="151">
        <v>33855</v>
      </c>
      <c r="AD14" s="122">
        <v>5000</v>
      </c>
      <c r="AE14" s="118">
        <v>4040.1239999999998</v>
      </c>
      <c r="AF14" s="118">
        <v>5000</v>
      </c>
      <c r="AG14" s="117">
        <f>AD14*12</f>
        <v>60000</v>
      </c>
      <c r="AH14" s="118">
        <v>0</v>
      </c>
      <c r="AI14" s="116"/>
      <c r="AJ14" s="118">
        <v>1479.811867281875</v>
      </c>
      <c r="AK14" s="118">
        <v>13607.920000000002</v>
      </c>
      <c r="AL14" s="159">
        <f>DATEDIF(G14,$B$7,"d")</f>
        <v>110</v>
      </c>
      <c r="AM14" s="164">
        <f>(AK14/AL14)</f>
        <v>123.70836363636366</v>
      </c>
      <c r="AN14" s="161">
        <f>AM14/$AM$13</f>
        <v>0.17681224424253475</v>
      </c>
      <c r="AO14" s="162">
        <f>$AO$13*AN14</f>
        <v>28697.902056844378</v>
      </c>
      <c r="AP14" s="163">
        <f>IF(E14="CDD",AC14*0.02,IF(E14="CDI",AC14*0.01))</f>
        <v>338.55</v>
      </c>
      <c r="AQ14" s="163"/>
      <c r="AR14" s="163">
        <f>AO14+AJ14+AP14+AQ14</f>
        <v>30516.263924126251</v>
      </c>
      <c r="AS14" s="193"/>
      <c r="AT14" s="193"/>
    </row>
    <row r="15" spans="1:48" s="89" customFormat="1" ht="15" hidden="1" x14ac:dyDescent="0.25">
      <c r="A15" s="77" t="s">
        <v>21</v>
      </c>
      <c r="B15" s="78" t="s">
        <v>22</v>
      </c>
      <c r="C15" s="78" t="s">
        <v>33</v>
      </c>
      <c r="D15" s="79" t="s">
        <v>12</v>
      </c>
      <c r="E15" s="79" t="s">
        <v>15</v>
      </c>
      <c r="F15" s="80"/>
      <c r="G15" s="81">
        <v>39234</v>
      </c>
      <c r="H15" s="90">
        <v>41807</v>
      </c>
      <c r="I15" s="82">
        <v>85.17</v>
      </c>
      <c r="J15" s="83">
        <f t="shared" si="1"/>
        <v>1</v>
      </c>
      <c r="K15" s="84">
        <f t="shared" si="2"/>
        <v>0</v>
      </c>
      <c r="L15" s="84">
        <f t="shared" si="3"/>
        <v>0.5615480978440035</v>
      </c>
      <c r="M15" s="85">
        <f t="shared" si="4"/>
        <v>0</v>
      </c>
      <c r="O15" s="94">
        <v>4</v>
      </c>
      <c r="P15" s="94"/>
      <c r="Q15" s="87"/>
      <c r="R15" s="87"/>
      <c r="S15" s="94" t="s">
        <v>94</v>
      </c>
      <c r="T15" s="94"/>
      <c r="U15" s="94"/>
      <c r="V15" s="94"/>
      <c r="W15" s="87"/>
      <c r="X15" s="87"/>
      <c r="Y15" s="87"/>
      <c r="Z15" s="87"/>
      <c r="AA15" s="88">
        <v>15.9</v>
      </c>
      <c r="AB15" s="87" t="s">
        <v>17</v>
      </c>
      <c r="AE15" s="87">
        <v>1307.4731999999999</v>
      </c>
      <c r="AF15" s="87">
        <v>1329.74</v>
      </c>
      <c r="AG15" s="87"/>
      <c r="AH15" s="87"/>
      <c r="AI15" s="87"/>
      <c r="AP15" s="89">
        <f t="shared" ref="AP15:AP56" si="5">IF(E15="CDD",AC15*0.02,IF(E15="CDI",AC15*0.01))</f>
        <v>0</v>
      </c>
    </row>
    <row r="16" spans="1:48" s="120" customFormat="1" ht="15" x14ac:dyDescent="0.25">
      <c r="A16" s="123"/>
      <c r="B16" s="107"/>
      <c r="C16" s="137" t="s">
        <v>34</v>
      </c>
      <c r="D16" s="108" t="s">
        <v>12</v>
      </c>
      <c r="E16" s="168" t="s">
        <v>15</v>
      </c>
      <c r="F16" s="109"/>
      <c r="G16" s="110">
        <v>39121</v>
      </c>
      <c r="H16" s="124"/>
      <c r="I16" s="112">
        <v>151.66999999999999</v>
      </c>
      <c r="J16" s="113">
        <f t="shared" si="1"/>
        <v>1</v>
      </c>
      <c r="K16" s="114">
        <f t="shared" si="2"/>
        <v>1</v>
      </c>
      <c r="L16" s="114">
        <f t="shared" si="3"/>
        <v>1</v>
      </c>
      <c r="M16" s="115">
        <f t="shared" si="4"/>
        <v>1</v>
      </c>
      <c r="N16" s="116"/>
      <c r="O16" s="119">
        <v>3</v>
      </c>
      <c r="P16" s="119"/>
      <c r="Q16" s="118"/>
      <c r="R16" s="118"/>
      <c r="S16" s="119" t="s">
        <v>94</v>
      </c>
      <c r="T16" s="119"/>
      <c r="U16" s="119"/>
      <c r="V16" s="119"/>
      <c r="W16" s="118"/>
      <c r="X16" s="118"/>
      <c r="Y16" s="118"/>
      <c r="Z16" s="118"/>
      <c r="AA16" s="117">
        <v>15.9</v>
      </c>
      <c r="AB16" s="118" t="s">
        <v>14</v>
      </c>
      <c r="AC16" s="151">
        <v>27396.189999999995</v>
      </c>
      <c r="AD16" s="122">
        <v>2144.7199999999998</v>
      </c>
      <c r="AE16" s="118">
        <v>2179.1219999999998</v>
      </c>
      <c r="AF16" s="118">
        <v>2216.2399999999998</v>
      </c>
      <c r="AG16" s="118">
        <f t="shared" ref="AG16:AG51" si="6">AD16*12</f>
        <v>25736.639999999999</v>
      </c>
      <c r="AH16" s="118">
        <v>0</v>
      </c>
      <c r="AI16" s="116"/>
      <c r="AJ16" s="118">
        <v>1132.7395500382308</v>
      </c>
      <c r="AK16" s="118">
        <v>7877.3799999999992</v>
      </c>
      <c r="AL16" s="158">
        <f>DATEDIF($B$5,$B$7,"d")</f>
        <v>273</v>
      </c>
      <c r="AM16" s="164">
        <f>(AK16/AL16)</f>
        <v>28.854871794871791</v>
      </c>
      <c r="AN16" s="161">
        <f>AM16/$AM$13</f>
        <v>4.1241307292518521E-2</v>
      </c>
      <c r="AO16" s="162">
        <f>$AO$13*AN16</f>
        <v>6693.7615234013347</v>
      </c>
      <c r="AP16" s="163">
        <f t="shared" si="5"/>
        <v>273.96189999999996</v>
      </c>
      <c r="AQ16" s="163">
        <f>IF(H16/100&lt;=0,(($AQ$13/SUMIF($H$16:$H$85,"",$M$16:$M$85)))*M16)</f>
        <v>187.70892260221137</v>
      </c>
      <c r="AR16" s="163">
        <f>AO16+AJ16+AP16+AQ16</f>
        <v>8288.1718960417766</v>
      </c>
      <c r="AS16" s="195"/>
      <c r="AT16" s="192"/>
      <c r="AU16" s="192"/>
      <c r="AV16" s="192"/>
    </row>
    <row r="17" spans="1:48" s="120" customFormat="1" ht="15" x14ac:dyDescent="0.25">
      <c r="A17" s="123"/>
      <c r="B17" s="107"/>
      <c r="C17" s="137" t="s">
        <v>34</v>
      </c>
      <c r="D17" s="108" t="s">
        <v>19</v>
      </c>
      <c r="E17" s="168" t="s">
        <v>15</v>
      </c>
      <c r="F17" s="109"/>
      <c r="G17" s="110">
        <v>37923</v>
      </c>
      <c r="H17" s="124"/>
      <c r="I17" s="112">
        <v>151.66999999999999</v>
      </c>
      <c r="J17" s="113">
        <f t="shared" si="1"/>
        <v>1</v>
      </c>
      <c r="K17" s="114">
        <f t="shared" si="2"/>
        <v>1</v>
      </c>
      <c r="L17" s="114">
        <f t="shared" si="3"/>
        <v>1</v>
      </c>
      <c r="M17" s="115">
        <f t="shared" si="4"/>
        <v>1</v>
      </c>
      <c r="N17" s="116"/>
      <c r="O17" s="119">
        <v>3</v>
      </c>
      <c r="P17" s="119"/>
      <c r="Q17" s="118"/>
      <c r="R17" s="118"/>
      <c r="S17" s="119" t="s">
        <v>93</v>
      </c>
      <c r="T17" s="119"/>
      <c r="U17" s="119"/>
      <c r="V17" s="119"/>
      <c r="W17" s="118"/>
      <c r="X17" s="118"/>
      <c r="Y17" s="118"/>
      <c r="Z17" s="118"/>
      <c r="AA17" s="117">
        <v>15.9</v>
      </c>
      <c r="AB17" s="118" t="s">
        <v>18</v>
      </c>
      <c r="AC17" s="151">
        <v>30856.47</v>
      </c>
      <c r="AD17" s="122">
        <v>2490.4639999999999</v>
      </c>
      <c r="AE17" s="118">
        <v>2290.4639999999999</v>
      </c>
      <c r="AF17" s="118">
        <v>2516.9699999999998</v>
      </c>
      <c r="AG17" s="118">
        <f t="shared" si="6"/>
        <v>29885.567999999999</v>
      </c>
      <c r="AH17" s="118">
        <v>147.54</v>
      </c>
      <c r="AI17" s="116"/>
      <c r="AJ17" s="118">
        <v>1332.2715419353506</v>
      </c>
      <c r="AK17" s="118">
        <v>10911.720000000001</v>
      </c>
      <c r="AL17" s="158">
        <f>DATEDIF($B$5,$B$7,"d")</f>
        <v>273</v>
      </c>
      <c r="AM17" s="164">
        <f>(AK17/AL17)</f>
        <v>39.969670329670336</v>
      </c>
      <c r="AN17" s="161">
        <f>AM17/$AM$13</f>
        <v>5.7127318678281407E-2</v>
      </c>
      <c r="AO17" s="162">
        <f>$AO$13*AN17</f>
        <v>9272.175709452742</v>
      </c>
      <c r="AP17" s="163">
        <f t="shared" si="5"/>
        <v>308.56470000000002</v>
      </c>
      <c r="AQ17" s="163">
        <f t="shared" ref="AQ17:AQ18" si="7">IF(H17/100&lt;=0,(($AQ$13/SUMIF($H$16:$H$85,"",$M$16:$M$85)))*M17)</f>
        <v>187.70892260221137</v>
      </c>
      <c r="AR17" s="163">
        <f>AO17+AJ17+AP17+AQ17</f>
        <v>11100.720873990304</v>
      </c>
      <c r="AS17" s="195"/>
      <c r="AT17" s="192"/>
      <c r="AU17" s="192"/>
      <c r="AV17" s="192"/>
    </row>
    <row r="18" spans="1:48" s="50" customFormat="1" ht="15" x14ac:dyDescent="0.25">
      <c r="A18" s="146"/>
      <c r="B18" s="40"/>
      <c r="C18" s="40" t="s">
        <v>35</v>
      </c>
      <c r="D18" s="41" t="s">
        <v>12</v>
      </c>
      <c r="E18" s="172" t="s">
        <v>15</v>
      </c>
      <c r="F18" s="42"/>
      <c r="G18" s="43">
        <v>42705</v>
      </c>
      <c r="H18" s="142"/>
      <c r="I18" s="45">
        <v>151.66999999999999</v>
      </c>
      <c r="J18" s="46">
        <f t="shared" si="1"/>
        <v>1</v>
      </c>
      <c r="K18" s="47">
        <f t="shared" si="2"/>
        <v>8.2191780821917804E-2</v>
      </c>
      <c r="L18" s="47">
        <f t="shared" si="3"/>
        <v>1</v>
      </c>
      <c r="M18" s="48">
        <f t="shared" si="4"/>
        <v>8.2191780821917804E-2</v>
      </c>
      <c r="N18" s="72"/>
      <c r="O18" s="93">
        <v>4</v>
      </c>
      <c r="P18" s="93"/>
      <c r="Q18" s="49"/>
      <c r="R18" s="49"/>
      <c r="S18" s="93" t="s">
        <v>94</v>
      </c>
      <c r="T18" s="93"/>
      <c r="U18" s="93"/>
      <c r="V18" s="93"/>
      <c r="W18" s="49"/>
      <c r="X18" s="49"/>
      <c r="Y18" s="49"/>
      <c r="Z18" s="49"/>
      <c r="AA18" s="75"/>
      <c r="AB18" s="49"/>
      <c r="AC18" s="154">
        <v>1718.9550000000002</v>
      </c>
      <c r="AD18" s="143">
        <v>1982.9479999999999</v>
      </c>
      <c r="AE18" s="49">
        <v>1982.9479999999999</v>
      </c>
      <c r="AF18" s="49">
        <v>2004.1559999999999</v>
      </c>
      <c r="AG18" s="49">
        <f t="shared" si="6"/>
        <v>23795.375999999997</v>
      </c>
      <c r="AH18" s="49">
        <v>327.05</v>
      </c>
      <c r="AI18" s="72"/>
      <c r="AJ18" s="49">
        <v>31.253231690113875</v>
      </c>
      <c r="AK18" s="49">
        <v>6483.35</v>
      </c>
      <c r="AL18" s="158">
        <f>DATEDIF($B$5,$B$7,"d")</f>
        <v>273</v>
      </c>
      <c r="AM18" s="164">
        <f>(AK18/AL18)</f>
        <v>23.748534798534799</v>
      </c>
      <c r="AN18" s="161">
        <f>AM18/$AM$13</f>
        <v>3.3942989881781759E-2</v>
      </c>
      <c r="AO18" s="162">
        <f>$AO$13*AN18</f>
        <v>5509.1919867702272</v>
      </c>
      <c r="AP18" s="163">
        <f t="shared" si="5"/>
        <v>17.189550000000001</v>
      </c>
      <c r="AQ18" s="163">
        <f t="shared" si="7"/>
        <v>15.428130624839291</v>
      </c>
      <c r="AR18" s="163">
        <f>AO18+AJ18+AP18+AQ18</f>
        <v>5573.062899085181</v>
      </c>
      <c r="AS18" s="196"/>
      <c r="AT18" s="197"/>
      <c r="AU18" s="197"/>
      <c r="AV18" s="197"/>
    </row>
    <row r="19" spans="1:48" s="89" customFormat="1" ht="15" hidden="1" x14ac:dyDescent="0.25">
      <c r="A19" s="77" t="s">
        <v>23</v>
      </c>
      <c r="B19" s="78" t="s">
        <v>27</v>
      </c>
      <c r="C19" s="78" t="s">
        <v>35</v>
      </c>
      <c r="D19" s="79" t="s">
        <v>12</v>
      </c>
      <c r="E19" s="79" t="s">
        <v>15</v>
      </c>
      <c r="F19" s="80"/>
      <c r="G19" s="81">
        <v>38643</v>
      </c>
      <c r="H19" s="90">
        <v>41311</v>
      </c>
      <c r="I19" s="82">
        <v>0</v>
      </c>
      <c r="J19" s="83">
        <f t="shared" si="1"/>
        <v>1</v>
      </c>
      <c r="K19" s="84">
        <f t="shared" si="2"/>
        <v>0</v>
      </c>
      <c r="L19" s="84">
        <f t="shared" si="3"/>
        <v>0</v>
      </c>
      <c r="M19" s="85">
        <f t="shared" si="4"/>
        <v>0</v>
      </c>
      <c r="N19" s="86" t="s">
        <v>82</v>
      </c>
      <c r="O19" s="94">
        <v>4</v>
      </c>
      <c r="P19" s="94"/>
      <c r="Q19" s="87"/>
      <c r="R19" s="87"/>
      <c r="S19" s="94" t="s">
        <v>94</v>
      </c>
      <c r="T19" s="94"/>
      <c r="U19" s="94"/>
      <c r="V19" s="94"/>
      <c r="W19" s="87"/>
      <c r="X19" s="87"/>
      <c r="Y19" s="87"/>
      <c r="Z19" s="87"/>
      <c r="AA19" s="88"/>
      <c r="AB19" s="91"/>
      <c r="AG19" s="89">
        <f t="shared" si="6"/>
        <v>0</v>
      </c>
      <c r="AP19" s="89">
        <f t="shared" si="5"/>
        <v>0</v>
      </c>
    </row>
    <row r="20" spans="1:48" s="120" customFormat="1" ht="15" x14ac:dyDescent="0.25">
      <c r="A20" s="123"/>
      <c r="B20" s="107"/>
      <c r="C20" s="137" t="s">
        <v>35</v>
      </c>
      <c r="D20" s="108" t="s">
        <v>12</v>
      </c>
      <c r="E20" s="168" t="s">
        <v>15</v>
      </c>
      <c r="F20" s="109"/>
      <c r="G20" s="110">
        <v>40910</v>
      </c>
      <c r="H20" s="124"/>
      <c r="I20" s="112">
        <v>151.66999999999999</v>
      </c>
      <c r="J20" s="113">
        <f t="shared" si="1"/>
        <v>1</v>
      </c>
      <c r="K20" s="114">
        <f t="shared" si="2"/>
        <v>1</v>
      </c>
      <c r="L20" s="114">
        <f t="shared" si="3"/>
        <v>1</v>
      </c>
      <c r="M20" s="115">
        <f t="shared" si="4"/>
        <v>1</v>
      </c>
      <c r="N20" s="116"/>
      <c r="O20" s="119">
        <v>5</v>
      </c>
      <c r="P20" s="119"/>
      <c r="Q20" s="118"/>
      <c r="R20" s="118"/>
      <c r="S20" s="119" t="s">
        <v>94</v>
      </c>
      <c r="T20" s="119"/>
      <c r="U20" s="119"/>
      <c r="V20" s="119"/>
      <c r="W20" s="118"/>
      <c r="X20" s="118"/>
      <c r="Y20" s="118"/>
      <c r="Z20" s="118"/>
      <c r="AA20" s="117">
        <v>15.9</v>
      </c>
      <c r="AB20" s="118"/>
      <c r="AC20" s="151">
        <v>23285.52</v>
      </c>
      <c r="AD20" s="122">
        <v>1940.46</v>
      </c>
      <c r="AE20" s="118">
        <v>1754.9619999999998</v>
      </c>
      <c r="AF20" s="118">
        <v>1940.46</v>
      </c>
      <c r="AG20" s="118">
        <f t="shared" si="6"/>
        <v>23285.52</v>
      </c>
      <c r="AH20" s="118">
        <v>147.54</v>
      </c>
      <c r="AI20" s="116"/>
      <c r="AJ20" s="118">
        <v>895.70376879170374</v>
      </c>
      <c r="AK20" s="118">
        <v>6483.35</v>
      </c>
      <c r="AL20" s="158">
        <f>DATEDIF($B$5,$B$7,"d")</f>
        <v>273</v>
      </c>
      <c r="AM20" s="164">
        <f>(AK20/AL20)</f>
        <v>23.748534798534799</v>
      </c>
      <c r="AN20" s="161">
        <f>AM20/$AM$13</f>
        <v>3.3942989881781759E-2</v>
      </c>
      <c r="AO20" s="162">
        <f>$AO$13*AN20</f>
        <v>5509.1919867702272</v>
      </c>
      <c r="AP20" s="163">
        <f t="shared" si="5"/>
        <v>232.8552</v>
      </c>
      <c r="AQ20" s="163">
        <f>IF(H20/100&lt;=0,(($AQ$13/SUMIF($H$16:$H$85,"",$M$16:$M$85)))*M20)</f>
        <v>187.70892260221137</v>
      </c>
      <c r="AR20" s="163">
        <f>AO20+AJ20+AP20+AQ20</f>
        <v>6825.4598781641425</v>
      </c>
      <c r="AS20" s="195"/>
      <c r="AT20" s="192"/>
      <c r="AU20" s="192"/>
      <c r="AV20" s="192"/>
    </row>
    <row r="21" spans="1:48" s="50" customFormat="1" ht="15" hidden="1" x14ac:dyDescent="0.25">
      <c r="A21" s="54" t="s">
        <v>24</v>
      </c>
      <c r="B21" s="40" t="s">
        <v>25</v>
      </c>
      <c r="C21" s="144" t="s">
        <v>36</v>
      </c>
      <c r="D21" s="41" t="s">
        <v>12</v>
      </c>
      <c r="E21" s="41" t="s">
        <v>15</v>
      </c>
      <c r="F21" s="42"/>
      <c r="G21" s="43">
        <v>39668</v>
      </c>
      <c r="H21" s="145">
        <v>42157</v>
      </c>
      <c r="I21" s="45">
        <v>17.489999999999998</v>
      </c>
      <c r="J21" s="46">
        <f t="shared" si="1"/>
        <v>1</v>
      </c>
      <c r="K21" s="47">
        <f t="shared" si="2"/>
        <v>0</v>
      </c>
      <c r="L21" s="47">
        <f t="shared" si="3"/>
        <v>0.11531614689787037</v>
      </c>
      <c r="M21" s="48">
        <f t="shared" si="4"/>
        <v>0</v>
      </c>
      <c r="N21" s="72" t="s">
        <v>122</v>
      </c>
      <c r="O21" s="93">
        <v>6</v>
      </c>
      <c r="P21" s="93"/>
      <c r="Q21" s="49"/>
      <c r="R21" s="49"/>
      <c r="S21" s="93" t="s">
        <v>94</v>
      </c>
      <c r="T21" s="93"/>
      <c r="U21" s="93"/>
      <c r="V21" s="93"/>
      <c r="W21" s="49"/>
      <c r="X21" s="49"/>
      <c r="Y21" s="49"/>
      <c r="Z21" s="49"/>
      <c r="AA21" s="75"/>
      <c r="AB21" s="49"/>
      <c r="AC21" s="75"/>
      <c r="AD21" s="143">
        <v>273.77999999999997</v>
      </c>
      <c r="AE21" s="49">
        <v>153.81288323333553</v>
      </c>
      <c r="AF21" s="49">
        <v>224.62</v>
      </c>
      <c r="AG21" s="49">
        <f t="shared" si="6"/>
        <v>3285.3599999999997</v>
      </c>
      <c r="AH21" s="49">
        <v>0</v>
      </c>
      <c r="AI21" s="49"/>
      <c r="AP21" s="50">
        <f t="shared" si="5"/>
        <v>0</v>
      </c>
    </row>
    <row r="22" spans="1:48" s="50" customFormat="1" ht="15" hidden="1" x14ac:dyDescent="0.25">
      <c r="A22" s="57" t="s">
        <v>26</v>
      </c>
      <c r="B22" s="53" t="s">
        <v>28</v>
      </c>
      <c r="C22" s="58" t="s">
        <v>35</v>
      </c>
      <c r="D22" s="59" t="s">
        <v>12</v>
      </c>
      <c r="E22" s="60" t="s">
        <v>15</v>
      </c>
      <c r="F22" s="61"/>
      <c r="G22" s="62">
        <v>40301</v>
      </c>
      <c r="H22" s="62">
        <v>40963</v>
      </c>
      <c r="I22" s="63">
        <v>151.66999999999999</v>
      </c>
      <c r="J22" s="64">
        <f t="shared" si="1"/>
        <v>1</v>
      </c>
      <c r="K22" s="65">
        <f t="shared" si="2"/>
        <v>0</v>
      </c>
      <c r="L22" s="65">
        <f t="shared" si="3"/>
        <v>1</v>
      </c>
      <c r="M22" s="63">
        <f t="shared" si="4"/>
        <v>0</v>
      </c>
      <c r="N22" s="58"/>
      <c r="AB22" s="51"/>
      <c r="AG22" s="50">
        <f t="shared" si="6"/>
        <v>0</v>
      </c>
      <c r="AP22" s="50">
        <f t="shared" si="5"/>
        <v>0</v>
      </c>
    </row>
    <row r="23" spans="1:48" s="50" customFormat="1" ht="15" hidden="1" x14ac:dyDescent="0.25">
      <c r="A23" s="54" t="s">
        <v>29</v>
      </c>
      <c r="B23" s="40" t="s">
        <v>77</v>
      </c>
      <c r="C23" s="40" t="s">
        <v>35</v>
      </c>
      <c r="D23" s="41" t="s">
        <v>12</v>
      </c>
      <c r="E23" s="41" t="s">
        <v>13</v>
      </c>
      <c r="F23" s="42"/>
      <c r="G23" s="43">
        <v>40819</v>
      </c>
      <c r="H23" s="44">
        <v>41517</v>
      </c>
      <c r="I23" s="45">
        <v>75.834999999999994</v>
      </c>
      <c r="J23" s="46">
        <f t="shared" si="1"/>
        <v>1</v>
      </c>
      <c r="K23" s="47">
        <f t="shared" si="2"/>
        <v>0</v>
      </c>
      <c r="L23" s="47">
        <f t="shared" si="3"/>
        <v>0.5</v>
      </c>
      <c r="M23" s="48">
        <f t="shared" si="4"/>
        <v>0</v>
      </c>
      <c r="N23" s="72" t="s">
        <v>80</v>
      </c>
      <c r="O23" s="93">
        <v>5</v>
      </c>
      <c r="P23" s="93"/>
      <c r="Q23" s="49"/>
      <c r="R23" s="49"/>
      <c r="S23" s="93" t="s">
        <v>94</v>
      </c>
      <c r="T23" s="93"/>
      <c r="U23" s="93"/>
      <c r="V23" s="93"/>
      <c r="W23" s="49"/>
      <c r="X23" s="49"/>
      <c r="Y23" s="49"/>
      <c r="Z23" s="49"/>
      <c r="AA23" s="75"/>
      <c r="AB23" s="76"/>
      <c r="AG23" s="50">
        <f t="shared" si="6"/>
        <v>0</v>
      </c>
      <c r="AP23" s="50">
        <f t="shared" si="5"/>
        <v>0</v>
      </c>
    </row>
    <row r="24" spans="1:48" s="50" customFormat="1" ht="15" hidden="1" x14ac:dyDescent="0.25">
      <c r="A24" s="57" t="s">
        <v>54</v>
      </c>
      <c r="B24" s="53"/>
      <c r="C24" s="53" t="s">
        <v>35</v>
      </c>
      <c r="D24" s="60" t="s">
        <v>19</v>
      </c>
      <c r="E24" s="60" t="s">
        <v>13</v>
      </c>
      <c r="F24" s="61" t="s">
        <v>17</v>
      </c>
      <c r="G24" s="66">
        <v>40969</v>
      </c>
      <c r="H24" s="66">
        <v>41274</v>
      </c>
      <c r="I24" s="67">
        <v>151.66999999999999</v>
      </c>
      <c r="J24" s="64">
        <f t="shared" si="1"/>
        <v>1</v>
      </c>
      <c r="K24" s="65">
        <f t="shared" si="2"/>
        <v>0</v>
      </c>
      <c r="L24" s="65">
        <f t="shared" si="3"/>
        <v>1</v>
      </c>
      <c r="M24" s="63">
        <f t="shared" si="4"/>
        <v>0</v>
      </c>
      <c r="N24" s="58" t="s">
        <v>59</v>
      </c>
      <c r="AB24" s="51"/>
      <c r="AG24" s="50">
        <f t="shared" si="6"/>
        <v>0</v>
      </c>
      <c r="AP24" s="50">
        <f t="shared" si="5"/>
        <v>0</v>
      </c>
    </row>
    <row r="25" spans="1:48" s="50" customFormat="1" ht="15" hidden="1" x14ac:dyDescent="0.25">
      <c r="A25" s="39" t="s">
        <v>56</v>
      </c>
      <c r="B25" s="40" t="s">
        <v>55</v>
      </c>
      <c r="C25" s="40" t="s">
        <v>47</v>
      </c>
      <c r="D25" s="41" t="s">
        <v>12</v>
      </c>
      <c r="E25" s="41" t="s">
        <v>15</v>
      </c>
      <c r="F25" s="42"/>
      <c r="G25" s="43">
        <v>41036</v>
      </c>
      <c r="H25" s="44">
        <v>41138</v>
      </c>
      <c r="I25" s="45">
        <v>151.66999999999999</v>
      </c>
      <c r="J25" s="46">
        <f t="shared" si="1"/>
        <v>1</v>
      </c>
      <c r="K25" s="47">
        <f t="shared" si="2"/>
        <v>0</v>
      </c>
      <c r="L25" s="47">
        <f t="shared" si="3"/>
        <v>1</v>
      </c>
      <c r="M25" s="48">
        <f t="shared" si="4"/>
        <v>0</v>
      </c>
      <c r="N25" s="49" t="s">
        <v>60</v>
      </c>
      <c r="AB25" s="51"/>
      <c r="AG25" s="50">
        <f t="shared" si="6"/>
        <v>0</v>
      </c>
      <c r="AP25" s="50">
        <f t="shared" si="5"/>
        <v>0</v>
      </c>
    </row>
    <row r="26" spans="1:48" s="120" customFormat="1" ht="15" x14ac:dyDescent="0.25">
      <c r="A26" s="125"/>
      <c r="B26" s="107"/>
      <c r="C26" s="137" t="s">
        <v>47</v>
      </c>
      <c r="D26" s="108" t="s">
        <v>12</v>
      </c>
      <c r="E26" s="168" t="s">
        <v>15</v>
      </c>
      <c r="F26" s="109"/>
      <c r="G26" s="110">
        <v>39995</v>
      </c>
      <c r="H26" s="148">
        <v>42649</v>
      </c>
      <c r="I26" s="112">
        <v>151.66999999999999</v>
      </c>
      <c r="J26" s="113">
        <f t="shared" si="1"/>
        <v>1</v>
      </c>
      <c r="K26" s="114">
        <f t="shared" si="2"/>
        <v>0.76438356164383559</v>
      </c>
      <c r="L26" s="114">
        <f t="shared" si="3"/>
        <v>1</v>
      </c>
      <c r="M26" s="115">
        <f t="shared" si="4"/>
        <v>0.76438356164383559</v>
      </c>
      <c r="N26" s="116"/>
      <c r="O26" s="119">
        <v>3</v>
      </c>
      <c r="P26" s="126">
        <v>40581</v>
      </c>
      <c r="Q26" s="127">
        <v>41089</v>
      </c>
      <c r="R26" s="128">
        <f>7*3</f>
        <v>21</v>
      </c>
      <c r="S26" s="119" t="s">
        <v>93</v>
      </c>
      <c r="T26" s="129" t="s">
        <v>93</v>
      </c>
      <c r="U26" s="119" t="s">
        <v>94</v>
      </c>
      <c r="V26" s="119" t="s">
        <v>94</v>
      </c>
      <c r="W26" s="118" t="s">
        <v>94</v>
      </c>
      <c r="X26" s="118" t="s">
        <v>94</v>
      </c>
      <c r="Y26" s="118" t="s">
        <v>93</v>
      </c>
      <c r="Z26" s="118" t="s">
        <v>94</v>
      </c>
      <c r="AA26" s="117"/>
      <c r="AB26" s="118"/>
      <c r="AC26" s="151">
        <v>22626.529999999995</v>
      </c>
      <c r="AD26" s="122">
        <v>2051.8739999999998</v>
      </c>
      <c r="AE26" s="118">
        <v>2051.8739999999998</v>
      </c>
      <c r="AF26" s="118">
        <v>2136.71</v>
      </c>
      <c r="AG26" s="118">
        <f t="shared" si="6"/>
        <v>24622.487999999998</v>
      </c>
      <c r="AH26" s="118">
        <v>147.53</v>
      </c>
      <c r="AI26" s="116"/>
      <c r="AJ26" s="118">
        <v>855.92602534481296</v>
      </c>
      <c r="AK26" s="118">
        <v>9735.6799999999967</v>
      </c>
      <c r="AL26" s="158">
        <f>DATEDIF($B$5,$B$7,"d")</f>
        <v>273</v>
      </c>
      <c r="AM26" s="164">
        <f>(AK26/AL26)</f>
        <v>35.661831501831493</v>
      </c>
      <c r="AN26" s="161">
        <f>AM26/$AM$13</f>
        <v>5.0970268107115142E-2</v>
      </c>
      <c r="AO26" s="162">
        <f>$AO$13*AN26</f>
        <v>8272.84200941784</v>
      </c>
      <c r="AP26" s="163">
        <f t="shared" si="5"/>
        <v>226.26529999999997</v>
      </c>
      <c r="AQ26" s="163" t="b">
        <f>IF(H26/100&lt;=0,(($AQ$13/SUMIF($H$16:$H$85,"",$M$16:$M$85)))*M26)</f>
        <v>0</v>
      </c>
      <c r="AR26" s="163">
        <f>AO26+AJ26+AP26+AQ26</f>
        <v>9355.0333347626529</v>
      </c>
      <c r="AS26" s="195"/>
      <c r="AT26" s="192"/>
      <c r="AU26" s="192"/>
      <c r="AV26" s="192"/>
    </row>
    <row r="27" spans="1:48" s="50" customFormat="1" ht="15" hidden="1" x14ac:dyDescent="0.25">
      <c r="A27" s="68" t="s">
        <v>38</v>
      </c>
      <c r="B27" s="53" t="s">
        <v>39</v>
      </c>
      <c r="C27" s="53" t="s">
        <v>47</v>
      </c>
      <c r="D27" s="60" t="s">
        <v>12</v>
      </c>
      <c r="E27" s="60" t="s">
        <v>15</v>
      </c>
      <c r="F27" s="61"/>
      <c r="G27" s="66">
        <v>40422</v>
      </c>
      <c r="H27" s="62">
        <v>41152</v>
      </c>
      <c r="I27" s="67">
        <v>151.66999999999999</v>
      </c>
      <c r="J27" s="64">
        <f t="shared" si="1"/>
        <v>1</v>
      </c>
      <c r="K27" s="65">
        <f t="shared" si="2"/>
        <v>0</v>
      </c>
      <c r="L27" s="65">
        <f t="shared" si="3"/>
        <v>1</v>
      </c>
      <c r="M27" s="63">
        <f t="shared" si="4"/>
        <v>0</v>
      </c>
      <c r="N27" s="58"/>
      <c r="AB27" s="51"/>
      <c r="AG27" s="50">
        <f t="shared" si="6"/>
        <v>0</v>
      </c>
      <c r="AP27" s="50">
        <f t="shared" si="5"/>
        <v>0</v>
      </c>
    </row>
    <row r="28" spans="1:48" s="120" customFormat="1" ht="15" x14ac:dyDescent="0.25">
      <c r="A28" s="125"/>
      <c r="B28" s="107"/>
      <c r="C28" s="137" t="s">
        <v>47</v>
      </c>
      <c r="D28" s="108" t="s">
        <v>12</v>
      </c>
      <c r="E28" s="168" t="s">
        <v>15</v>
      </c>
      <c r="F28" s="109"/>
      <c r="G28" s="110">
        <v>40452</v>
      </c>
      <c r="H28" s="149">
        <v>42647</v>
      </c>
      <c r="I28" s="112">
        <v>151.66999999999999</v>
      </c>
      <c r="J28" s="113">
        <f t="shared" si="1"/>
        <v>1</v>
      </c>
      <c r="K28" s="114">
        <f t="shared" si="2"/>
        <v>0.75890410958904109</v>
      </c>
      <c r="L28" s="114">
        <f t="shared" si="3"/>
        <v>1</v>
      </c>
      <c r="M28" s="115">
        <f t="shared" si="4"/>
        <v>0.75890410958904109</v>
      </c>
      <c r="N28" s="116"/>
      <c r="O28" s="119">
        <v>3</v>
      </c>
      <c r="P28" s="126">
        <v>40581</v>
      </c>
      <c r="Q28" s="118"/>
      <c r="R28" s="118"/>
      <c r="S28" s="119" t="s">
        <v>94</v>
      </c>
      <c r="T28" s="119" t="s">
        <v>94</v>
      </c>
      <c r="U28" s="129" t="s">
        <v>93</v>
      </c>
      <c r="V28" s="119" t="s">
        <v>94</v>
      </c>
      <c r="W28" s="118" t="s">
        <v>94</v>
      </c>
      <c r="X28" s="118" t="s">
        <v>94</v>
      </c>
      <c r="Y28" s="118" t="s">
        <v>94</v>
      </c>
      <c r="Z28" s="118" t="s">
        <v>93</v>
      </c>
      <c r="AA28" s="117">
        <v>15.9</v>
      </c>
      <c r="AB28" s="118"/>
      <c r="AC28" s="151">
        <v>23206.959999999999</v>
      </c>
      <c r="AD28" s="122">
        <v>2025.3639999999998</v>
      </c>
      <c r="AE28" s="118">
        <v>2025.3639999999998</v>
      </c>
      <c r="AF28" s="118">
        <v>2051.87</v>
      </c>
      <c r="AG28" s="118">
        <f t="shared" si="6"/>
        <v>24304.367999999999</v>
      </c>
      <c r="AH28" s="118">
        <v>147.54</v>
      </c>
      <c r="AI28" s="116"/>
      <c r="AJ28" s="118">
        <v>889.39567348220226</v>
      </c>
      <c r="AK28" s="118">
        <v>10972.400000000001</v>
      </c>
      <c r="AL28" s="158">
        <f>DATEDIF($B$5,$B$7,"d")</f>
        <v>273</v>
      </c>
      <c r="AM28" s="164">
        <f>(AK28/AL28)</f>
        <v>40.191941391941398</v>
      </c>
      <c r="AN28" s="161">
        <f>AM28/$AM$13</f>
        <v>5.7445003305214473E-2</v>
      </c>
      <c r="AO28" s="162">
        <f>$AO$13*AN28</f>
        <v>9323.7382149101395</v>
      </c>
      <c r="AP28" s="163">
        <f t="shared" si="5"/>
        <v>232.06960000000001</v>
      </c>
      <c r="AQ28" s="163" t="b">
        <f>IF(H28/100&lt;=0,(($AQ$13/SUMIF($H$16:$H$85,"",$M$16:$M$85)))*M28)</f>
        <v>0</v>
      </c>
      <c r="AR28" s="163">
        <f>AO28+AJ28+AP28+AQ28</f>
        <v>10445.203488392342</v>
      </c>
      <c r="AS28" s="195"/>
      <c r="AT28" s="192"/>
      <c r="AU28" s="192"/>
      <c r="AV28" s="192"/>
    </row>
    <row r="29" spans="1:48" s="89" customFormat="1" ht="15" hidden="1" x14ac:dyDescent="0.25">
      <c r="A29" s="92" t="s">
        <v>40</v>
      </c>
      <c r="B29" s="78" t="s">
        <v>41</v>
      </c>
      <c r="C29" s="78" t="s">
        <v>47</v>
      </c>
      <c r="D29" s="79" t="s">
        <v>19</v>
      </c>
      <c r="E29" s="79" t="s">
        <v>15</v>
      </c>
      <c r="F29" s="80"/>
      <c r="G29" s="81">
        <v>40969</v>
      </c>
      <c r="H29" s="90">
        <v>41278</v>
      </c>
      <c r="I29" s="82">
        <v>151.66999999999999</v>
      </c>
      <c r="J29" s="83">
        <f t="shared" si="1"/>
        <v>1</v>
      </c>
      <c r="K29" s="84">
        <f t="shared" si="2"/>
        <v>0</v>
      </c>
      <c r="L29" s="84">
        <f t="shared" si="3"/>
        <v>1</v>
      </c>
      <c r="M29" s="85">
        <f t="shared" si="4"/>
        <v>0</v>
      </c>
      <c r="N29" s="86" t="s">
        <v>81</v>
      </c>
      <c r="O29" s="94">
        <v>4</v>
      </c>
      <c r="P29" s="94"/>
      <c r="Q29" s="87"/>
      <c r="R29" s="87">
        <v>2</v>
      </c>
      <c r="S29" s="94" t="s">
        <v>94</v>
      </c>
      <c r="T29" s="94"/>
      <c r="U29" s="94"/>
      <c r="V29" s="94"/>
      <c r="W29" s="87" t="s">
        <v>94</v>
      </c>
      <c r="X29" s="87" t="s">
        <v>94</v>
      </c>
      <c r="Y29" s="87" t="s">
        <v>94</v>
      </c>
      <c r="Z29" s="87" t="s">
        <v>93</v>
      </c>
      <c r="AA29" s="88"/>
      <c r="AB29" s="91"/>
      <c r="AG29" s="89">
        <f t="shared" si="6"/>
        <v>0</v>
      </c>
      <c r="AP29" s="89">
        <f t="shared" si="5"/>
        <v>0</v>
      </c>
    </row>
    <row r="30" spans="1:48" s="50" customFormat="1" ht="15" hidden="1" x14ac:dyDescent="0.25">
      <c r="A30" s="39" t="s">
        <v>50</v>
      </c>
      <c r="B30" s="40" t="s">
        <v>42</v>
      </c>
      <c r="C30" s="40" t="s">
        <v>47</v>
      </c>
      <c r="D30" s="41" t="s">
        <v>12</v>
      </c>
      <c r="E30" s="41" t="s">
        <v>15</v>
      </c>
      <c r="F30" s="42"/>
      <c r="G30" s="43">
        <v>41030</v>
      </c>
      <c r="H30" s="44">
        <v>41333</v>
      </c>
      <c r="I30" s="45">
        <v>151.66999999999999</v>
      </c>
      <c r="J30" s="46">
        <f t="shared" si="1"/>
        <v>1</v>
      </c>
      <c r="K30" s="47">
        <f t="shared" si="2"/>
        <v>0</v>
      </c>
      <c r="L30" s="47">
        <f t="shared" si="3"/>
        <v>1</v>
      </c>
      <c r="M30" s="48">
        <f t="shared" si="4"/>
        <v>0</v>
      </c>
      <c r="N30" s="72"/>
      <c r="O30" s="93">
        <v>3</v>
      </c>
      <c r="P30" s="93"/>
      <c r="Q30" s="49"/>
      <c r="R30" s="49">
        <v>2</v>
      </c>
      <c r="S30" s="93" t="s">
        <v>94</v>
      </c>
      <c r="T30" s="93"/>
      <c r="U30" s="93"/>
      <c r="V30" s="93"/>
      <c r="W30" s="49" t="s">
        <v>94</v>
      </c>
      <c r="X30" s="49" t="s">
        <v>94</v>
      </c>
      <c r="Y30" s="49" t="s">
        <v>94</v>
      </c>
      <c r="Z30" s="49" t="s">
        <v>93</v>
      </c>
      <c r="AA30" s="75"/>
      <c r="AB30" s="76"/>
      <c r="AG30" s="50">
        <f t="shared" si="6"/>
        <v>0</v>
      </c>
      <c r="AP30" s="50">
        <f t="shared" si="5"/>
        <v>0</v>
      </c>
    </row>
    <row r="31" spans="1:48" s="50" customFormat="1" ht="15" hidden="1" x14ac:dyDescent="0.25">
      <c r="A31" s="68" t="s">
        <v>43</v>
      </c>
      <c r="B31" s="53" t="s">
        <v>44</v>
      </c>
      <c r="C31" s="53" t="s">
        <v>47</v>
      </c>
      <c r="D31" s="60" t="s">
        <v>12</v>
      </c>
      <c r="E31" s="60" t="s">
        <v>15</v>
      </c>
      <c r="F31" s="61"/>
      <c r="G31" s="66">
        <v>40805</v>
      </c>
      <c r="H31" s="62">
        <v>41180</v>
      </c>
      <c r="I31" s="67">
        <v>151.66999999999999</v>
      </c>
      <c r="J31" s="64">
        <f t="shared" si="1"/>
        <v>1</v>
      </c>
      <c r="K31" s="65">
        <f t="shared" si="2"/>
        <v>0</v>
      </c>
      <c r="L31" s="65">
        <f t="shared" si="3"/>
        <v>1</v>
      </c>
      <c r="M31" s="63">
        <f t="shared" si="4"/>
        <v>0</v>
      </c>
      <c r="N31" s="58"/>
      <c r="R31" s="50">
        <v>2</v>
      </c>
      <c r="AB31" s="51"/>
      <c r="AG31" s="50">
        <f t="shared" si="6"/>
        <v>0</v>
      </c>
      <c r="AP31" s="50">
        <f t="shared" si="5"/>
        <v>0</v>
      </c>
    </row>
    <row r="32" spans="1:48" s="50" customFormat="1" ht="15" hidden="1" x14ac:dyDescent="0.25">
      <c r="A32" s="39" t="s">
        <v>45</v>
      </c>
      <c r="B32" s="40" t="s">
        <v>46</v>
      </c>
      <c r="C32" s="40" t="s">
        <v>47</v>
      </c>
      <c r="D32" s="41" t="s">
        <v>12</v>
      </c>
      <c r="E32" s="41" t="s">
        <v>15</v>
      </c>
      <c r="F32" s="42"/>
      <c r="G32" s="44">
        <v>40807</v>
      </c>
      <c r="H32" s="44">
        <v>41029</v>
      </c>
      <c r="I32" s="48">
        <v>151.66999999999999</v>
      </c>
      <c r="J32" s="46">
        <f t="shared" si="1"/>
        <v>1</v>
      </c>
      <c r="K32" s="47">
        <f t="shared" si="2"/>
        <v>0</v>
      </c>
      <c r="L32" s="47">
        <f t="shared" si="3"/>
        <v>1</v>
      </c>
      <c r="M32" s="48">
        <f t="shared" si="4"/>
        <v>0</v>
      </c>
      <c r="N32" s="49"/>
      <c r="R32" s="50">
        <v>2</v>
      </c>
      <c r="AB32" s="51"/>
      <c r="AG32" s="50">
        <f t="shared" si="6"/>
        <v>0</v>
      </c>
      <c r="AP32" s="50">
        <f t="shared" si="5"/>
        <v>0</v>
      </c>
    </row>
    <row r="33" spans="1:48" s="120" customFormat="1" ht="15" x14ac:dyDescent="0.25">
      <c r="A33" s="125"/>
      <c r="B33" s="107"/>
      <c r="C33" s="137" t="s">
        <v>47</v>
      </c>
      <c r="D33" s="108" t="s">
        <v>19</v>
      </c>
      <c r="E33" s="168" t="s">
        <v>15</v>
      </c>
      <c r="F33" s="109"/>
      <c r="G33" s="110">
        <v>41281</v>
      </c>
      <c r="H33" s="111"/>
      <c r="I33" s="112">
        <v>151.66999999999999</v>
      </c>
      <c r="J33" s="113">
        <f t="shared" si="1"/>
        <v>1</v>
      </c>
      <c r="K33" s="114">
        <f t="shared" si="2"/>
        <v>1</v>
      </c>
      <c r="L33" s="114">
        <f t="shared" si="3"/>
        <v>1</v>
      </c>
      <c r="M33" s="115">
        <f t="shared" si="4"/>
        <v>1</v>
      </c>
      <c r="N33" s="116"/>
      <c r="O33" s="119">
        <v>4</v>
      </c>
      <c r="P33" s="126">
        <v>41323</v>
      </c>
      <c r="Q33" s="118"/>
      <c r="R33" s="118"/>
      <c r="S33" s="119" t="s">
        <v>94</v>
      </c>
      <c r="T33" s="119" t="s">
        <v>94</v>
      </c>
      <c r="U33" s="119" t="s">
        <v>94</v>
      </c>
      <c r="V33" s="119" t="s">
        <v>94</v>
      </c>
      <c r="W33" s="118" t="s">
        <v>94</v>
      </c>
      <c r="X33" s="118" t="s">
        <v>94</v>
      </c>
      <c r="Y33" s="118" t="s">
        <v>94</v>
      </c>
      <c r="Z33" s="118" t="s">
        <v>93</v>
      </c>
      <c r="AA33" s="117">
        <v>15.9</v>
      </c>
      <c r="AB33" s="118"/>
      <c r="AC33" s="151">
        <v>24681.195000000007</v>
      </c>
      <c r="AD33" s="122">
        <v>1972.3439999999998</v>
      </c>
      <c r="AE33" s="118">
        <v>1972.3439999999998</v>
      </c>
      <c r="AF33" s="118">
        <v>1998.85</v>
      </c>
      <c r="AG33" s="118">
        <f t="shared" si="6"/>
        <v>23668.127999999997</v>
      </c>
      <c r="AH33" s="118">
        <v>147.57</v>
      </c>
      <c r="AI33" s="116"/>
      <c r="AJ33" s="118">
        <v>965.51533141849336</v>
      </c>
      <c r="AK33" s="118">
        <v>7215.1399999999994</v>
      </c>
      <c r="AL33" s="158">
        <f>DATEDIF($B$5,$B$7,"d")</f>
        <v>273</v>
      </c>
      <c r="AM33" s="164">
        <f>(AK33/AL33)</f>
        <v>26.429084249084248</v>
      </c>
      <c r="AN33" s="161">
        <f>AM33/$AM$13</f>
        <v>3.7774209940175808E-2</v>
      </c>
      <c r="AO33" s="162">
        <f>$AO$13*AN33</f>
        <v>6131.0266253442023</v>
      </c>
      <c r="AP33" s="163">
        <f t="shared" si="5"/>
        <v>246.81195000000008</v>
      </c>
      <c r="AQ33" s="163">
        <f>IF(H33/100&lt;=0,(($AQ$13/SUMIF($H$16:$H$85,"",$M$16:$M$85)))*M33)</f>
        <v>187.70892260221137</v>
      </c>
      <c r="AR33" s="163">
        <f>AO33+AJ33+AP33+AQ33</f>
        <v>7531.0628293649079</v>
      </c>
      <c r="AS33" s="195"/>
      <c r="AT33" s="192"/>
      <c r="AU33" s="192"/>
      <c r="AV33" s="192"/>
    </row>
    <row r="34" spans="1:48" s="50" customFormat="1" hidden="1" x14ac:dyDescent="0.2">
      <c r="A34" s="53" t="s">
        <v>52</v>
      </c>
      <c r="B34" s="53" t="s">
        <v>53</v>
      </c>
      <c r="C34" s="53" t="s">
        <v>47</v>
      </c>
      <c r="D34" s="60" t="s">
        <v>19</v>
      </c>
      <c r="E34" s="60" t="s">
        <v>15</v>
      </c>
      <c r="F34" s="61" t="s">
        <v>14</v>
      </c>
      <c r="G34" s="66">
        <v>40924</v>
      </c>
      <c r="H34" s="62">
        <v>41030</v>
      </c>
      <c r="I34" s="67">
        <v>151.66999999999999</v>
      </c>
      <c r="J34" s="64">
        <f t="shared" si="1"/>
        <v>0</v>
      </c>
      <c r="K34" s="65">
        <f t="shared" si="2"/>
        <v>0</v>
      </c>
      <c r="L34" s="65">
        <f t="shared" si="3"/>
        <v>1</v>
      </c>
      <c r="M34" s="63">
        <f t="shared" si="4"/>
        <v>0</v>
      </c>
      <c r="N34" s="58" t="s">
        <v>58</v>
      </c>
      <c r="AB34" s="51"/>
      <c r="AG34" s="50">
        <f t="shared" si="6"/>
        <v>0</v>
      </c>
      <c r="AP34" s="50">
        <f t="shared" si="5"/>
        <v>0</v>
      </c>
    </row>
    <row r="35" spans="1:48" s="50" customFormat="1" hidden="1" x14ac:dyDescent="0.2">
      <c r="A35" s="40" t="s">
        <v>72</v>
      </c>
      <c r="B35" s="40" t="s">
        <v>62</v>
      </c>
      <c r="C35" s="40" t="s">
        <v>47</v>
      </c>
      <c r="D35" s="41" t="s">
        <v>12</v>
      </c>
      <c r="E35" s="41" t="s">
        <v>15</v>
      </c>
      <c r="F35" s="42"/>
      <c r="G35" s="43">
        <v>41155</v>
      </c>
      <c r="H35" s="44">
        <v>42002</v>
      </c>
      <c r="I35" s="45">
        <v>21.78</v>
      </c>
      <c r="J35" s="103">
        <f t="shared" si="1"/>
        <v>1</v>
      </c>
      <c r="K35" s="47">
        <f t="shared" si="2"/>
        <v>0</v>
      </c>
      <c r="L35" s="47">
        <f t="shared" si="3"/>
        <v>0.14360123953319709</v>
      </c>
      <c r="M35" s="48">
        <f t="shared" si="4"/>
        <v>0</v>
      </c>
      <c r="N35" s="72" t="s">
        <v>83</v>
      </c>
      <c r="O35" s="93">
        <v>4</v>
      </c>
      <c r="P35" s="93"/>
      <c r="Q35" s="49"/>
      <c r="R35" s="49"/>
      <c r="S35" s="93" t="s">
        <v>94</v>
      </c>
      <c r="T35" s="93" t="s">
        <v>94</v>
      </c>
      <c r="U35" s="93" t="s">
        <v>94</v>
      </c>
      <c r="V35" s="93" t="s">
        <v>94</v>
      </c>
      <c r="W35" s="49" t="s">
        <v>94</v>
      </c>
      <c r="X35" s="49" t="s">
        <v>94</v>
      </c>
      <c r="Y35" s="49" t="s">
        <v>94</v>
      </c>
      <c r="Z35" s="49" t="s">
        <v>93</v>
      </c>
      <c r="AA35" s="75">
        <v>15.9</v>
      </c>
      <c r="AB35" s="49"/>
      <c r="AE35" s="49">
        <v>1972.3439999999998</v>
      </c>
      <c r="AF35" s="49">
        <v>1998.85</v>
      </c>
      <c r="AG35" s="49">
        <f t="shared" si="6"/>
        <v>0</v>
      </c>
      <c r="AH35" s="49"/>
      <c r="AI35" s="49"/>
      <c r="AP35" s="50">
        <f t="shared" si="5"/>
        <v>0</v>
      </c>
    </row>
    <row r="36" spans="1:48" s="89" customFormat="1" hidden="1" x14ac:dyDescent="0.2">
      <c r="A36" s="78" t="s">
        <v>64</v>
      </c>
      <c r="B36" s="78" t="s">
        <v>63</v>
      </c>
      <c r="C36" s="78" t="s">
        <v>47</v>
      </c>
      <c r="D36" s="79" t="s">
        <v>12</v>
      </c>
      <c r="E36" s="79" t="s">
        <v>15</v>
      </c>
      <c r="F36" s="80"/>
      <c r="G36" s="81">
        <v>41148</v>
      </c>
      <c r="H36" s="90">
        <v>42002</v>
      </c>
      <c r="I36" s="82">
        <v>59.26</v>
      </c>
      <c r="J36" s="104">
        <f t="shared" si="1"/>
        <v>1</v>
      </c>
      <c r="K36" s="84">
        <f t="shared" si="2"/>
        <v>0</v>
      </c>
      <c r="L36" s="84">
        <f t="shared" si="3"/>
        <v>0.39071668754532868</v>
      </c>
      <c r="M36" s="85">
        <f t="shared" si="4"/>
        <v>0</v>
      </c>
      <c r="N36" s="86"/>
      <c r="O36" s="94">
        <v>4</v>
      </c>
      <c r="P36" s="96">
        <v>41323</v>
      </c>
      <c r="Q36" s="87"/>
      <c r="R36" s="87"/>
      <c r="S36" s="94" t="s">
        <v>94</v>
      </c>
      <c r="T36" s="94" t="s">
        <v>94</v>
      </c>
      <c r="U36" s="94" t="s">
        <v>93</v>
      </c>
      <c r="V36" s="94" t="s">
        <v>94</v>
      </c>
      <c r="W36" s="87" t="s">
        <v>94</v>
      </c>
      <c r="X36" s="87" t="s">
        <v>94</v>
      </c>
      <c r="Y36" s="87" t="s">
        <v>94</v>
      </c>
      <c r="Z36" s="87" t="s">
        <v>93</v>
      </c>
      <c r="AA36" s="88">
        <v>15.9</v>
      </c>
      <c r="AB36" s="87"/>
      <c r="AE36" s="87">
        <v>1972.3439999999998</v>
      </c>
      <c r="AF36" s="87">
        <v>1998.85</v>
      </c>
      <c r="AG36" s="87">
        <f t="shared" si="6"/>
        <v>0</v>
      </c>
      <c r="AH36" s="87"/>
      <c r="AI36" s="87"/>
      <c r="AP36" s="89">
        <f t="shared" si="5"/>
        <v>0</v>
      </c>
    </row>
    <row r="37" spans="1:48" s="50" customFormat="1" hidden="1" x14ac:dyDescent="0.2">
      <c r="A37" s="53" t="s">
        <v>65</v>
      </c>
      <c r="B37" s="53" t="s">
        <v>66</v>
      </c>
      <c r="C37" s="53" t="s">
        <v>47</v>
      </c>
      <c r="D37" s="60" t="s">
        <v>12</v>
      </c>
      <c r="E37" s="60" t="s">
        <v>15</v>
      </c>
      <c r="F37" s="61"/>
      <c r="G37" s="66">
        <v>40454</v>
      </c>
      <c r="H37" s="62">
        <v>41246</v>
      </c>
      <c r="I37" s="67">
        <v>151.66999999999999</v>
      </c>
      <c r="J37" s="64">
        <f t="shared" si="1"/>
        <v>1</v>
      </c>
      <c r="K37" s="65">
        <f t="shared" si="2"/>
        <v>0</v>
      </c>
      <c r="L37" s="65">
        <f t="shared" si="3"/>
        <v>1</v>
      </c>
      <c r="M37" s="63">
        <f t="shared" si="4"/>
        <v>0</v>
      </c>
      <c r="N37" s="58" t="s">
        <v>61</v>
      </c>
      <c r="AB37" s="51"/>
      <c r="AG37" s="50">
        <f t="shared" si="6"/>
        <v>0</v>
      </c>
      <c r="AP37" s="50">
        <f t="shared" si="5"/>
        <v>0</v>
      </c>
    </row>
    <row r="38" spans="1:48" s="50" customFormat="1" hidden="1" x14ac:dyDescent="0.2">
      <c r="A38" s="40" t="s">
        <v>67</v>
      </c>
      <c r="B38" s="40" t="s">
        <v>84</v>
      </c>
      <c r="C38" s="40" t="s">
        <v>35</v>
      </c>
      <c r="D38" s="41" t="s">
        <v>12</v>
      </c>
      <c r="E38" s="41" t="s">
        <v>15</v>
      </c>
      <c r="F38" s="42"/>
      <c r="G38" s="43">
        <v>41281</v>
      </c>
      <c r="H38" s="43">
        <v>41339</v>
      </c>
      <c r="I38" s="45">
        <v>83.5</v>
      </c>
      <c r="J38" s="46">
        <f t="shared" si="1"/>
        <v>1</v>
      </c>
      <c r="K38" s="47">
        <f t="shared" si="2"/>
        <v>0</v>
      </c>
      <c r="L38" s="47">
        <f t="shared" si="3"/>
        <v>0.55053735082745436</v>
      </c>
      <c r="M38" s="48">
        <f t="shared" si="4"/>
        <v>0</v>
      </c>
      <c r="N38" s="72" t="s">
        <v>61</v>
      </c>
      <c r="O38" s="93">
        <v>5</v>
      </c>
      <c r="P38" s="93"/>
      <c r="Q38" s="49"/>
      <c r="R38" s="49"/>
      <c r="S38" s="93" t="s">
        <v>94</v>
      </c>
      <c r="T38" s="93"/>
      <c r="U38" s="93"/>
      <c r="V38" s="93"/>
      <c r="W38" s="49"/>
      <c r="X38" s="49"/>
      <c r="Y38" s="49"/>
      <c r="Z38" s="49"/>
      <c r="AA38" s="75"/>
      <c r="AB38" s="76"/>
      <c r="AG38" s="50">
        <f t="shared" si="6"/>
        <v>0</v>
      </c>
      <c r="AP38" s="50">
        <f t="shared" si="5"/>
        <v>0</v>
      </c>
    </row>
    <row r="39" spans="1:48" s="50" customFormat="1" hidden="1" x14ac:dyDescent="0.2">
      <c r="A39" s="40" t="s">
        <v>68</v>
      </c>
      <c r="B39" s="40" t="s">
        <v>69</v>
      </c>
      <c r="C39" s="40" t="s">
        <v>47</v>
      </c>
      <c r="D39" s="41" t="s">
        <v>12</v>
      </c>
      <c r="E39" s="41" t="s">
        <v>15</v>
      </c>
      <c r="F39" s="42"/>
      <c r="G39" s="43">
        <v>41281</v>
      </c>
      <c r="H39" s="43">
        <v>41953</v>
      </c>
      <c r="I39" s="45">
        <v>100.93</v>
      </c>
      <c r="J39" s="103">
        <f t="shared" si="1"/>
        <v>1</v>
      </c>
      <c r="K39" s="47">
        <f t="shared" si="2"/>
        <v>0</v>
      </c>
      <c r="L39" s="47">
        <f t="shared" si="3"/>
        <v>0.66545790202413146</v>
      </c>
      <c r="M39" s="48">
        <f t="shared" si="4"/>
        <v>0</v>
      </c>
      <c r="N39" s="72"/>
      <c r="O39" s="93">
        <v>3</v>
      </c>
      <c r="P39" s="97">
        <v>41660</v>
      </c>
      <c r="Q39" s="49"/>
      <c r="R39" s="49">
        <v>120</v>
      </c>
      <c r="S39" s="93" t="s">
        <v>94</v>
      </c>
      <c r="T39" s="93" t="s">
        <v>94</v>
      </c>
      <c r="U39" s="93" t="s">
        <v>94</v>
      </c>
      <c r="V39" s="93" t="s">
        <v>94</v>
      </c>
      <c r="W39" s="49" t="s">
        <v>94</v>
      </c>
      <c r="X39" s="49" t="s">
        <v>94</v>
      </c>
      <c r="Y39" s="49" t="s">
        <v>94</v>
      </c>
      <c r="Z39" s="49" t="s">
        <v>93</v>
      </c>
      <c r="AA39" s="75">
        <v>15.9</v>
      </c>
      <c r="AB39" s="49"/>
      <c r="AE39" s="49">
        <v>1945.8339999999998</v>
      </c>
      <c r="AF39" s="49">
        <v>1972.34</v>
      </c>
      <c r="AG39" s="49">
        <f t="shared" si="6"/>
        <v>0</v>
      </c>
      <c r="AH39" s="49"/>
      <c r="AI39" s="49"/>
      <c r="AP39" s="50">
        <f t="shared" si="5"/>
        <v>0</v>
      </c>
    </row>
    <row r="40" spans="1:48" s="120" customFormat="1" hidden="1" x14ac:dyDescent="0.2">
      <c r="A40" s="118" t="s">
        <v>70</v>
      </c>
      <c r="B40" s="118" t="s">
        <v>71</v>
      </c>
      <c r="C40" s="118" t="s">
        <v>79</v>
      </c>
      <c r="D40" s="124" t="s">
        <v>12</v>
      </c>
      <c r="E40" s="108" t="s">
        <v>15</v>
      </c>
      <c r="F40" s="109"/>
      <c r="G40" s="110">
        <v>41281</v>
      </c>
      <c r="H40" s="141">
        <v>42209</v>
      </c>
      <c r="I40" s="112" t="e">
        <f>HBOUCHAMA</f>
        <v>#REF!</v>
      </c>
      <c r="J40" s="130">
        <f t="shared" si="1"/>
        <v>1</v>
      </c>
      <c r="K40" s="114">
        <f t="shared" si="2"/>
        <v>0</v>
      </c>
      <c r="L40" s="114" t="e">
        <f t="shared" si="3"/>
        <v>#REF!</v>
      </c>
      <c r="M40" s="115" t="e">
        <f t="shared" si="4"/>
        <v>#REF!</v>
      </c>
      <c r="N40" s="116"/>
      <c r="O40" s="119">
        <v>3</v>
      </c>
      <c r="P40" s="126">
        <v>41660</v>
      </c>
      <c r="Q40" s="118"/>
      <c r="R40" s="118"/>
      <c r="S40" s="119" t="s">
        <v>94</v>
      </c>
      <c r="T40" s="119"/>
      <c r="U40" s="119"/>
      <c r="V40" s="119"/>
      <c r="W40" s="118"/>
      <c r="X40" s="118"/>
      <c r="Y40" s="118"/>
      <c r="Z40" s="118"/>
      <c r="AA40" s="117">
        <v>15.9</v>
      </c>
      <c r="AB40" s="118"/>
      <c r="AC40" s="117"/>
      <c r="AD40" s="122">
        <v>2960</v>
      </c>
      <c r="AE40" s="118">
        <v>2348.7859999999996</v>
      </c>
      <c r="AF40" s="118">
        <v>3051</v>
      </c>
      <c r="AG40" s="118">
        <f t="shared" si="6"/>
        <v>35520</v>
      </c>
      <c r="AH40" s="118">
        <v>147.82</v>
      </c>
      <c r="AI40" s="118"/>
      <c r="AP40" s="120">
        <f t="shared" si="5"/>
        <v>0</v>
      </c>
    </row>
    <row r="41" spans="1:48" s="120" customFormat="1" x14ac:dyDescent="0.2">
      <c r="A41" s="118"/>
      <c r="B41" s="118"/>
      <c r="C41" s="138" t="s">
        <v>35</v>
      </c>
      <c r="D41" s="124" t="s">
        <v>19</v>
      </c>
      <c r="E41" s="168" t="s">
        <v>15</v>
      </c>
      <c r="F41" s="109"/>
      <c r="G41" s="110">
        <v>41255</v>
      </c>
      <c r="H41" s="139">
        <v>42443</v>
      </c>
      <c r="I41" s="112">
        <v>151.66999999999999</v>
      </c>
      <c r="J41" s="130">
        <f t="shared" si="1"/>
        <v>1</v>
      </c>
      <c r="K41" s="114">
        <f t="shared" si="2"/>
        <v>0.2</v>
      </c>
      <c r="L41" s="114">
        <f t="shared" si="3"/>
        <v>1</v>
      </c>
      <c r="M41" s="115">
        <f t="shared" si="4"/>
        <v>0.2</v>
      </c>
      <c r="N41" s="116"/>
      <c r="O41" s="119">
        <v>4</v>
      </c>
      <c r="P41" s="119"/>
      <c r="Q41" s="118"/>
      <c r="R41" s="118"/>
      <c r="S41" s="119" t="s">
        <v>94</v>
      </c>
      <c r="T41" s="119"/>
      <c r="U41" s="119"/>
      <c r="V41" s="119"/>
      <c r="W41" s="118"/>
      <c r="X41" s="118"/>
      <c r="Y41" s="118"/>
      <c r="Z41" s="118"/>
      <c r="AA41" s="117">
        <v>15.9</v>
      </c>
      <c r="AB41" s="118"/>
      <c r="AC41" s="151">
        <v>7197.1200000000008</v>
      </c>
      <c r="AD41" s="122">
        <v>1728.4519999999998</v>
      </c>
      <c r="AE41" s="118">
        <v>1728.4519999999998</v>
      </c>
      <c r="AF41" s="118">
        <v>1728.45</v>
      </c>
      <c r="AG41" s="118">
        <f t="shared" si="6"/>
        <v>20741.423999999999</v>
      </c>
      <c r="AH41" s="118">
        <v>147.56</v>
      </c>
      <c r="AI41" s="116"/>
      <c r="AJ41" s="118">
        <v>133.02490568387387</v>
      </c>
      <c r="AK41" s="118">
        <v>1470.3700000000001</v>
      </c>
      <c r="AL41" s="87">
        <f>DATEDIF(B5,$H$41,"d")</f>
        <v>73</v>
      </c>
      <c r="AM41" s="164">
        <f>(AK41/AL41)</f>
        <v>20.142054794520551</v>
      </c>
      <c r="AN41" s="161">
        <f>AM41/$AM$13</f>
        <v>2.8788368119909681E-2</v>
      </c>
      <c r="AO41" s="162">
        <f>$AO$13*AN41</f>
        <v>4672.5597099954857</v>
      </c>
      <c r="AP41" s="163">
        <f t="shared" si="5"/>
        <v>71.97120000000001</v>
      </c>
      <c r="AQ41" s="163" t="b">
        <f>IF(H41/100&lt;=0,(($AQ$13/SUMIF($H$16:$H$85,"",$M$16:$M$85)))*M41)</f>
        <v>0</v>
      </c>
      <c r="AR41" s="163">
        <f>AO41+AJ41+AP41+AQ41</f>
        <v>4877.5558156793595</v>
      </c>
      <c r="AS41" s="195"/>
      <c r="AT41" s="192"/>
      <c r="AU41" s="192"/>
      <c r="AV41" s="192"/>
    </row>
    <row r="42" spans="1:48" s="50" customFormat="1" hidden="1" x14ac:dyDescent="0.2">
      <c r="A42" s="49" t="s">
        <v>73</v>
      </c>
      <c r="B42" s="49" t="s">
        <v>74</v>
      </c>
      <c r="C42" s="49" t="s">
        <v>35</v>
      </c>
      <c r="D42" s="52" t="s">
        <v>12</v>
      </c>
      <c r="E42" s="41" t="s">
        <v>15</v>
      </c>
      <c r="F42" s="42"/>
      <c r="G42" s="43">
        <v>41339</v>
      </c>
      <c r="H42" s="44">
        <v>41517</v>
      </c>
      <c r="I42" s="45">
        <v>97.5</v>
      </c>
      <c r="J42" s="46">
        <f t="shared" si="1"/>
        <v>1</v>
      </c>
      <c r="K42" s="47">
        <f t="shared" si="2"/>
        <v>0</v>
      </c>
      <c r="L42" s="47">
        <f t="shared" si="3"/>
        <v>0.64284301443924319</v>
      </c>
      <c r="M42" s="48">
        <f t="shared" si="4"/>
        <v>0</v>
      </c>
      <c r="N42" s="72"/>
      <c r="O42" s="93">
        <v>3</v>
      </c>
      <c r="P42" s="93"/>
      <c r="Q42" s="49"/>
      <c r="R42" s="49"/>
      <c r="S42" s="93" t="s">
        <v>94</v>
      </c>
      <c r="T42" s="93"/>
      <c r="U42" s="93"/>
      <c r="V42" s="93"/>
      <c r="W42" s="49"/>
      <c r="X42" s="49"/>
      <c r="Y42" s="49"/>
      <c r="Z42" s="49"/>
      <c r="AA42" s="75"/>
      <c r="AB42" s="76"/>
      <c r="AG42" s="50">
        <f t="shared" si="6"/>
        <v>0</v>
      </c>
      <c r="AP42" s="50">
        <f t="shared" si="5"/>
        <v>0</v>
      </c>
    </row>
    <row r="43" spans="1:48" s="120" customFormat="1" x14ac:dyDescent="0.2">
      <c r="A43" s="118"/>
      <c r="B43" s="118"/>
      <c r="C43" s="107" t="s">
        <v>35</v>
      </c>
      <c r="D43" s="124" t="s">
        <v>12</v>
      </c>
      <c r="E43" s="168" t="s">
        <v>15</v>
      </c>
      <c r="F43" s="109"/>
      <c r="G43" s="110">
        <v>41518</v>
      </c>
      <c r="H43" s="139"/>
      <c r="I43" s="112">
        <v>151.66999999999999</v>
      </c>
      <c r="J43" s="130">
        <f t="shared" si="1"/>
        <v>1</v>
      </c>
      <c r="K43" s="114">
        <f t="shared" si="2"/>
        <v>1</v>
      </c>
      <c r="L43" s="114">
        <f t="shared" si="3"/>
        <v>1</v>
      </c>
      <c r="M43" s="115">
        <f t="shared" si="4"/>
        <v>1</v>
      </c>
      <c r="N43" s="116"/>
      <c r="O43" s="119">
        <v>3</v>
      </c>
      <c r="P43" s="119"/>
      <c r="Q43" s="118"/>
      <c r="R43" s="118"/>
      <c r="S43" s="119" t="s">
        <v>94</v>
      </c>
      <c r="T43" s="119"/>
      <c r="U43" s="119"/>
      <c r="V43" s="119"/>
      <c r="W43" s="118"/>
      <c r="X43" s="118"/>
      <c r="Y43" s="118"/>
      <c r="Z43" s="118"/>
      <c r="AA43" s="117">
        <v>15.9</v>
      </c>
      <c r="AB43" s="118"/>
      <c r="AC43" s="151">
        <v>23285.519999999993</v>
      </c>
      <c r="AD43" s="122">
        <v>1940.46</v>
      </c>
      <c r="AE43" s="118">
        <v>1701.9419999999998</v>
      </c>
      <c r="AF43" s="118">
        <v>1940.46</v>
      </c>
      <c r="AG43" s="118">
        <f t="shared" si="6"/>
        <v>23285.52</v>
      </c>
      <c r="AH43" s="118">
        <v>327.10000000000002</v>
      </c>
      <c r="AI43" s="116"/>
      <c r="AJ43" s="118">
        <v>885.0354828365945</v>
      </c>
      <c r="AK43" s="118">
        <f>5566.04+2484.4</f>
        <v>8050.4400000000005</v>
      </c>
      <c r="AL43" s="158">
        <f>DATEDIF($B$5,$B$7,"d")</f>
        <v>273</v>
      </c>
      <c r="AM43" s="164">
        <f>(AK43/AL43)</f>
        <v>29.488791208791209</v>
      </c>
      <c r="AN43" s="161">
        <f>AM43/$AM$13</f>
        <v>4.2147347199193497E-2</v>
      </c>
      <c r="AO43" s="162">
        <f>$AO$13*AN43</f>
        <v>6840.8183328024106</v>
      </c>
      <c r="AP43" s="163">
        <f>IF(E43="CDD",AC43*0.02,IF(E43="CDI",AC43*0.01))</f>
        <v>232.85519999999994</v>
      </c>
      <c r="AQ43" s="163">
        <f>IF(H43/100&lt;=0,(($AQ$13/SUMIF($H$16:$H$85,"",$M$16:$M$85)))*M43)</f>
        <v>187.70892260221137</v>
      </c>
      <c r="AR43" s="163">
        <f>AO43+AJ43+AP43+AQ43</f>
        <v>8146.4179382412167</v>
      </c>
      <c r="AS43" s="195"/>
      <c r="AT43" s="192"/>
      <c r="AU43" s="192"/>
      <c r="AV43" s="192"/>
    </row>
    <row r="44" spans="1:48" s="50" customFormat="1" hidden="1" x14ac:dyDescent="0.2">
      <c r="A44" s="40" t="s">
        <v>76</v>
      </c>
      <c r="B44" s="40" t="s">
        <v>75</v>
      </c>
      <c r="C44" s="40" t="s">
        <v>35</v>
      </c>
      <c r="D44" s="52" t="s">
        <v>12</v>
      </c>
      <c r="E44" s="41" t="s">
        <v>15</v>
      </c>
      <c r="F44" s="42" t="s">
        <v>14</v>
      </c>
      <c r="G44" s="43">
        <v>41344</v>
      </c>
      <c r="H44" s="44">
        <v>41628</v>
      </c>
      <c r="I44" s="45"/>
      <c r="J44" s="46">
        <f t="shared" si="1"/>
        <v>0</v>
      </c>
      <c r="K44" s="47">
        <f t="shared" si="2"/>
        <v>0</v>
      </c>
      <c r="L44" s="47">
        <f t="shared" si="3"/>
        <v>0</v>
      </c>
      <c r="M44" s="48">
        <f t="shared" si="4"/>
        <v>0</v>
      </c>
      <c r="N44" s="72" t="s">
        <v>86</v>
      </c>
      <c r="O44" s="93">
        <v>4</v>
      </c>
      <c r="P44" s="93"/>
      <c r="Q44" s="49"/>
      <c r="R44" s="49"/>
      <c r="S44" s="93" t="s">
        <v>94</v>
      </c>
      <c r="T44" s="93"/>
      <c r="U44" s="93"/>
      <c r="V44" s="93"/>
      <c r="W44" s="49"/>
      <c r="X44" s="49"/>
      <c r="Y44" s="49"/>
      <c r="Z44" s="49"/>
      <c r="AA44" s="75"/>
      <c r="AB44" s="49"/>
      <c r="AG44" s="50">
        <f t="shared" si="6"/>
        <v>0</v>
      </c>
      <c r="AL44" s="50">
        <f t="shared" ref="AL44:AL50" si="8">DATEDIF($B$5,$B$7,"d")</f>
        <v>273</v>
      </c>
      <c r="AP44" s="50">
        <f t="shared" si="5"/>
        <v>0</v>
      </c>
    </row>
    <row r="45" spans="1:48" s="120" customFormat="1" hidden="1" x14ac:dyDescent="0.2">
      <c r="A45" s="107" t="s">
        <v>85</v>
      </c>
      <c r="B45" s="107" t="s">
        <v>41</v>
      </c>
      <c r="C45" s="107" t="s">
        <v>47</v>
      </c>
      <c r="D45" s="108" t="s">
        <v>19</v>
      </c>
      <c r="E45" s="108" t="s">
        <v>15</v>
      </c>
      <c r="F45" s="109"/>
      <c r="G45" s="110">
        <v>41334</v>
      </c>
      <c r="H45" s="141">
        <v>42265</v>
      </c>
      <c r="I45" s="124">
        <v>151.66999999999999</v>
      </c>
      <c r="J45" s="113">
        <f t="shared" ref="J45:J76" si="9">IF(F45=$AB$16,0,IF(F45=$AB$17,0,IF(F45=$AB$14,0,1)))</f>
        <v>1</v>
      </c>
      <c r="K45" s="114">
        <f t="shared" ref="K45:K76" si="10">IF(AND(ISBLANK(H45),G45&lt;=$B$5),($B$6-$B$5)/($B$6-$B$5),IF(AND(ISBLANK(H45),G45&gt;$B$5,G45&lt;=$B$6),($B$6-G45)/($B$6-$B$5),IF(AND(H45&lt;=$B$6,H45&gt;$B$5,G45&lt;=$B$5),(H45-$B$5)/($B$6-$B$5),IF(AND(H45&lt;=$B$6,H45&gt;$B$5,G45&gt;$B$5),(H45-G45)/($B$6-$B$5),IF(AND(H45&gt;$B$6,G45&gt;$B$6),0,IF(AND(H45&gt;$B$6,G45&lt;=$B$6,G45&gt;$B$5),($B$6-G45)/($B$6-$B$5),IF(AND(H45&gt;$B$6,G45&lt;=$B$5),($B$6-$B$5)/($B$6-$B$5),0)))))))</f>
        <v>0</v>
      </c>
      <c r="L45" s="114">
        <f t="shared" ref="L45:L76" si="11">I45/151.67</f>
        <v>1</v>
      </c>
      <c r="M45" s="115">
        <f t="shared" ref="M45:M76" si="12">J45*K45*L45</f>
        <v>0</v>
      </c>
      <c r="N45" s="116"/>
      <c r="O45" s="131">
        <v>2</v>
      </c>
      <c r="P45" s="126">
        <v>36892</v>
      </c>
      <c r="Q45" s="127">
        <v>40544</v>
      </c>
      <c r="R45" s="132"/>
      <c r="S45" s="119" t="s">
        <v>93</v>
      </c>
      <c r="T45" s="119" t="s">
        <v>94</v>
      </c>
      <c r="U45" s="119" t="s">
        <v>94</v>
      </c>
      <c r="V45" s="119" t="s">
        <v>94</v>
      </c>
      <c r="W45" s="118" t="s">
        <v>94</v>
      </c>
      <c r="X45" s="118" t="s">
        <v>94</v>
      </c>
      <c r="Y45" s="118" t="s">
        <v>93</v>
      </c>
      <c r="Z45" s="118" t="s">
        <v>94</v>
      </c>
      <c r="AA45" s="117">
        <v>15.9</v>
      </c>
      <c r="AB45" s="118"/>
      <c r="AC45" s="117"/>
      <c r="AD45" s="122">
        <v>2000</v>
      </c>
      <c r="AE45" s="118">
        <v>1945.8339999999998</v>
      </c>
      <c r="AF45" s="118">
        <v>2000</v>
      </c>
      <c r="AG45" s="118">
        <f t="shared" si="6"/>
        <v>24000</v>
      </c>
      <c r="AH45" s="118">
        <v>147.53</v>
      </c>
      <c r="AI45" s="118"/>
      <c r="AL45" s="120">
        <f t="shared" si="8"/>
        <v>273</v>
      </c>
      <c r="AP45" s="120">
        <f t="shared" si="5"/>
        <v>0</v>
      </c>
    </row>
    <row r="46" spans="1:48" s="120" customFormat="1" x14ac:dyDescent="0.2">
      <c r="A46" s="107"/>
      <c r="B46" s="107"/>
      <c r="C46" s="138" t="s">
        <v>47</v>
      </c>
      <c r="D46" s="108" t="s">
        <v>12</v>
      </c>
      <c r="E46" s="168" t="s">
        <v>15</v>
      </c>
      <c r="F46" s="109"/>
      <c r="G46" s="110">
        <v>41570</v>
      </c>
      <c r="H46" s="124"/>
      <c r="I46" s="112">
        <v>151.66999999999999</v>
      </c>
      <c r="J46" s="113">
        <f t="shared" si="9"/>
        <v>1</v>
      </c>
      <c r="K46" s="114">
        <f t="shared" si="10"/>
        <v>1</v>
      </c>
      <c r="L46" s="114">
        <f t="shared" si="11"/>
        <v>1</v>
      </c>
      <c r="M46" s="115">
        <f>J46*K46*L46</f>
        <v>1</v>
      </c>
      <c r="N46" s="116"/>
      <c r="O46" s="131">
        <v>3</v>
      </c>
      <c r="P46" s="131"/>
      <c r="Q46" s="118"/>
      <c r="R46" s="118"/>
      <c r="S46" s="119" t="s">
        <v>94</v>
      </c>
      <c r="T46" s="119" t="s">
        <v>94</v>
      </c>
      <c r="U46" s="119" t="s">
        <v>94</v>
      </c>
      <c r="V46" s="119" t="s">
        <v>94</v>
      </c>
      <c r="W46" s="118" t="s">
        <v>94</v>
      </c>
      <c r="X46" s="118" t="s">
        <v>94</v>
      </c>
      <c r="Y46" s="118" t="s">
        <v>94</v>
      </c>
      <c r="Z46" s="118" t="s">
        <v>93</v>
      </c>
      <c r="AA46" s="117">
        <v>15.9</v>
      </c>
      <c r="AB46" s="118"/>
      <c r="AC46" s="151">
        <v>23958.269999999997</v>
      </c>
      <c r="AD46" s="122">
        <v>1945.8339999999998</v>
      </c>
      <c r="AE46" s="118">
        <v>1945.8339999999998</v>
      </c>
      <c r="AF46" s="118">
        <v>1972.34</v>
      </c>
      <c r="AG46" s="118">
        <f t="shared" si="6"/>
        <v>23350.007999999998</v>
      </c>
      <c r="AH46" s="118">
        <v>0</v>
      </c>
      <c r="AI46" s="116"/>
      <c r="AJ46" s="118">
        <v>934.49691488068709</v>
      </c>
      <c r="AK46" s="118">
        <v>5481.6099999999979</v>
      </c>
      <c r="AL46" s="158">
        <f>DATEDIF($B$5,$B$7,"d")</f>
        <v>273</v>
      </c>
      <c r="AM46" s="164">
        <f>(AK46/AL46)</f>
        <v>20.079157509157501</v>
      </c>
      <c r="AN46" s="161">
        <f>AM46/$AM$13</f>
        <v>2.8698471124630576E-2</v>
      </c>
      <c r="AO46" s="162">
        <f>$AO$13*AN46</f>
        <v>4657.968779504351</v>
      </c>
      <c r="AP46" s="163">
        <f t="shared" si="5"/>
        <v>239.58269999999996</v>
      </c>
      <c r="AQ46" s="163">
        <f>IF(H46/100&lt;=0,(($AQ$13/SUMIF($H$16:$H$85,"",$M$16:$M$85)))*M46)</f>
        <v>187.70892260221137</v>
      </c>
      <c r="AR46" s="163">
        <f>AO46+AJ46+AP46+AQ46</f>
        <v>6019.7573169872494</v>
      </c>
      <c r="AS46" s="195"/>
      <c r="AT46" s="192"/>
      <c r="AU46" s="192"/>
      <c r="AV46" s="192"/>
    </row>
    <row r="47" spans="1:48" s="50" customFormat="1" hidden="1" x14ac:dyDescent="0.2">
      <c r="A47" s="53" t="s">
        <v>29</v>
      </c>
      <c r="B47" s="53" t="s">
        <v>77</v>
      </c>
      <c r="C47" s="58" t="s">
        <v>33</v>
      </c>
      <c r="D47" s="59" t="s">
        <v>12</v>
      </c>
      <c r="E47" s="60" t="s">
        <v>15</v>
      </c>
      <c r="F47" s="61"/>
      <c r="G47" s="62">
        <v>41673</v>
      </c>
      <c r="H47" s="62">
        <v>41807</v>
      </c>
      <c r="I47" s="63">
        <v>71.87</v>
      </c>
      <c r="J47" s="64">
        <f t="shared" si="9"/>
        <v>1</v>
      </c>
      <c r="K47" s="65">
        <f t="shared" si="10"/>
        <v>0</v>
      </c>
      <c r="L47" s="65">
        <f t="shared" si="11"/>
        <v>0.47385771741280419</v>
      </c>
      <c r="M47" s="63">
        <f t="shared" si="12"/>
        <v>0</v>
      </c>
      <c r="N47" s="49" t="s">
        <v>98</v>
      </c>
      <c r="O47" s="95">
        <v>4</v>
      </c>
      <c r="P47" s="75"/>
      <c r="Q47" s="49"/>
      <c r="R47" s="49"/>
      <c r="S47" s="93" t="s">
        <v>94</v>
      </c>
      <c r="T47" s="49"/>
      <c r="U47" s="49"/>
      <c r="V47" s="49"/>
      <c r="W47" s="49"/>
      <c r="X47" s="49"/>
      <c r="Y47" s="49"/>
      <c r="Z47" s="49"/>
      <c r="AA47" s="75"/>
      <c r="AB47" s="49"/>
      <c r="AE47" s="49">
        <v>778.33359999999993</v>
      </c>
      <c r="AF47" s="49">
        <v>778.36</v>
      </c>
      <c r="AG47" s="49">
        <f t="shared" si="6"/>
        <v>0</v>
      </c>
      <c r="AH47" s="49"/>
      <c r="AI47" s="49"/>
      <c r="AL47" s="50">
        <f t="shared" si="8"/>
        <v>273</v>
      </c>
      <c r="AP47" s="50">
        <f t="shared" si="5"/>
        <v>0</v>
      </c>
    </row>
    <row r="48" spans="1:48" s="120" customFormat="1" x14ac:dyDescent="0.2">
      <c r="A48" s="107"/>
      <c r="B48" s="107"/>
      <c r="C48" s="137" t="s">
        <v>33</v>
      </c>
      <c r="D48" s="108" t="s">
        <v>12</v>
      </c>
      <c r="E48" s="168" t="s">
        <v>15</v>
      </c>
      <c r="F48" s="109"/>
      <c r="G48" s="110">
        <v>41807</v>
      </c>
      <c r="H48" s="124"/>
      <c r="I48" s="112">
        <v>151.66999999999999</v>
      </c>
      <c r="J48" s="113">
        <f t="shared" si="9"/>
        <v>1</v>
      </c>
      <c r="K48" s="114">
        <f t="shared" si="10"/>
        <v>1</v>
      </c>
      <c r="L48" s="114">
        <f t="shared" si="11"/>
        <v>1</v>
      </c>
      <c r="M48" s="115">
        <f>J48*K48*L48</f>
        <v>1</v>
      </c>
      <c r="N48" s="118"/>
      <c r="O48" s="131">
        <v>4</v>
      </c>
      <c r="P48" s="117"/>
      <c r="Q48" s="118"/>
      <c r="R48" s="118"/>
      <c r="S48" s="119" t="s">
        <v>94</v>
      </c>
      <c r="T48" s="118"/>
      <c r="U48" s="118"/>
      <c r="V48" s="118"/>
      <c r="W48" s="118"/>
      <c r="X48" s="118"/>
      <c r="Y48" s="118"/>
      <c r="Z48" s="118"/>
      <c r="AA48" s="117">
        <f>SUBTOTAL(9,AA14:AA46)</f>
        <v>143.10000000000002</v>
      </c>
      <c r="AB48" s="117">
        <f>AA48*12</f>
        <v>1717.2000000000003</v>
      </c>
      <c r="AC48" s="151">
        <v>24172.47</v>
      </c>
      <c r="AD48" s="122">
        <v>1943.83</v>
      </c>
      <c r="AE48" s="118">
        <v>1943.83</v>
      </c>
      <c r="AF48" s="118">
        <v>1943.83</v>
      </c>
      <c r="AG48" s="118">
        <f t="shared" si="6"/>
        <v>23325.96</v>
      </c>
      <c r="AH48" s="118">
        <v>147.55000000000001</v>
      </c>
      <c r="AI48" s="116"/>
      <c r="AJ48" s="118">
        <v>946.84844500667793</v>
      </c>
      <c r="AK48" s="118">
        <v>6323.7699999999995</v>
      </c>
      <c r="AL48" s="158">
        <f t="shared" si="8"/>
        <v>273</v>
      </c>
      <c r="AM48" s="164">
        <f>(AK48/AL48)</f>
        <v>23.163992673992674</v>
      </c>
      <c r="AN48" s="161">
        <f>AM48/$AM$13</f>
        <v>3.3107523290384605E-2</v>
      </c>
      <c r="AO48" s="162">
        <f>$AO$13*AN48</f>
        <v>5373.589735272345</v>
      </c>
      <c r="AP48" s="163">
        <f t="shared" si="5"/>
        <v>241.72470000000001</v>
      </c>
      <c r="AQ48" s="163">
        <f>IF(H48/100&lt;=0,(($AQ$13/SUMIF($H$16:$H$85,"",$M$16:$M$85)))*M48)</f>
        <v>187.70892260221137</v>
      </c>
      <c r="AR48" s="163">
        <f>AO48+AJ48+AP48+AQ48</f>
        <v>6749.8718028812345</v>
      </c>
      <c r="AS48" s="195"/>
      <c r="AT48" s="192"/>
      <c r="AU48" s="192"/>
      <c r="AV48" s="192"/>
    </row>
    <row r="49" spans="1:48" s="50" customFormat="1" hidden="1" x14ac:dyDescent="0.2">
      <c r="A49" s="40" t="s">
        <v>99</v>
      </c>
      <c r="B49" s="40" t="s">
        <v>100</v>
      </c>
      <c r="C49" s="40" t="s">
        <v>47</v>
      </c>
      <c r="D49" s="41" t="s">
        <v>19</v>
      </c>
      <c r="E49" s="41" t="s">
        <v>13</v>
      </c>
      <c r="F49" s="42"/>
      <c r="G49" s="43">
        <v>41752</v>
      </c>
      <c r="H49" s="44">
        <v>41782</v>
      </c>
      <c r="I49" s="45">
        <v>79.17</v>
      </c>
      <c r="J49" s="46">
        <f t="shared" si="9"/>
        <v>1</v>
      </c>
      <c r="K49" s="47">
        <f t="shared" si="10"/>
        <v>0</v>
      </c>
      <c r="L49" s="47">
        <f t="shared" si="11"/>
        <v>0.52198852772466542</v>
      </c>
      <c r="M49" s="48">
        <f t="shared" si="12"/>
        <v>0</v>
      </c>
      <c r="N49" s="49" t="s">
        <v>101</v>
      </c>
      <c r="O49" s="95">
        <v>2</v>
      </c>
      <c r="P49" s="75"/>
      <c r="Q49" s="49"/>
      <c r="R49" s="49"/>
      <c r="S49" s="93" t="s">
        <v>94</v>
      </c>
      <c r="T49" s="49"/>
      <c r="U49" s="49"/>
      <c r="V49" s="49"/>
      <c r="W49" s="49"/>
      <c r="X49" s="49"/>
      <c r="Y49" s="49"/>
      <c r="Z49" s="49"/>
      <c r="AA49" s="49"/>
      <c r="AB49" s="49"/>
      <c r="AE49" s="49">
        <v>1972.3440000000001</v>
      </c>
      <c r="AF49" s="49">
        <v>1972.3440000000001</v>
      </c>
      <c r="AG49" s="49">
        <f t="shared" si="6"/>
        <v>0</v>
      </c>
      <c r="AH49" s="49"/>
      <c r="AI49" s="49"/>
      <c r="AP49" s="50">
        <f t="shared" si="5"/>
        <v>0</v>
      </c>
    </row>
    <row r="50" spans="1:48" s="50" customFormat="1" x14ac:dyDescent="0.2">
      <c r="A50" s="40"/>
      <c r="B50" s="40"/>
      <c r="C50" s="40" t="s">
        <v>47</v>
      </c>
      <c r="D50" s="41" t="s">
        <v>19</v>
      </c>
      <c r="E50" s="172" t="s">
        <v>15</v>
      </c>
      <c r="F50" s="42"/>
      <c r="G50" s="43">
        <v>42705</v>
      </c>
      <c r="H50" s="142"/>
      <c r="I50" s="45">
        <v>151.66999999999999</v>
      </c>
      <c r="J50" s="46">
        <f t="shared" si="9"/>
        <v>1</v>
      </c>
      <c r="K50" s="47">
        <f t="shared" si="10"/>
        <v>8.2191780821917804E-2</v>
      </c>
      <c r="L50" s="47">
        <f t="shared" si="11"/>
        <v>1</v>
      </c>
      <c r="M50" s="48">
        <f t="shared" si="12"/>
        <v>8.2191780821917804E-2</v>
      </c>
      <c r="N50" s="49"/>
      <c r="O50" s="95">
        <v>3</v>
      </c>
      <c r="P50" s="75"/>
      <c r="Q50" s="49"/>
      <c r="R50" s="49"/>
      <c r="S50" s="93" t="s">
        <v>94</v>
      </c>
      <c r="T50" s="49"/>
      <c r="U50" s="49"/>
      <c r="V50" s="49"/>
      <c r="W50" s="49"/>
      <c r="X50" s="49"/>
      <c r="Y50" s="49"/>
      <c r="Z50" s="49"/>
      <c r="AA50" s="75"/>
      <c r="AB50" s="75"/>
      <c r="AC50" s="154">
        <v>1965.2850000000001</v>
      </c>
      <c r="AD50" s="143">
        <v>1972.3439999999998</v>
      </c>
      <c r="AE50" s="49">
        <v>1945.8339999999998</v>
      </c>
      <c r="AF50" s="49">
        <v>1945.8339999999998</v>
      </c>
      <c r="AG50" s="49">
        <f t="shared" si="6"/>
        <v>23668.127999999997</v>
      </c>
      <c r="AH50" s="49">
        <v>0</v>
      </c>
      <c r="AI50" s="72"/>
      <c r="AJ50" s="49">
        <v>35.692062829141769</v>
      </c>
      <c r="AK50" s="49">
        <v>6168.14</v>
      </c>
      <c r="AL50" s="158">
        <f t="shared" si="8"/>
        <v>273</v>
      </c>
      <c r="AM50" s="164">
        <f>(AK50/AL50)</f>
        <v>22.593919413919416</v>
      </c>
      <c r="AN50" s="161">
        <f>AM50/$AM$13</f>
        <v>3.2292736565111148E-2</v>
      </c>
      <c r="AO50" s="162">
        <f>$AO$13*AN50</f>
        <v>5241.3439751481737</v>
      </c>
      <c r="AP50" s="163">
        <f t="shared" si="5"/>
        <v>19.652850000000001</v>
      </c>
      <c r="AQ50" s="163">
        <f t="shared" ref="AQ50:AQ51" si="13">IF(H50/100&lt;=0,(($AQ$13/SUMIF($H$16:$H$85,"",$M$16:$M$85)))*M50)</f>
        <v>15.428130624839291</v>
      </c>
      <c r="AR50" s="163">
        <f>AO50+AJ50+AP50+AQ50</f>
        <v>5312.1170186021554</v>
      </c>
      <c r="AS50" s="196"/>
      <c r="AT50" s="197"/>
      <c r="AU50" s="197"/>
      <c r="AV50" s="197"/>
    </row>
    <row r="51" spans="1:48" s="120" customFormat="1" ht="15" x14ac:dyDescent="0.25">
      <c r="A51" s="106"/>
      <c r="B51" s="107"/>
      <c r="C51" s="137" t="s">
        <v>47</v>
      </c>
      <c r="D51" s="108" t="s">
        <v>19</v>
      </c>
      <c r="E51" s="168" t="s">
        <v>15</v>
      </c>
      <c r="F51" s="109"/>
      <c r="G51" s="110">
        <v>41953</v>
      </c>
      <c r="H51" s="149">
        <v>42582</v>
      </c>
      <c r="I51" s="112">
        <v>151.66999999999999</v>
      </c>
      <c r="J51" s="113">
        <f t="shared" si="9"/>
        <v>1</v>
      </c>
      <c r="K51" s="114">
        <f t="shared" si="10"/>
        <v>0.58082191780821912</v>
      </c>
      <c r="L51" s="114">
        <f t="shared" si="11"/>
        <v>1</v>
      </c>
      <c r="M51" s="115">
        <f t="shared" si="12"/>
        <v>0.58082191780821912</v>
      </c>
      <c r="O51" s="133">
        <v>2</v>
      </c>
      <c r="P51" s="117"/>
      <c r="Q51" s="118"/>
      <c r="R51" s="118"/>
      <c r="S51" s="119" t="s">
        <v>94</v>
      </c>
      <c r="T51" s="118"/>
      <c r="U51" s="118"/>
      <c r="V51" s="118"/>
      <c r="W51" s="118"/>
      <c r="X51" s="118"/>
      <c r="Y51" s="118"/>
      <c r="Z51" s="118"/>
      <c r="AA51" s="118"/>
      <c r="AB51" s="118"/>
      <c r="AC51" s="151">
        <v>16740.600000000002</v>
      </c>
      <c r="AD51" s="122">
        <v>1945.8339999999998</v>
      </c>
      <c r="AE51" s="118">
        <v>1972.3439999999998</v>
      </c>
      <c r="AF51" s="118">
        <v>1972.3439999999998</v>
      </c>
      <c r="AG51" s="118">
        <f t="shared" si="6"/>
        <v>23350.007999999998</v>
      </c>
      <c r="AH51" s="118"/>
      <c r="AI51" s="116"/>
      <c r="AJ51" s="49">
        <v>513.85539776606197</v>
      </c>
      <c r="AK51" s="118">
        <f>7869.34+1187.34</f>
        <v>9056.68</v>
      </c>
      <c r="AL51" s="87">
        <f>DATEDIF(B5,$H$51,"d")</f>
        <v>212</v>
      </c>
      <c r="AM51" s="164">
        <f>(AK51/AL51)</f>
        <v>42.720188679245283</v>
      </c>
      <c r="AN51" s="161">
        <f>AM51/$AM$13</f>
        <v>6.1058542953853871E-2</v>
      </c>
      <c r="AO51" s="162">
        <f>$AO$13*AN51</f>
        <v>9910.2417535051809</v>
      </c>
      <c r="AP51" s="163">
        <f t="shared" si="5"/>
        <v>167.40600000000003</v>
      </c>
      <c r="AQ51" s="163" t="b">
        <f t="shared" si="13"/>
        <v>0</v>
      </c>
      <c r="AR51" s="163">
        <f>AO51+AJ51+AP51+AQ51</f>
        <v>10591.503151271243</v>
      </c>
      <c r="AS51" s="195"/>
      <c r="AT51" s="192"/>
      <c r="AU51" s="192"/>
      <c r="AV51" s="192"/>
    </row>
    <row r="52" spans="1:48" s="120" customFormat="1" hidden="1" x14ac:dyDescent="0.2">
      <c r="A52" s="107" t="s">
        <v>113</v>
      </c>
      <c r="B52" s="107" t="s">
        <v>114</v>
      </c>
      <c r="C52" s="137" t="s">
        <v>35</v>
      </c>
      <c r="D52" s="108" t="s">
        <v>12</v>
      </c>
      <c r="E52" s="108" t="s">
        <v>13</v>
      </c>
      <c r="F52" s="109"/>
      <c r="G52" s="110">
        <v>42068</v>
      </c>
      <c r="H52" s="110">
        <v>42369</v>
      </c>
      <c r="I52" s="112">
        <v>151.66999999999999</v>
      </c>
      <c r="J52" s="113">
        <f t="shared" si="9"/>
        <v>1</v>
      </c>
      <c r="K52" s="114">
        <f t="shared" si="10"/>
        <v>0</v>
      </c>
      <c r="L52" s="114">
        <f t="shared" si="11"/>
        <v>1</v>
      </c>
      <c r="M52" s="115">
        <f t="shared" si="12"/>
        <v>0</v>
      </c>
      <c r="O52" s="131"/>
      <c r="P52" s="117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P52" s="120">
        <f t="shared" si="5"/>
        <v>0</v>
      </c>
    </row>
    <row r="53" spans="1:48" s="120" customFormat="1" x14ac:dyDescent="0.2">
      <c r="A53" s="107"/>
      <c r="B53" s="107"/>
      <c r="C53" s="107" t="s">
        <v>79</v>
      </c>
      <c r="D53" s="108" t="s">
        <v>12</v>
      </c>
      <c r="E53" s="168" t="s">
        <v>15</v>
      </c>
      <c r="F53" s="109"/>
      <c r="G53" s="110">
        <v>42240</v>
      </c>
      <c r="H53" s="110"/>
      <c r="I53" s="112">
        <v>151.66999999999999</v>
      </c>
      <c r="J53" s="113">
        <f>IF(F53=$AB$16,0,IF(F53=$AB$17,0,IF(F53=$AB$14,0,1)))</f>
        <v>1</v>
      </c>
      <c r="K53" s="114">
        <f t="shared" si="10"/>
        <v>1</v>
      </c>
      <c r="L53" s="114">
        <f t="shared" si="11"/>
        <v>1</v>
      </c>
      <c r="M53" s="115">
        <f t="shared" si="12"/>
        <v>1</v>
      </c>
      <c r="O53" s="131">
        <v>2</v>
      </c>
      <c r="P53" s="117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52">
        <v>32536.980000000007</v>
      </c>
      <c r="AF53" s="118"/>
      <c r="AG53" s="118"/>
      <c r="AH53" s="118"/>
      <c r="AI53" s="118"/>
      <c r="AJ53" s="118">
        <v>1429.1756964266144</v>
      </c>
      <c r="AK53" s="118">
        <v>11907.76</v>
      </c>
      <c r="AL53" s="175">
        <f>DATEDIF($B$5,$B$7,"d")</f>
        <v>273</v>
      </c>
      <c r="AM53" s="164">
        <f t="shared" ref="AM53:AM58" si="14">(AK53/AL53)</f>
        <v>43.618168498168501</v>
      </c>
      <c r="AN53" s="161">
        <f t="shared" ref="AN53:AN59" si="15">AM53/$AM$13</f>
        <v>6.2341995603304716E-2</v>
      </c>
      <c r="AO53" s="162">
        <f t="shared" ref="AO53:AO85" si="16">$AO$13*AN53</f>
        <v>10118.555372204655</v>
      </c>
      <c r="AP53" s="163">
        <f t="shared" si="5"/>
        <v>325.36980000000005</v>
      </c>
      <c r="AQ53" s="163">
        <f t="shared" ref="AQ53:AQ58" si="17">IF(H53/100&lt;=0,(($AQ$13/SUMIF($H$16:$H$85,"",$M$16:$M$85)))*M53)</f>
        <v>187.70892260221137</v>
      </c>
      <c r="AR53" s="163">
        <f t="shared" ref="AR53:AR58" si="18">AO53+AJ53+AP53+AQ53</f>
        <v>12060.809791233482</v>
      </c>
      <c r="AS53" s="195"/>
      <c r="AT53" s="192"/>
      <c r="AU53" s="192"/>
      <c r="AV53" s="192"/>
    </row>
    <row r="54" spans="1:48" x14ac:dyDescent="0.2">
      <c r="A54" s="7"/>
      <c r="B54" s="7"/>
      <c r="C54" s="7" t="s">
        <v>47</v>
      </c>
      <c r="D54" s="8" t="s">
        <v>12</v>
      </c>
      <c r="E54" s="173" t="s">
        <v>15</v>
      </c>
      <c r="F54" s="9"/>
      <c r="G54" s="10">
        <v>42300</v>
      </c>
      <c r="H54" s="11"/>
      <c r="I54" s="12">
        <v>151.66999999999999</v>
      </c>
      <c r="J54" s="13">
        <f t="shared" si="9"/>
        <v>1</v>
      </c>
      <c r="K54" s="14">
        <f t="shared" si="10"/>
        <v>1</v>
      </c>
      <c r="L54" s="14">
        <f t="shared" si="11"/>
        <v>1</v>
      </c>
      <c r="M54" s="15">
        <f t="shared" si="12"/>
        <v>1</v>
      </c>
      <c r="O54" s="131"/>
      <c r="P54" s="74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53">
        <v>23663.790000000008</v>
      </c>
      <c r="AF54" s="16"/>
      <c r="AG54" s="16"/>
      <c r="AH54" s="16"/>
      <c r="AI54" s="16"/>
      <c r="AJ54" s="16">
        <v>917.51615581672024</v>
      </c>
      <c r="AK54" s="16">
        <v>6168.14</v>
      </c>
      <c r="AL54" s="175">
        <f>DATEDIF($B$5,$B$7,"d")</f>
        <v>273</v>
      </c>
      <c r="AM54" s="164">
        <f t="shared" si="14"/>
        <v>22.593919413919416</v>
      </c>
      <c r="AN54" s="161">
        <f t="shared" si="15"/>
        <v>3.2292736565111148E-2</v>
      </c>
      <c r="AO54" s="162">
        <f t="shared" si="16"/>
        <v>5241.3439751481737</v>
      </c>
      <c r="AP54" s="163">
        <f t="shared" si="5"/>
        <v>236.63790000000009</v>
      </c>
      <c r="AQ54" s="163">
        <f t="shared" si="17"/>
        <v>187.70892260221137</v>
      </c>
      <c r="AR54" s="163">
        <f t="shared" si="18"/>
        <v>6583.2069535671053</v>
      </c>
      <c r="AS54" s="195"/>
      <c r="AT54" s="192"/>
      <c r="AU54" s="192"/>
      <c r="AV54" s="192"/>
    </row>
    <row r="55" spans="1:48" x14ac:dyDescent="0.2">
      <c r="A55" s="7"/>
      <c r="B55" s="7"/>
      <c r="C55" s="7" t="s">
        <v>47</v>
      </c>
      <c r="D55" s="8" t="s">
        <v>12</v>
      </c>
      <c r="E55" s="173" t="s">
        <v>15</v>
      </c>
      <c r="F55" s="9"/>
      <c r="G55" s="10">
        <v>42632</v>
      </c>
      <c r="H55" s="11"/>
      <c r="I55" s="12">
        <v>151.66999999999999</v>
      </c>
      <c r="J55" s="13">
        <f t="shared" si="9"/>
        <v>1</v>
      </c>
      <c r="K55" s="14">
        <f t="shared" si="10"/>
        <v>0.28219178082191781</v>
      </c>
      <c r="L55" s="14">
        <f t="shared" si="11"/>
        <v>1</v>
      </c>
      <c r="M55" s="15">
        <f t="shared" si="12"/>
        <v>0.28219178082191781</v>
      </c>
      <c r="O55" s="74"/>
      <c r="P55" s="74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53">
        <v>6789.1939999999995</v>
      </c>
      <c r="AF55" s="16"/>
      <c r="AG55" s="16"/>
      <c r="AH55" s="16"/>
      <c r="AI55" s="16"/>
      <c r="AJ55" s="16">
        <v>123.17368628759746</v>
      </c>
      <c r="AK55" s="16">
        <v>384.07</v>
      </c>
      <c r="AL55" s="176">
        <f>DATEDIF(G55,$B$7,"d")</f>
        <v>11</v>
      </c>
      <c r="AM55" s="164">
        <f t="shared" si="14"/>
        <v>34.915454545454544</v>
      </c>
      <c r="AN55" s="161">
        <f t="shared" si="15"/>
        <v>4.9903496380218508E-2</v>
      </c>
      <c r="AO55" s="162">
        <f t="shared" si="16"/>
        <v>8099.6972667183645</v>
      </c>
      <c r="AP55" s="163">
        <f t="shared" si="5"/>
        <v>67.891939999999991</v>
      </c>
      <c r="AQ55" s="163">
        <f t="shared" si="17"/>
        <v>52.969915145281568</v>
      </c>
      <c r="AR55" s="163">
        <f t="shared" si="18"/>
        <v>8343.7328081512442</v>
      </c>
      <c r="AS55" s="195"/>
      <c r="AT55" s="192"/>
      <c r="AU55" s="192"/>
      <c r="AV55" s="192"/>
    </row>
    <row r="56" spans="1:48" x14ac:dyDescent="0.2">
      <c r="A56" s="7"/>
      <c r="B56" s="7"/>
      <c r="C56" s="16" t="s">
        <v>47</v>
      </c>
      <c r="D56" s="11" t="s">
        <v>12</v>
      </c>
      <c r="E56" s="173" t="s">
        <v>15</v>
      </c>
      <c r="F56" s="9"/>
      <c r="G56" s="147">
        <v>42641</v>
      </c>
      <c r="H56" s="11"/>
      <c r="I56" s="15">
        <v>151.66999999999999</v>
      </c>
      <c r="J56" s="13">
        <f t="shared" si="9"/>
        <v>1</v>
      </c>
      <c r="K56" s="14">
        <f t="shared" si="10"/>
        <v>0.25753424657534246</v>
      </c>
      <c r="L56" s="14">
        <f t="shared" si="11"/>
        <v>1</v>
      </c>
      <c r="M56" s="15">
        <f t="shared" si="12"/>
        <v>0.25753424657534246</v>
      </c>
      <c r="O56" s="74"/>
      <c r="P56" s="74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53">
        <v>6168.01</v>
      </c>
      <c r="AF56" s="16"/>
      <c r="AG56" s="16"/>
      <c r="AH56" s="16"/>
      <c r="AI56" s="16"/>
      <c r="AJ56" s="16">
        <v>111.9801121109184</v>
      </c>
      <c r="AK56" s="16">
        <v>113.4</v>
      </c>
      <c r="AL56" s="176">
        <f>DATEDIF(G56,$B$7,"d")</f>
        <v>2</v>
      </c>
      <c r="AM56" s="164">
        <f t="shared" si="14"/>
        <v>56.7</v>
      </c>
      <c r="AN56" s="161">
        <f t="shared" si="15"/>
        <v>8.1039421700060635E-2</v>
      </c>
      <c r="AO56" s="162">
        <f t="shared" si="16"/>
        <v>13153.282436150297</v>
      </c>
      <c r="AP56" s="163">
        <f t="shared" si="5"/>
        <v>61.680100000000003</v>
      </c>
      <c r="AQ56" s="163">
        <f t="shared" si="17"/>
        <v>48.341475957829779</v>
      </c>
      <c r="AR56" s="163">
        <f t="shared" si="18"/>
        <v>13375.284124219044</v>
      </c>
      <c r="AS56" s="195"/>
      <c r="AT56" s="192"/>
      <c r="AU56" s="192"/>
      <c r="AV56" s="192"/>
    </row>
    <row r="57" spans="1:48" x14ac:dyDescent="0.2">
      <c r="A57" s="7"/>
      <c r="B57" s="7"/>
      <c r="C57" s="7" t="s">
        <v>35</v>
      </c>
      <c r="D57" s="8" t="s">
        <v>12</v>
      </c>
      <c r="E57" s="173" t="s">
        <v>13</v>
      </c>
      <c r="F57" s="9"/>
      <c r="G57" s="10">
        <v>42468</v>
      </c>
      <c r="H57" s="11"/>
      <c r="I57" s="12">
        <v>151.66999999999999</v>
      </c>
      <c r="J57" s="13">
        <f t="shared" si="9"/>
        <v>1</v>
      </c>
      <c r="K57" s="14">
        <f t="shared" si="10"/>
        <v>0.73150684931506849</v>
      </c>
      <c r="L57" s="14">
        <f t="shared" si="11"/>
        <v>1</v>
      </c>
      <c r="M57" s="15">
        <f t="shared" si="12"/>
        <v>0.73150684931506849</v>
      </c>
      <c r="N57" s="1" t="s">
        <v>123</v>
      </c>
      <c r="O57" s="74"/>
      <c r="P57" s="74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53">
        <v>15778.390000000003</v>
      </c>
      <c r="AF57" s="16"/>
      <c r="AG57" s="16"/>
      <c r="AH57" s="16"/>
      <c r="AI57" s="16"/>
      <c r="AJ57" s="16">
        <v>452.14779677343626</v>
      </c>
      <c r="AK57" s="16">
        <v>3278.9900000000007</v>
      </c>
      <c r="AL57" s="176">
        <f>DATEDIF(G57,$B$7,"d")</f>
        <v>175</v>
      </c>
      <c r="AM57" s="164">
        <f t="shared" si="14"/>
        <v>18.737085714285719</v>
      </c>
      <c r="AN57" s="161">
        <f t="shared" si="15"/>
        <v>2.6780292603706915E-2</v>
      </c>
      <c r="AO57" s="162">
        <f t="shared" si="16"/>
        <v>4346.6345754913045</v>
      </c>
      <c r="AP57" s="163">
        <f>IF(E57="CDD",AC57*0.02,IF(E57="CDI",AC57*0.01))</f>
        <v>315.56780000000009</v>
      </c>
      <c r="AQ57" s="163">
        <f t="shared" si="17"/>
        <v>137.3103625610697</v>
      </c>
      <c r="AR57" s="163">
        <f t="shared" si="18"/>
        <v>5251.6605348258099</v>
      </c>
      <c r="AS57" s="195"/>
      <c r="AT57" s="192"/>
      <c r="AU57" s="192"/>
      <c r="AV57" s="192"/>
    </row>
    <row r="58" spans="1:48" x14ac:dyDescent="0.2">
      <c r="A58" s="7"/>
      <c r="B58" s="7"/>
      <c r="C58" s="7" t="s">
        <v>47</v>
      </c>
      <c r="D58" s="8" t="s">
        <v>12</v>
      </c>
      <c r="E58" s="173" t="s">
        <v>15</v>
      </c>
      <c r="F58" s="9"/>
      <c r="G58" s="10">
        <v>42655</v>
      </c>
      <c r="H58" s="11"/>
      <c r="I58" s="12">
        <v>151.66999999999999</v>
      </c>
      <c r="J58" s="13">
        <f t="shared" si="9"/>
        <v>1</v>
      </c>
      <c r="K58" s="14">
        <f t="shared" si="10"/>
        <v>0.21917808219178081</v>
      </c>
      <c r="L58" s="14">
        <f t="shared" si="11"/>
        <v>1</v>
      </c>
      <c r="M58" s="15">
        <f t="shared" si="12"/>
        <v>0.21917808219178081</v>
      </c>
      <c r="O58" s="74"/>
      <c r="P58" s="74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53">
        <v>5240.79</v>
      </c>
      <c r="AF58" s="16"/>
      <c r="AG58" s="16"/>
      <c r="AH58" s="16"/>
      <c r="AI58" s="16"/>
      <c r="AJ58" s="16">
        <v>95.271741190894645</v>
      </c>
      <c r="AK58" s="16">
        <v>6168.14</v>
      </c>
      <c r="AL58" s="175">
        <f>DATEDIF($B$5,$B$7,"d")</f>
        <v>273</v>
      </c>
      <c r="AM58" s="164">
        <f t="shared" si="14"/>
        <v>22.593919413919416</v>
      </c>
      <c r="AN58" s="161">
        <f t="shared" si="15"/>
        <v>3.2292736565111148E-2</v>
      </c>
      <c r="AO58" s="162">
        <f t="shared" si="16"/>
        <v>5241.3439751481737</v>
      </c>
      <c r="AP58" s="163">
        <f>IF(E58="CDD",AC58*0.02,IF(E58="CDI",AC58*0.01))</f>
        <v>52.407899999999998</v>
      </c>
      <c r="AQ58" s="163">
        <f t="shared" si="17"/>
        <v>41.141681666238107</v>
      </c>
      <c r="AR58" s="163">
        <f t="shared" si="18"/>
        <v>5430.1652980053059</v>
      </c>
      <c r="AS58" s="195"/>
      <c r="AT58" s="192"/>
      <c r="AU58" s="192"/>
      <c r="AV58" s="192"/>
    </row>
    <row r="59" spans="1:48" x14ac:dyDescent="0.2">
      <c r="A59" s="7"/>
      <c r="B59" s="7"/>
      <c r="C59" s="7"/>
      <c r="D59" s="8"/>
      <c r="E59" s="173" t="s">
        <v>15</v>
      </c>
      <c r="F59" s="9"/>
      <c r="G59" s="10"/>
      <c r="H59" s="11"/>
      <c r="I59" s="12"/>
      <c r="J59" s="13">
        <f t="shared" si="9"/>
        <v>1</v>
      </c>
      <c r="K59" s="14">
        <f t="shared" si="10"/>
        <v>1</v>
      </c>
      <c r="L59" s="14">
        <f t="shared" si="11"/>
        <v>0</v>
      </c>
      <c r="M59" s="15">
        <f t="shared" si="12"/>
        <v>0</v>
      </c>
      <c r="O59" s="74"/>
      <c r="P59" s="74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F59" s="16"/>
      <c r="AG59" s="16"/>
      <c r="AH59" s="16"/>
      <c r="AI59" s="16"/>
      <c r="AJ59" s="16"/>
      <c r="AK59" s="16"/>
      <c r="AL59" s="16"/>
      <c r="AM59" s="177" t="e">
        <f t="shared" ref="AM59:AM85" si="19">(AK59/AL59)</f>
        <v>#DIV/0!</v>
      </c>
      <c r="AN59" s="161" t="e">
        <f t="shared" si="15"/>
        <v>#DIV/0!</v>
      </c>
      <c r="AO59" s="162" t="e">
        <f>$AO$13*AN59</f>
        <v>#DIV/0!</v>
      </c>
      <c r="AP59" s="163">
        <f t="shared" ref="AP59:AP85" si="20">IF(E59="CDD",AC59*0.02,IF(E59="CDI",AC59*0.01))</f>
        <v>0</v>
      </c>
      <c r="AQ59" s="163"/>
      <c r="AR59" s="163" t="e">
        <f t="shared" ref="AR59:AR85" si="21">AO59+AJ59+AP59</f>
        <v>#DIV/0!</v>
      </c>
      <c r="AT59" s="192"/>
    </row>
    <row r="60" spans="1:48" x14ac:dyDescent="0.2">
      <c r="A60" s="7"/>
      <c r="B60" s="7"/>
      <c r="C60" s="7"/>
      <c r="D60" s="8"/>
      <c r="E60" s="173" t="s">
        <v>15</v>
      </c>
      <c r="F60" s="9"/>
      <c r="G60" s="10"/>
      <c r="H60" s="11"/>
      <c r="I60" s="12"/>
      <c r="J60" s="13">
        <f t="shared" si="9"/>
        <v>1</v>
      </c>
      <c r="K60" s="14">
        <f t="shared" si="10"/>
        <v>1</v>
      </c>
      <c r="L60" s="14">
        <f t="shared" si="11"/>
        <v>0</v>
      </c>
      <c r="M60" s="15">
        <f t="shared" si="12"/>
        <v>0</v>
      </c>
      <c r="O60" s="74"/>
      <c r="P60" s="74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F60" s="16"/>
      <c r="AG60" s="16"/>
      <c r="AH60" s="16"/>
      <c r="AI60" s="16"/>
      <c r="AJ60" s="16"/>
      <c r="AK60" s="16"/>
      <c r="AL60" s="16"/>
      <c r="AM60" s="177" t="e">
        <f t="shared" si="19"/>
        <v>#DIV/0!</v>
      </c>
      <c r="AN60" s="161" t="e">
        <f t="shared" ref="AN60:AN85" si="22">AM60/$AM$13</f>
        <v>#DIV/0!</v>
      </c>
      <c r="AO60" s="162" t="e">
        <f>$AO$13*AN60</f>
        <v>#DIV/0!</v>
      </c>
      <c r="AP60" s="163">
        <f t="shared" si="20"/>
        <v>0</v>
      </c>
      <c r="AQ60" s="163"/>
      <c r="AR60" s="163" t="e">
        <f t="shared" si="21"/>
        <v>#DIV/0!</v>
      </c>
      <c r="AT60" s="192"/>
    </row>
    <row r="61" spans="1:48" x14ac:dyDescent="0.2">
      <c r="A61" s="7"/>
      <c r="B61" s="7"/>
      <c r="C61" s="7"/>
      <c r="D61" s="8"/>
      <c r="E61" s="173" t="s">
        <v>13</v>
      </c>
      <c r="F61" s="9"/>
      <c r="G61" s="10"/>
      <c r="H61" s="10"/>
      <c r="I61" s="12"/>
      <c r="J61" s="13">
        <f t="shared" si="9"/>
        <v>1</v>
      </c>
      <c r="K61" s="14">
        <f t="shared" si="10"/>
        <v>1</v>
      </c>
      <c r="L61" s="14">
        <f t="shared" si="11"/>
        <v>0</v>
      </c>
      <c r="M61" s="15">
        <f t="shared" si="12"/>
        <v>0</v>
      </c>
      <c r="O61" s="74"/>
      <c r="P61" s="74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F61" s="16"/>
      <c r="AG61" s="16"/>
      <c r="AH61" s="16"/>
      <c r="AI61" s="16"/>
      <c r="AJ61" s="16"/>
      <c r="AK61" s="16"/>
      <c r="AL61" s="16"/>
      <c r="AM61" s="177" t="e">
        <f t="shared" si="19"/>
        <v>#DIV/0!</v>
      </c>
      <c r="AN61" s="161" t="e">
        <f t="shared" si="22"/>
        <v>#DIV/0!</v>
      </c>
      <c r="AO61" s="162" t="e">
        <f t="shared" si="16"/>
        <v>#DIV/0!</v>
      </c>
      <c r="AP61" s="163">
        <f t="shared" si="20"/>
        <v>0</v>
      </c>
      <c r="AQ61" s="163"/>
      <c r="AR61" s="163" t="e">
        <f t="shared" si="21"/>
        <v>#DIV/0!</v>
      </c>
      <c r="AT61" s="192"/>
    </row>
    <row r="62" spans="1:48" x14ac:dyDescent="0.2">
      <c r="A62" s="7"/>
      <c r="B62" s="7"/>
      <c r="C62" s="7"/>
      <c r="D62" s="8"/>
      <c r="E62" s="173" t="s">
        <v>15</v>
      </c>
      <c r="F62" s="9"/>
      <c r="G62" s="10"/>
      <c r="H62" s="11"/>
      <c r="I62" s="12"/>
      <c r="J62" s="13">
        <f t="shared" si="9"/>
        <v>1</v>
      </c>
      <c r="K62" s="14">
        <f t="shared" si="10"/>
        <v>1</v>
      </c>
      <c r="L62" s="14">
        <f t="shared" si="11"/>
        <v>0</v>
      </c>
      <c r="M62" s="15">
        <f t="shared" si="12"/>
        <v>0</v>
      </c>
      <c r="O62" s="74"/>
      <c r="P62" s="74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F62" s="16"/>
      <c r="AG62" s="16"/>
      <c r="AH62" s="16"/>
      <c r="AI62" s="16"/>
      <c r="AJ62" s="16"/>
      <c r="AK62" s="16"/>
      <c r="AL62" s="16"/>
      <c r="AM62" s="177" t="e">
        <f t="shared" si="19"/>
        <v>#DIV/0!</v>
      </c>
      <c r="AN62" s="161" t="e">
        <f t="shared" si="22"/>
        <v>#DIV/0!</v>
      </c>
      <c r="AO62" s="162" t="e">
        <f t="shared" si="16"/>
        <v>#DIV/0!</v>
      </c>
      <c r="AP62" s="163">
        <f t="shared" si="20"/>
        <v>0</v>
      </c>
      <c r="AQ62" s="163"/>
      <c r="AR62" s="163" t="e">
        <f t="shared" si="21"/>
        <v>#DIV/0!</v>
      </c>
      <c r="AT62" s="192"/>
    </row>
    <row r="63" spans="1:48" x14ac:dyDescent="0.2">
      <c r="A63" s="7"/>
      <c r="B63" s="7"/>
      <c r="C63" s="7"/>
      <c r="D63" s="8"/>
      <c r="E63" s="173" t="s">
        <v>15</v>
      </c>
      <c r="F63" s="9"/>
      <c r="G63" s="10"/>
      <c r="H63" s="11"/>
      <c r="I63" s="12"/>
      <c r="J63" s="13">
        <f t="shared" si="9"/>
        <v>1</v>
      </c>
      <c r="K63" s="14">
        <f t="shared" si="10"/>
        <v>1</v>
      </c>
      <c r="L63" s="14">
        <f t="shared" si="11"/>
        <v>0</v>
      </c>
      <c r="M63" s="15">
        <f t="shared" si="12"/>
        <v>0</v>
      </c>
      <c r="O63" s="74"/>
      <c r="P63" s="74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F63" s="16"/>
      <c r="AG63" s="16"/>
      <c r="AH63" s="16"/>
      <c r="AI63" s="16"/>
      <c r="AJ63" s="16"/>
      <c r="AK63" s="16"/>
      <c r="AL63" s="16"/>
      <c r="AM63" s="177" t="e">
        <f t="shared" si="19"/>
        <v>#DIV/0!</v>
      </c>
      <c r="AN63" s="161" t="e">
        <f t="shared" si="22"/>
        <v>#DIV/0!</v>
      </c>
      <c r="AO63" s="162" t="e">
        <f t="shared" si="16"/>
        <v>#DIV/0!</v>
      </c>
      <c r="AP63" s="163">
        <f t="shared" si="20"/>
        <v>0</v>
      </c>
      <c r="AQ63" s="163"/>
      <c r="AR63" s="163" t="e">
        <f t="shared" si="21"/>
        <v>#DIV/0!</v>
      </c>
      <c r="AT63" s="192"/>
    </row>
    <row r="64" spans="1:48" x14ac:dyDescent="0.2">
      <c r="A64" s="7"/>
      <c r="B64" s="7"/>
      <c r="C64" s="7"/>
      <c r="D64" s="8"/>
      <c r="E64" s="173" t="s">
        <v>15</v>
      </c>
      <c r="F64" s="9"/>
      <c r="G64" s="10"/>
      <c r="H64" s="11"/>
      <c r="I64" s="12"/>
      <c r="J64" s="13">
        <f t="shared" si="9"/>
        <v>1</v>
      </c>
      <c r="K64" s="14">
        <f t="shared" si="10"/>
        <v>1</v>
      </c>
      <c r="L64" s="14">
        <f t="shared" si="11"/>
        <v>0</v>
      </c>
      <c r="M64" s="15">
        <f t="shared" si="12"/>
        <v>0</v>
      </c>
      <c r="O64" s="74"/>
      <c r="P64" s="74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F64" s="16"/>
      <c r="AG64" s="16"/>
      <c r="AH64" s="16"/>
      <c r="AI64" s="16"/>
      <c r="AJ64" s="16"/>
      <c r="AK64" s="16"/>
      <c r="AL64" s="16"/>
      <c r="AM64" s="177" t="e">
        <f t="shared" si="19"/>
        <v>#DIV/0!</v>
      </c>
      <c r="AN64" s="161" t="e">
        <f t="shared" si="22"/>
        <v>#DIV/0!</v>
      </c>
      <c r="AO64" s="162" t="e">
        <f t="shared" si="16"/>
        <v>#DIV/0!</v>
      </c>
      <c r="AP64" s="163">
        <f t="shared" si="20"/>
        <v>0</v>
      </c>
      <c r="AQ64" s="163"/>
      <c r="AR64" s="163" t="e">
        <f t="shared" si="21"/>
        <v>#DIV/0!</v>
      </c>
      <c r="AT64" s="192"/>
    </row>
    <row r="65" spans="1:46" x14ac:dyDescent="0.2">
      <c r="A65" s="7"/>
      <c r="B65" s="7"/>
      <c r="C65" s="7"/>
      <c r="D65" s="8"/>
      <c r="E65" s="173" t="s">
        <v>15</v>
      </c>
      <c r="F65" s="9"/>
      <c r="G65" s="10"/>
      <c r="H65" s="11"/>
      <c r="I65" s="12"/>
      <c r="J65" s="13">
        <f t="shared" si="9"/>
        <v>1</v>
      </c>
      <c r="K65" s="14">
        <f t="shared" si="10"/>
        <v>1</v>
      </c>
      <c r="L65" s="14">
        <f t="shared" si="11"/>
        <v>0</v>
      </c>
      <c r="M65" s="15">
        <f t="shared" si="12"/>
        <v>0</v>
      </c>
      <c r="O65" s="74"/>
      <c r="P65" s="74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F65" s="16"/>
      <c r="AG65" s="16"/>
      <c r="AH65" s="16"/>
      <c r="AI65" s="16"/>
      <c r="AJ65" s="16"/>
      <c r="AK65" s="16"/>
      <c r="AL65" s="16"/>
      <c r="AM65" s="177" t="e">
        <f t="shared" si="19"/>
        <v>#DIV/0!</v>
      </c>
      <c r="AN65" s="161" t="e">
        <f t="shared" si="22"/>
        <v>#DIV/0!</v>
      </c>
      <c r="AO65" s="162" t="e">
        <f t="shared" si="16"/>
        <v>#DIV/0!</v>
      </c>
      <c r="AP65" s="163">
        <f t="shared" si="20"/>
        <v>0</v>
      </c>
      <c r="AQ65" s="163"/>
      <c r="AR65" s="163" t="e">
        <f t="shared" si="21"/>
        <v>#DIV/0!</v>
      </c>
      <c r="AT65" s="192"/>
    </row>
    <row r="66" spans="1:46" x14ac:dyDescent="0.2">
      <c r="A66" s="7"/>
      <c r="B66" s="7"/>
      <c r="C66" s="7"/>
      <c r="D66" s="8"/>
      <c r="E66" s="173" t="s">
        <v>15</v>
      </c>
      <c r="F66" s="9"/>
      <c r="G66" s="10"/>
      <c r="H66" s="11"/>
      <c r="I66" s="12"/>
      <c r="J66" s="13">
        <f t="shared" si="9"/>
        <v>1</v>
      </c>
      <c r="K66" s="14">
        <f t="shared" si="10"/>
        <v>1</v>
      </c>
      <c r="L66" s="14">
        <f t="shared" si="11"/>
        <v>0</v>
      </c>
      <c r="M66" s="15">
        <f t="shared" si="12"/>
        <v>0</v>
      </c>
      <c r="O66" s="74"/>
      <c r="P66" s="74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F66" s="16"/>
      <c r="AG66" s="16"/>
      <c r="AH66" s="16"/>
      <c r="AI66" s="16"/>
      <c r="AJ66" s="16"/>
      <c r="AK66" s="16"/>
      <c r="AL66" s="16"/>
      <c r="AM66" s="177" t="e">
        <f t="shared" si="19"/>
        <v>#DIV/0!</v>
      </c>
      <c r="AN66" s="161" t="e">
        <f t="shared" si="22"/>
        <v>#DIV/0!</v>
      </c>
      <c r="AO66" s="162" t="e">
        <f t="shared" si="16"/>
        <v>#DIV/0!</v>
      </c>
      <c r="AP66" s="163">
        <f t="shared" si="20"/>
        <v>0</v>
      </c>
      <c r="AQ66" s="163"/>
      <c r="AR66" s="163" t="e">
        <f t="shared" si="21"/>
        <v>#DIV/0!</v>
      </c>
      <c r="AT66" s="192"/>
    </row>
    <row r="67" spans="1:46" x14ac:dyDescent="0.2">
      <c r="A67" s="7"/>
      <c r="B67" s="7"/>
      <c r="C67" s="7"/>
      <c r="D67" s="8"/>
      <c r="E67" s="173" t="s">
        <v>13</v>
      </c>
      <c r="F67" s="9"/>
      <c r="G67" s="10"/>
      <c r="H67" s="11"/>
      <c r="I67" s="12"/>
      <c r="J67" s="13">
        <f t="shared" si="9"/>
        <v>1</v>
      </c>
      <c r="K67" s="14">
        <f t="shared" si="10"/>
        <v>1</v>
      </c>
      <c r="L67" s="14">
        <f t="shared" si="11"/>
        <v>0</v>
      </c>
      <c r="M67" s="15">
        <f t="shared" si="12"/>
        <v>0</v>
      </c>
      <c r="O67" s="74"/>
      <c r="P67" s="74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F67" s="16"/>
      <c r="AG67" s="16"/>
      <c r="AH67" s="16"/>
      <c r="AI67" s="16"/>
      <c r="AJ67" s="16"/>
      <c r="AK67" s="16"/>
      <c r="AL67" s="16"/>
      <c r="AM67" s="177" t="e">
        <f t="shared" si="19"/>
        <v>#DIV/0!</v>
      </c>
      <c r="AN67" s="161" t="e">
        <f t="shared" si="22"/>
        <v>#DIV/0!</v>
      </c>
      <c r="AO67" s="162" t="e">
        <f t="shared" si="16"/>
        <v>#DIV/0!</v>
      </c>
      <c r="AP67" s="163">
        <f t="shared" si="20"/>
        <v>0</v>
      </c>
      <c r="AQ67" s="163"/>
      <c r="AR67" s="163" t="e">
        <f t="shared" si="21"/>
        <v>#DIV/0!</v>
      </c>
      <c r="AT67" s="192"/>
    </row>
    <row r="68" spans="1:46" x14ac:dyDescent="0.2">
      <c r="A68" s="7"/>
      <c r="B68" s="7"/>
      <c r="C68" s="7"/>
      <c r="D68" s="8"/>
      <c r="E68" s="173" t="s">
        <v>13</v>
      </c>
      <c r="F68" s="9"/>
      <c r="G68" s="10"/>
      <c r="H68" s="10"/>
      <c r="I68" s="12"/>
      <c r="J68" s="13">
        <f t="shared" si="9"/>
        <v>1</v>
      </c>
      <c r="K68" s="14">
        <f t="shared" si="10"/>
        <v>1</v>
      </c>
      <c r="L68" s="14">
        <f t="shared" si="11"/>
        <v>0</v>
      </c>
      <c r="M68" s="15">
        <f t="shared" si="12"/>
        <v>0</v>
      </c>
      <c r="O68" s="74"/>
      <c r="P68" s="74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F68" s="16"/>
      <c r="AG68" s="16"/>
      <c r="AH68" s="16"/>
      <c r="AI68" s="16"/>
      <c r="AJ68" s="16"/>
      <c r="AK68" s="16"/>
      <c r="AL68" s="16"/>
      <c r="AM68" s="177" t="e">
        <f t="shared" si="19"/>
        <v>#DIV/0!</v>
      </c>
      <c r="AN68" s="161" t="e">
        <f t="shared" si="22"/>
        <v>#DIV/0!</v>
      </c>
      <c r="AO68" s="162" t="e">
        <f t="shared" si="16"/>
        <v>#DIV/0!</v>
      </c>
      <c r="AP68" s="163">
        <f t="shared" si="20"/>
        <v>0</v>
      </c>
      <c r="AQ68" s="163"/>
      <c r="AR68" s="163" t="e">
        <f t="shared" si="21"/>
        <v>#DIV/0!</v>
      </c>
      <c r="AT68" s="192"/>
    </row>
    <row r="69" spans="1:46" x14ac:dyDescent="0.2">
      <c r="A69" s="7"/>
      <c r="B69" s="7"/>
      <c r="C69" s="7"/>
      <c r="D69" s="8"/>
      <c r="E69" s="173" t="s">
        <v>15</v>
      </c>
      <c r="F69" s="9"/>
      <c r="G69" s="10"/>
      <c r="H69" s="11"/>
      <c r="I69" s="12"/>
      <c r="J69" s="13">
        <f t="shared" si="9"/>
        <v>1</v>
      </c>
      <c r="K69" s="14">
        <f t="shared" si="10"/>
        <v>1</v>
      </c>
      <c r="L69" s="14">
        <f t="shared" si="11"/>
        <v>0</v>
      </c>
      <c r="M69" s="15">
        <f t="shared" si="12"/>
        <v>0</v>
      </c>
      <c r="O69" s="74"/>
      <c r="P69" s="74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F69" s="16"/>
      <c r="AG69" s="16"/>
      <c r="AH69" s="16"/>
      <c r="AI69" s="16"/>
      <c r="AJ69" s="16"/>
      <c r="AK69" s="16"/>
      <c r="AL69" s="16"/>
      <c r="AM69" s="177" t="e">
        <f t="shared" si="19"/>
        <v>#DIV/0!</v>
      </c>
      <c r="AN69" s="161" t="e">
        <f t="shared" si="22"/>
        <v>#DIV/0!</v>
      </c>
      <c r="AO69" s="162" t="e">
        <f t="shared" si="16"/>
        <v>#DIV/0!</v>
      </c>
      <c r="AP69" s="163">
        <f t="shared" si="20"/>
        <v>0</v>
      </c>
      <c r="AQ69" s="163"/>
      <c r="AR69" s="163" t="e">
        <f t="shared" si="21"/>
        <v>#DIV/0!</v>
      </c>
      <c r="AT69" s="192"/>
    </row>
    <row r="70" spans="1:46" x14ac:dyDescent="0.2">
      <c r="A70" s="7"/>
      <c r="B70" s="7"/>
      <c r="C70" s="7"/>
      <c r="D70" s="8"/>
      <c r="E70" s="173" t="s">
        <v>13</v>
      </c>
      <c r="F70" s="9"/>
      <c r="G70" s="10"/>
      <c r="H70" s="10"/>
      <c r="I70" s="12"/>
      <c r="J70" s="13">
        <f t="shared" si="9"/>
        <v>1</v>
      </c>
      <c r="K70" s="14">
        <f t="shared" si="10"/>
        <v>1</v>
      </c>
      <c r="L70" s="14">
        <f t="shared" si="11"/>
        <v>0</v>
      </c>
      <c r="M70" s="15">
        <f t="shared" si="12"/>
        <v>0</v>
      </c>
      <c r="O70" s="74"/>
      <c r="P70" s="74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F70" s="16"/>
      <c r="AG70" s="16"/>
      <c r="AH70" s="16"/>
      <c r="AI70" s="16"/>
      <c r="AJ70" s="16"/>
      <c r="AK70" s="16"/>
      <c r="AL70" s="16"/>
      <c r="AM70" s="177" t="e">
        <f t="shared" si="19"/>
        <v>#DIV/0!</v>
      </c>
      <c r="AN70" s="161" t="e">
        <f t="shared" si="22"/>
        <v>#DIV/0!</v>
      </c>
      <c r="AO70" s="162" t="e">
        <f t="shared" si="16"/>
        <v>#DIV/0!</v>
      </c>
      <c r="AP70" s="163">
        <f t="shared" si="20"/>
        <v>0</v>
      </c>
      <c r="AQ70" s="163"/>
      <c r="AR70" s="163" t="e">
        <f t="shared" si="21"/>
        <v>#DIV/0!</v>
      </c>
      <c r="AT70" s="192"/>
    </row>
    <row r="71" spans="1:46" x14ac:dyDescent="0.2">
      <c r="A71" s="7"/>
      <c r="B71" s="7"/>
      <c r="C71" s="7"/>
      <c r="D71" s="8"/>
      <c r="E71" s="173" t="s">
        <v>15</v>
      </c>
      <c r="F71" s="9"/>
      <c r="G71" s="10"/>
      <c r="H71" s="11"/>
      <c r="I71" s="12"/>
      <c r="J71" s="13">
        <f t="shared" si="9"/>
        <v>1</v>
      </c>
      <c r="K71" s="14">
        <f t="shared" si="10"/>
        <v>1</v>
      </c>
      <c r="L71" s="14">
        <f t="shared" si="11"/>
        <v>0</v>
      </c>
      <c r="M71" s="15">
        <f t="shared" si="12"/>
        <v>0</v>
      </c>
      <c r="O71" s="74"/>
      <c r="P71" s="74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F71" s="16"/>
      <c r="AG71" s="16"/>
      <c r="AH71" s="16"/>
      <c r="AI71" s="16"/>
      <c r="AJ71" s="16"/>
      <c r="AK71" s="16"/>
      <c r="AL71" s="16"/>
      <c r="AM71" s="177" t="e">
        <f t="shared" si="19"/>
        <v>#DIV/0!</v>
      </c>
      <c r="AN71" s="161" t="e">
        <f t="shared" si="22"/>
        <v>#DIV/0!</v>
      </c>
      <c r="AO71" s="162" t="e">
        <f t="shared" si="16"/>
        <v>#DIV/0!</v>
      </c>
      <c r="AP71" s="163">
        <f t="shared" si="20"/>
        <v>0</v>
      </c>
      <c r="AQ71" s="163"/>
      <c r="AR71" s="163" t="e">
        <f t="shared" si="21"/>
        <v>#DIV/0!</v>
      </c>
      <c r="AT71" s="192"/>
    </row>
    <row r="72" spans="1:46" x14ac:dyDescent="0.2">
      <c r="A72" s="7"/>
      <c r="B72" s="7"/>
      <c r="C72" s="7"/>
      <c r="D72" s="8"/>
      <c r="E72" s="173" t="s">
        <v>15</v>
      </c>
      <c r="F72" s="9"/>
      <c r="G72" s="10"/>
      <c r="H72" s="11"/>
      <c r="I72" s="12"/>
      <c r="J72" s="13">
        <f t="shared" si="9"/>
        <v>1</v>
      </c>
      <c r="K72" s="14">
        <f t="shared" si="10"/>
        <v>1</v>
      </c>
      <c r="L72" s="14">
        <f t="shared" si="11"/>
        <v>0</v>
      </c>
      <c r="M72" s="15">
        <f t="shared" si="12"/>
        <v>0</v>
      </c>
      <c r="O72" s="74"/>
      <c r="P72" s="74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F72" s="16"/>
      <c r="AG72" s="16"/>
      <c r="AH72" s="16"/>
      <c r="AI72" s="16"/>
      <c r="AJ72" s="16"/>
      <c r="AK72" s="16"/>
      <c r="AL72" s="16"/>
      <c r="AM72" s="177" t="e">
        <f t="shared" si="19"/>
        <v>#DIV/0!</v>
      </c>
      <c r="AN72" s="161" t="e">
        <f t="shared" si="22"/>
        <v>#DIV/0!</v>
      </c>
      <c r="AO72" s="162" t="e">
        <f t="shared" si="16"/>
        <v>#DIV/0!</v>
      </c>
      <c r="AP72" s="163">
        <f t="shared" si="20"/>
        <v>0</v>
      </c>
      <c r="AQ72" s="163"/>
      <c r="AR72" s="163" t="e">
        <f t="shared" si="21"/>
        <v>#DIV/0!</v>
      </c>
      <c r="AT72" s="192"/>
    </row>
    <row r="73" spans="1:46" x14ac:dyDescent="0.2">
      <c r="A73" s="7"/>
      <c r="B73" s="7"/>
      <c r="C73" s="7"/>
      <c r="D73" s="8"/>
      <c r="E73" s="173" t="s">
        <v>13</v>
      </c>
      <c r="F73" s="9"/>
      <c r="G73" s="10"/>
      <c r="H73" s="10"/>
      <c r="I73" s="12"/>
      <c r="J73" s="13">
        <f t="shared" si="9"/>
        <v>1</v>
      </c>
      <c r="K73" s="14">
        <f t="shared" si="10"/>
        <v>1</v>
      </c>
      <c r="L73" s="14">
        <f t="shared" si="11"/>
        <v>0</v>
      </c>
      <c r="M73" s="15">
        <f t="shared" si="12"/>
        <v>0</v>
      </c>
      <c r="O73" s="74"/>
      <c r="P73" s="74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F73" s="16"/>
      <c r="AG73" s="16"/>
      <c r="AH73" s="16"/>
      <c r="AI73" s="16"/>
      <c r="AJ73" s="16"/>
      <c r="AK73" s="16"/>
      <c r="AL73" s="16"/>
      <c r="AM73" s="177" t="e">
        <f t="shared" si="19"/>
        <v>#DIV/0!</v>
      </c>
      <c r="AN73" s="161" t="e">
        <f t="shared" si="22"/>
        <v>#DIV/0!</v>
      </c>
      <c r="AO73" s="162" t="e">
        <f t="shared" si="16"/>
        <v>#DIV/0!</v>
      </c>
      <c r="AP73" s="163">
        <f t="shared" si="20"/>
        <v>0</v>
      </c>
      <c r="AQ73" s="163"/>
      <c r="AR73" s="163" t="e">
        <f t="shared" si="21"/>
        <v>#DIV/0!</v>
      </c>
      <c r="AT73" s="192"/>
    </row>
    <row r="74" spans="1:46" x14ac:dyDescent="0.2">
      <c r="A74" s="7"/>
      <c r="B74" s="7"/>
      <c r="C74" s="7"/>
      <c r="D74" s="8"/>
      <c r="E74" s="173" t="s">
        <v>13</v>
      </c>
      <c r="F74" s="9"/>
      <c r="G74" s="10"/>
      <c r="H74" s="10"/>
      <c r="I74" s="12"/>
      <c r="J74" s="13">
        <f t="shared" si="9"/>
        <v>1</v>
      </c>
      <c r="K74" s="14">
        <f t="shared" si="10"/>
        <v>1</v>
      </c>
      <c r="L74" s="14">
        <f t="shared" si="11"/>
        <v>0</v>
      </c>
      <c r="M74" s="15">
        <f t="shared" si="12"/>
        <v>0</v>
      </c>
      <c r="O74" s="74"/>
      <c r="P74" s="74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F74" s="16"/>
      <c r="AG74" s="16"/>
      <c r="AH74" s="16"/>
      <c r="AI74" s="16"/>
      <c r="AJ74" s="16"/>
      <c r="AK74" s="16"/>
      <c r="AL74" s="16"/>
      <c r="AM74" s="177" t="e">
        <f t="shared" si="19"/>
        <v>#DIV/0!</v>
      </c>
      <c r="AN74" s="161" t="e">
        <f t="shared" si="22"/>
        <v>#DIV/0!</v>
      </c>
      <c r="AO74" s="162" t="e">
        <f t="shared" si="16"/>
        <v>#DIV/0!</v>
      </c>
      <c r="AP74" s="163">
        <f t="shared" si="20"/>
        <v>0</v>
      </c>
      <c r="AQ74" s="163"/>
      <c r="AR74" s="163" t="e">
        <f t="shared" si="21"/>
        <v>#DIV/0!</v>
      </c>
      <c r="AT74" s="192"/>
    </row>
    <row r="75" spans="1:46" x14ac:dyDescent="0.2">
      <c r="A75" s="7"/>
      <c r="B75" s="7"/>
      <c r="C75" s="7"/>
      <c r="D75" s="8"/>
      <c r="E75" s="173" t="s">
        <v>15</v>
      </c>
      <c r="F75" s="9"/>
      <c r="G75" s="10"/>
      <c r="H75" s="11"/>
      <c r="I75" s="12"/>
      <c r="J75" s="13">
        <f t="shared" si="9"/>
        <v>1</v>
      </c>
      <c r="K75" s="14">
        <f t="shared" si="10"/>
        <v>1</v>
      </c>
      <c r="L75" s="14">
        <f t="shared" si="11"/>
        <v>0</v>
      </c>
      <c r="M75" s="15">
        <f t="shared" si="12"/>
        <v>0</v>
      </c>
      <c r="O75" s="74"/>
      <c r="P75" s="74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F75" s="16"/>
      <c r="AG75" s="16"/>
      <c r="AH75" s="16"/>
      <c r="AI75" s="16"/>
      <c r="AJ75" s="16"/>
      <c r="AK75" s="16"/>
      <c r="AL75" s="16"/>
      <c r="AM75" s="177" t="e">
        <f t="shared" si="19"/>
        <v>#DIV/0!</v>
      </c>
      <c r="AN75" s="161" t="e">
        <f t="shared" si="22"/>
        <v>#DIV/0!</v>
      </c>
      <c r="AO75" s="162" t="e">
        <f t="shared" si="16"/>
        <v>#DIV/0!</v>
      </c>
      <c r="AP75" s="163">
        <f t="shared" si="20"/>
        <v>0</v>
      </c>
      <c r="AQ75" s="163"/>
      <c r="AR75" s="163" t="e">
        <f t="shared" si="21"/>
        <v>#DIV/0!</v>
      </c>
      <c r="AT75" s="192"/>
    </row>
    <row r="76" spans="1:46" x14ac:dyDescent="0.2">
      <c r="A76" s="7"/>
      <c r="B76" s="7"/>
      <c r="C76" s="7"/>
      <c r="D76" s="8"/>
      <c r="E76" s="173" t="s">
        <v>13</v>
      </c>
      <c r="F76" s="9"/>
      <c r="G76" s="10"/>
      <c r="H76" s="11"/>
      <c r="I76" s="12"/>
      <c r="J76" s="13">
        <f t="shared" si="9"/>
        <v>1</v>
      </c>
      <c r="K76" s="14">
        <f t="shared" si="10"/>
        <v>1</v>
      </c>
      <c r="L76" s="14">
        <f t="shared" si="11"/>
        <v>0</v>
      </c>
      <c r="M76" s="15">
        <f t="shared" si="12"/>
        <v>0</v>
      </c>
      <c r="O76" s="74"/>
      <c r="P76" s="74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F76" s="16"/>
      <c r="AG76" s="16"/>
      <c r="AH76" s="16"/>
      <c r="AI76" s="16"/>
      <c r="AJ76" s="16"/>
      <c r="AK76" s="16"/>
      <c r="AL76" s="16"/>
      <c r="AM76" s="177" t="e">
        <f t="shared" si="19"/>
        <v>#DIV/0!</v>
      </c>
      <c r="AN76" s="161" t="e">
        <f t="shared" si="22"/>
        <v>#DIV/0!</v>
      </c>
      <c r="AO76" s="162" t="e">
        <f t="shared" si="16"/>
        <v>#DIV/0!</v>
      </c>
      <c r="AP76" s="163">
        <f t="shared" si="20"/>
        <v>0</v>
      </c>
      <c r="AQ76" s="163"/>
      <c r="AR76" s="163" t="e">
        <f t="shared" si="21"/>
        <v>#DIV/0!</v>
      </c>
      <c r="AT76" s="192"/>
    </row>
    <row r="77" spans="1:46" x14ac:dyDescent="0.2">
      <c r="A77" s="7"/>
      <c r="B77" s="7"/>
      <c r="C77" s="7"/>
      <c r="D77" s="8"/>
      <c r="E77" s="173" t="s">
        <v>15</v>
      </c>
      <c r="F77" s="9"/>
      <c r="G77" s="10"/>
      <c r="H77" s="11"/>
      <c r="I77" s="12"/>
      <c r="J77" s="13">
        <f t="shared" ref="J77:J85" si="23">IF(F77=$AB$16,0,IF(F77=$AB$17,0,IF(F77=$AB$14,0,1)))</f>
        <v>1</v>
      </c>
      <c r="K77" s="14">
        <f t="shared" ref="K77:K85" si="24">IF(AND(ISBLANK(H77),G77&lt;=$B$5),($B$6-$B$5)/($B$6-$B$5),IF(AND(ISBLANK(H77),G77&gt;$B$5,G77&lt;=$B$6),($B$6-G77)/($B$6-$B$5),IF(AND(H77&lt;=$B$6,H77&gt;$B$5,G77&lt;=$B$5),(H77-$B$5)/($B$6-$B$5),IF(AND(H77&lt;=$B$6,H77&gt;$B$5,G77&gt;$B$5),(H77-G77)/($B$6-$B$5),IF(AND(H77&gt;$B$6,G77&gt;$B$6),0,IF(AND(H77&gt;$B$6,G77&lt;=$B$6,G77&gt;$B$5),($B$6-G77)/($B$6-$B$5),IF(AND(H77&gt;$B$6,G77&lt;=$B$5),($B$6-$B$5)/($B$6-$B$5),0)))))))</f>
        <v>1</v>
      </c>
      <c r="L77" s="14">
        <f t="shared" ref="L77:L85" si="25">I77/151.67</f>
        <v>0</v>
      </c>
      <c r="M77" s="15">
        <f t="shared" ref="M77:M85" si="26">J77*K77*L77</f>
        <v>0</v>
      </c>
      <c r="O77" s="74"/>
      <c r="P77" s="74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F77" s="16"/>
      <c r="AG77" s="16"/>
      <c r="AH77" s="16"/>
      <c r="AI77" s="16"/>
      <c r="AJ77" s="16"/>
      <c r="AK77" s="16"/>
      <c r="AL77" s="16"/>
      <c r="AM77" s="177" t="e">
        <f t="shared" si="19"/>
        <v>#DIV/0!</v>
      </c>
      <c r="AN77" s="161" t="e">
        <f t="shared" si="22"/>
        <v>#DIV/0!</v>
      </c>
      <c r="AO77" s="162" t="e">
        <f t="shared" si="16"/>
        <v>#DIV/0!</v>
      </c>
      <c r="AP77" s="163">
        <f t="shared" si="20"/>
        <v>0</v>
      </c>
      <c r="AQ77" s="163"/>
      <c r="AR77" s="163" t="e">
        <f t="shared" si="21"/>
        <v>#DIV/0!</v>
      </c>
      <c r="AT77" s="192"/>
    </row>
    <row r="78" spans="1:46" x14ac:dyDescent="0.2">
      <c r="A78" s="7"/>
      <c r="B78" s="7"/>
      <c r="C78" s="7"/>
      <c r="D78" s="8"/>
      <c r="E78" s="173" t="s">
        <v>13</v>
      </c>
      <c r="F78" s="9"/>
      <c r="G78" s="10"/>
      <c r="H78" s="11"/>
      <c r="I78" s="12"/>
      <c r="J78" s="13">
        <f t="shared" si="23"/>
        <v>1</v>
      </c>
      <c r="K78" s="14">
        <f t="shared" si="24"/>
        <v>1</v>
      </c>
      <c r="L78" s="14">
        <f t="shared" si="25"/>
        <v>0</v>
      </c>
      <c r="M78" s="15">
        <f t="shared" si="26"/>
        <v>0</v>
      </c>
      <c r="O78" s="74"/>
      <c r="P78" s="74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F78" s="16"/>
      <c r="AG78" s="16"/>
      <c r="AH78" s="16"/>
      <c r="AI78" s="16"/>
      <c r="AJ78" s="16"/>
      <c r="AK78" s="16"/>
      <c r="AL78" s="16"/>
      <c r="AM78" s="177" t="e">
        <f t="shared" si="19"/>
        <v>#DIV/0!</v>
      </c>
      <c r="AN78" s="161" t="e">
        <f t="shared" si="22"/>
        <v>#DIV/0!</v>
      </c>
      <c r="AO78" s="162" t="e">
        <f t="shared" si="16"/>
        <v>#DIV/0!</v>
      </c>
      <c r="AP78" s="163">
        <f t="shared" si="20"/>
        <v>0</v>
      </c>
      <c r="AQ78" s="163"/>
      <c r="AR78" s="163" t="e">
        <f t="shared" si="21"/>
        <v>#DIV/0!</v>
      </c>
      <c r="AT78" s="192"/>
    </row>
    <row r="79" spans="1:46" x14ac:dyDescent="0.2">
      <c r="A79" s="7"/>
      <c r="B79" s="7"/>
      <c r="C79" s="7"/>
      <c r="D79" s="8"/>
      <c r="E79" s="173" t="s">
        <v>15</v>
      </c>
      <c r="F79" s="9"/>
      <c r="G79" s="10"/>
      <c r="H79" s="11"/>
      <c r="I79" s="12"/>
      <c r="J79" s="13">
        <f t="shared" si="23"/>
        <v>1</v>
      </c>
      <c r="K79" s="14">
        <f t="shared" si="24"/>
        <v>1</v>
      </c>
      <c r="L79" s="14">
        <f t="shared" si="25"/>
        <v>0</v>
      </c>
      <c r="M79" s="15">
        <f t="shared" si="26"/>
        <v>0</v>
      </c>
      <c r="O79" s="74"/>
      <c r="P79" s="74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F79" s="16"/>
      <c r="AG79" s="16"/>
      <c r="AH79" s="16"/>
      <c r="AI79" s="16"/>
      <c r="AJ79" s="16"/>
      <c r="AK79" s="16"/>
      <c r="AL79" s="16"/>
      <c r="AM79" s="177" t="e">
        <f t="shared" si="19"/>
        <v>#DIV/0!</v>
      </c>
      <c r="AN79" s="161" t="e">
        <f t="shared" si="22"/>
        <v>#DIV/0!</v>
      </c>
      <c r="AO79" s="162" t="e">
        <f t="shared" si="16"/>
        <v>#DIV/0!</v>
      </c>
      <c r="AP79" s="163">
        <f t="shared" si="20"/>
        <v>0</v>
      </c>
      <c r="AQ79" s="163"/>
      <c r="AR79" s="163" t="e">
        <f t="shared" si="21"/>
        <v>#DIV/0!</v>
      </c>
      <c r="AT79" s="192"/>
    </row>
    <row r="80" spans="1:46" x14ac:dyDescent="0.2">
      <c r="A80" s="7"/>
      <c r="B80" s="7"/>
      <c r="C80" s="7"/>
      <c r="D80" s="8"/>
      <c r="E80" s="173" t="s">
        <v>15</v>
      </c>
      <c r="F80" s="9"/>
      <c r="G80" s="10"/>
      <c r="H80" s="11"/>
      <c r="I80" s="12"/>
      <c r="J80" s="13">
        <f t="shared" si="23"/>
        <v>1</v>
      </c>
      <c r="K80" s="14">
        <f t="shared" si="24"/>
        <v>1</v>
      </c>
      <c r="L80" s="14">
        <f t="shared" si="25"/>
        <v>0</v>
      </c>
      <c r="M80" s="15">
        <f t="shared" si="26"/>
        <v>0</v>
      </c>
      <c r="O80" s="74"/>
      <c r="P80" s="74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F80" s="16"/>
      <c r="AG80" s="16"/>
      <c r="AH80" s="16"/>
      <c r="AI80" s="16"/>
      <c r="AJ80" s="16"/>
      <c r="AK80" s="16"/>
      <c r="AL80" s="16"/>
      <c r="AM80" s="177" t="e">
        <f t="shared" si="19"/>
        <v>#DIV/0!</v>
      </c>
      <c r="AN80" s="161" t="e">
        <f t="shared" si="22"/>
        <v>#DIV/0!</v>
      </c>
      <c r="AO80" s="162" t="e">
        <f t="shared" si="16"/>
        <v>#DIV/0!</v>
      </c>
      <c r="AP80" s="163">
        <f t="shared" si="20"/>
        <v>0</v>
      </c>
      <c r="AQ80" s="163"/>
      <c r="AR80" s="163" t="e">
        <f t="shared" si="21"/>
        <v>#DIV/0!</v>
      </c>
      <c r="AT80" s="192"/>
    </row>
    <row r="81" spans="1:46" x14ac:dyDescent="0.2">
      <c r="A81" s="7"/>
      <c r="B81" s="7"/>
      <c r="C81" s="7"/>
      <c r="D81" s="8"/>
      <c r="E81" s="173" t="s">
        <v>15</v>
      </c>
      <c r="F81" s="9"/>
      <c r="G81" s="10"/>
      <c r="H81" s="11"/>
      <c r="I81" s="12"/>
      <c r="J81" s="13">
        <f t="shared" si="23"/>
        <v>1</v>
      </c>
      <c r="K81" s="14">
        <f t="shared" si="24"/>
        <v>1</v>
      </c>
      <c r="L81" s="14">
        <f t="shared" si="25"/>
        <v>0</v>
      </c>
      <c r="M81" s="15">
        <f t="shared" si="26"/>
        <v>0</v>
      </c>
      <c r="O81" s="74"/>
      <c r="P81" s="74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F81" s="16"/>
      <c r="AG81" s="16"/>
      <c r="AH81" s="16"/>
      <c r="AI81" s="16"/>
      <c r="AJ81" s="16"/>
      <c r="AK81" s="16"/>
      <c r="AL81" s="16"/>
      <c r="AM81" s="177" t="e">
        <f t="shared" si="19"/>
        <v>#DIV/0!</v>
      </c>
      <c r="AN81" s="161" t="e">
        <f t="shared" si="22"/>
        <v>#DIV/0!</v>
      </c>
      <c r="AO81" s="162" t="e">
        <f t="shared" si="16"/>
        <v>#DIV/0!</v>
      </c>
      <c r="AP81" s="163">
        <f t="shared" si="20"/>
        <v>0</v>
      </c>
      <c r="AQ81" s="163"/>
      <c r="AR81" s="163" t="e">
        <f t="shared" si="21"/>
        <v>#DIV/0!</v>
      </c>
      <c r="AT81" s="192"/>
    </row>
    <row r="82" spans="1:46" x14ac:dyDescent="0.2">
      <c r="A82" s="7"/>
      <c r="B82" s="7"/>
      <c r="C82" s="7"/>
      <c r="D82" s="8"/>
      <c r="E82" s="173" t="s">
        <v>13</v>
      </c>
      <c r="F82" s="9"/>
      <c r="G82" s="10"/>
      <c r="H82" s="11"/>
      <c r="I82" s="12"/>
      <c r="J82" s="13">
        <f t="shared" si="23"/>
        <v>1</v>
      </c>
      <c r="K82" s="14">
        <f t="shared" si="24"/>
        <v>1</v>
      </c>
      <c r="L82" s="14">
        <f t="shared" si="25"/>
        <v>0</v>
      </c>
      <c r="M82" s="15">
        <f t="shared" si="26"/>
        <v>0</v>
      </c>
      <c r="O82" s="74"/>
      <c r="P82" s="74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F82" s="16"/>
      <c r="AG82" s="16"/>
      <c r="AH82" s="16"/>
      <c r="AI82" s="16"/>
      <c r="AJ82" s="16"/>
      <c r="AK82" s="16"/>
      <c r="AL82" s="16"/>
      <c r="AM82" s="177" t="e">
        <f t="shared" si="19"/>
        <v>#DIV/0!</v>
      </c>
      <c r="AN82" s="161" t="e">
        <f t="shared" si="22"/>
        <v>#DIV/0!</v>
      </c>
      <c r="AO82" s="162" t="e">
        <f t="shared" si="16"/>
        <v>#DIV/0!</v>
      </c>
      <c r="AP82" s="163">
        <f t="shared" si="20"/>
        <v>0</v>
      </c>
      <c r="AQ82" s="163"/>
      <c r="AR82" s="163" t="e">
        <f t="shared" si="21"/>
        <v>#DIV/0!</v>
      </c>
      <c r="AT82" s="192"/>
    </row>
    <row r="83" spans="1:46" x14ac:dyDescent="0.2">
      <c r="A83" s="7"/>
      <c r="B83" s="7"/>
      <c r="C83" s="7"/>
      <c r="D83" s="8"/>
      <c r="E83" s="173" t="s">
        <v>15</v>
      </c>
      <c r="F83" s="9"/>
      <c r="G83" s="10"/>
      <c r="H83" s="11"/>
      <c r="I83" s="12"/>
      <c r="J83" s="13">
        <f t="shared" si="23"/>
        <v>1</v>
      </c>
      <c r="K83" s="14">
        <f t="shared" si="24"/>
        <v>1</v>
      </c>
      <c r="L83" s="14">
        <f t="shared" si="25"/>
        <v>0</v>
      </c>
      <c r="M83" s="15">
        <f t="shared" si="26"/>
        <v>0</v>
      </c>
      <c r="O83" s="74"/>
      <c r="P83" s="74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F83" s="16"/>
      <c r="AG83" s="16"/>
      <c r="AH83" s="16"/>
      <c r="AI83" s="16"/>
      <c r="AJ83" s="16"/>
      <c r="AK83" s="16"/>
      <c r="AL83" s="16"/>
      <c r="AM83" s="177" t="e">
        <f t="shared" si="19"/>
        <v>#DIV/0!</v>
      </c>
      <c r="AN83" s="161" t="e">
        <f t="shared" si="22"/>
        <v>#DIV/0!</v>
      </c>
      <c r="AO83" s="162" t="e">
        <f t="shared" si="16"/>
        <v>#DIV/0!</v>
      </c>
      <c r="AP83" s="163">
        <f t="shared" si="20"/>
        <v>0</v>
      </c>
      <c r="AQ83" s="163"/>
      <c r="AR83" s="163" t="e">
        <f t="shared" si="21"/>
        <v>#DIV/0!</v>
      </c>
      <c r="AT83" s="192"/>
    </row>
    <row r="84" spans="1:46" x14ac:dyDescent="0.2">
      <c r="A84" s="7"/>
      <c r="B84" s="7"/>
      <c r="C84" s="7"/>
      <c r="D84" s="8"/>
      <c r="E84" s="173" t="s">
        <v>15</v>
      </c>
      <c r="F84" s="9"/>
      <c r="G84" s="10"/>
      <c r="H84" s="11"/>
      <c r="I84" s="12"/>
      <c r="J84" s="13">
        <f t="shared" si="23"/>
        <v>1</v>
      </c>
      <c r="K84" s="14">
        <f t="shared" si="24"/>
        <v>1</v>
      </c>
      <c r="L84" s="14">
        <f t="shared" si="25"/>
        <v>0</v>
      </c>
      <c r="M84" s="15">
        <f t="shared" si="26"/>
        <v>0</v>
      </c>
      <c r="O84" s="74"/>
      <c r="P84" s="74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F84" s="16"/>
      <c r="AG84" s="16"/>
      <c r="AH84" s="16"/>
      <c r="AI84" s="16"/>
      <c r="AJ84" s="16"/>
      <c r="AK84" s="16"/>
      <c r="AL84" s="16"/>
      <c r="AM84" s="177" t="e">
        <f t="shared" si="19"/>
        <v>#DIV/0!</v>
      </c>
      <c r="AN84" s="161" t="e">
        <f t="shared" si="22"/>
        <v>#DIV/0!</v>
      </c>
      <c r="AO84" s="162" t="e">
        <f t="shared" si="16"/>
        <v>#DIV/0!</v>
      </c>
      <c r="AP84" s="163">
        <f t="shared" si="20"/>
        <v>0</v>
      </c>
      <c r="AQ84" s="163"/>
      <c r="AR84" s="163" t="e">
        <f t="shared" si="21"/>
        <v>#DIV/0!</v>
      </c>
      <c r="AT84" s="192"/>
    </row>
    <row r="85" spans="1:46" x14ac:dyDescent="0.2">
      <c r="A85" s="7"/>
      <c r="B85" s="7"/>
      <c r="C85" s="7"/>
      <c r="D85" s="8"/>
      <c r="E85" s="173" t="s">
        <v>15</v>
      </c>
      <c r="F85" s="9"/>
      <c r="G85" s="10"/>
      <c r="H85" s="11"/>
      <c r="I85" s="12"/>
      <c r="J85" s="13">
        <f t="shared" si="23"/>
        <v>1</v>
      </c>
      <c r="K85" s="14">
        <f t="shared" si="24"/>
        <v>1</v>
      </c>
      <c r="L85" s="14">
        <f t="shared" si="25"/>
        <v>0</v>
      </c>
      <c r="M85" s="15">
        <f t="shared" si="26"/>
        <v>0</v>
      </c>
      <c r="O85" s="74"/>
      <c r="P85" s="74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F85" s="16"/>
      <c r="AG85" s="16"/>
      <c r="AH85" s="16"/>
      <c r="AI85" s="16"/>
      <c r="AJ85" s="16"/>
      <c r="AK85" s="16"/>
      <c r="AL85" s="16"/>
      <c r="AM85" s="177" t="e">
        <f t="shared" si="19"/>
        <v>#DIV/0!</v>
      </c>
      <c r="AN85" s="161" t="e">
        <f t="shared" si="22"/>
        <v>#DIV/0!</v>
      </c>
      <c r="AO85" s="162" t="e">
        <f t="shared" si="16"/>
        <v>#DIV/0!</v>
      </c>
      <c r="AP85" s="163">
        <f t="shared" si="20"/>
        <v>0</v>
      </c>
      <c r="AQ85" s="163"/>
      <c r="AR85" s="163" t="e">
        <f t="shared" si="21"/>
        <v>#DIV/0!</v>
      </c>
      <c r="AT85" s="192"/>
    </row>
    <row r="86" spans="1:46" x14ac:dyDescent="0.2">
      <c r="O86" s="74"/>
      <c r="P86" s="74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</row>
  </sheetData>
  <autoFilter ref="A12:O85">
    <filterColumn colId="7">
      <filters blank="1">
        <dateGroupItem year="2016" dateTimeGrouping="year"/>
      </filters>
    </filterColumn>
  </autoFilter>
  <mergeCells count="17">
    <mergeCell ref="E10:F10"/>
    <mergeCell ref="E7:F7"/>
    <mergeCell ref="H10:I10"/>
    <mergeCell ref="E8:F8"/>
    <mergeCell ref="E9:F9"/>
    <mergeCell ref="H7:I7"/>
    <mergeCell ref="H9:I9"/>
    <mergeCell ref="H8:I8"/>
    <mergeCell ref="E6:F6"/>
    <mergeCell ref="H6:I6"/>
    <mergeCell ref="A1:M1"/>
    <mergeCell ref="H3:I3"/>
    <mergeCell ref="H4:I4"/>
    <mergeCell ref="H5:I5"/>
    <mergeCell ref="E3:F3"/>
    <mergeCell ref="E4:F4"/>
    <mergeCell ref="E5:F5"/>
  </mergeCells>
  <phoneticPr fontId="0" type="noConversion"/>
  <dataValidations disablePrompts="1" count="1">
    <dataValidation type="list" showInputMessage="1" showErrorMessage="1" sqref="F13:F85">
      <formula1>$AB$13:$AB$17</formula1>
    </dataValidation>
  </dataValidations>
  <printOptions horizontalCentered="1"/>
  <pageMargins left="0.43307086614173229" right="0.19685039370078741" top="0.59055118110236227" bottom="0.43307086614173229" header="0.23622047244094491" footer="0.51181102362204722"/>
  <pageSetup paperSize="9" scale="74" orientation="landscape" horizontalDpi="4294967294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MOBIDIS</vt:lpstr>
      <vt:lpstr>MOBIDIS!Zone_d_impression</vt:lpstr>
    </vt:vector>
  </TitlesOfParts>
  <Company>SYSTEME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Décordé</dc:creator>
  <cp:lastModifiedBy>Michel</cp:lastModifiedBy>
  <cp:lastPrinted>2015-10-14T11:55:41Z</cp:lastPrinted>
  <dcterms:created xsi:type="dcterms:W3CDTF">2008-03-05T18:03:43Z</dcterms:created>
  <dcterms:modified xsi:type="dcterms:W3CDTF">2016-10-29T04:55:07Z</dcterms:modified>
</cp:coreProperties>
</file>